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0"/>
  </bookViews>
  <sheets>
    <sheet name="Смета 12 гр. по ФЕР" sheetId="5" r:id="rId1"/>
    <sheet name="Акт КС-2 c НР и СП" sheetId="6" r:id="rId2"/>
    <sheet name="Макет форма-3" sheetId="7" r:id="rId3"/>
    <sheet name="Source" sheetId="1" r:id="rId4"/>
    <sheet name="SourceObSm" sheetId="2" r:id="rId5"/>
    <sheet name="SmtRes" sheetId="3" r:id="rId6"/>
    <sheet name="EtalonRes" sheetId="4" r:id="rId7"/>
  </sheets>
  <definedNames>
    <definedName name="_xlnm.Print_Titles" localSheetId="1">'Акт КС-2 c НР и СП'!$35:$35</definedName>
    <definedName name="_xlnm.Print_Titles" localSheetId="0">'Смета 12 гр. по ФЕР'!$26:$26</definedName>
    <definedName name="_xlnm.Print_Area" localSheetId="1">'Акт КС-2 c НР и СП'!$A$1:$H$1020</definedName>
    <definedName name="_xlnm.Print_Area" localSheetId="0">'Смета 12 гр. по ФЕР'!$A$1:$L$739</definedName>
  </definedNames>
  <calcPr calcId="145621"/>
</workbook>
</file>

<file path=xl/calcChain.xml><?xml version="1.0" encoding="utf-8"?>
<calcChain xmlns="http://schemas.openxmlformats.org/spreadsheetml/2006/main">
  <c r="A1" i="7" l="1"/>
  <c r="G1015" i="6"/>
  <c r="G1010" i="6"/>
  <c r="C1015" i="6"/>
  <c r="C1010" i="6"/>
  <c r="H1006" i="6"/>
  <c r="G1004" i="6"/>
  <c r="C1004" i="6"/>
  <c r="G1003" i="6"/>
  <c r="C1003" i="6"/>
  <c r="G1002" i="6"/>
  <c r="C1002" i="6"/>
  <c r="H999" i="6"/>
  <c r="C999" i="6"/>
  <c r="H995" i="6"/>
  <c r="C995" i="6"/>
  <c r="D993" i="6"/>
  <c r="AB992" i="6"/>
  <c r="AA992" i="6"/>
  <c r="Z992" i="6"/>
  <c r="Y992" i="6"/>
  <c r="X992" i="6"/>
  <c r="W992" i="6"/>
  <c r="V992" i="6"/>
  <c r="U992" i="6"/>
  <c r="T992" i="6"/>
  <c r="H992" i="6"/>
  <c r="G992" i="6"/>
  <c r="F992" i="6"/>
  <c r="E992" i="6"/>
  <c r="C992" i="6"/>
  <c r="D992" i="6"/>
  <c r="B992" i="6"/>
  <c r="H991" i="6"/>
  <c r="G991" i="6"/>
  <c r="H990" i="6"/>
  <c r="G990" i="6"/>
  <c r="F990" i="6"/>
  <c r="H989" i="6"/>
  <c r="G989" i="6"/>
  <c r="F989" i="6"/>
  <c r="D988" i="6"/>
  <c r="D987" i="6"/>
  <c r="D986" i="6"/>
  <c r="D985" i="6"/>
  <c r="C984" i="6"/>
  <c r="AB983" i="6"/>
  <c r="AA983" i="6"/>
  <c r="Z983" i="6"/>
  <c r="Y983" i="6"/>
  <c r="X983" i="6"/>
  <c r="W983" i="6"/>
  <c r="V983" i="6"/>
  <c r="U983" i="6"/>
  <c r="T983" i="6"/>
  <c r="H983" i="6"/>
  <c r="G983" i="6"/>
  <c r="F983" i="6"/>
  <c r="E983" i="6"/>
  <c r="C983" i="6"/>
  <c r="D983" i="6"/>
  <c r="B983" i="6"/>
  <c r="D982" i="6"/>
  <c r="AB981" i="6"/>
  <c r="AA981" i="6"/>
  <c r="Z981" i="6"/>
  <c r="Y981" i="6"/>
  <c r="X981" i="6"/>
  <c r="W981" i="6"/>
  <c r="V981" i="6"/>
  <c r="U981" i="6"/>
  <c r="T981" i="6"/>
  <c r="H981" i="6"/>
  <c r="G981" i="6"/>
  <c r="F981" i="6"/>
  <c r="E981" i="6"/>
  <c r="C981" i="6"/>
  <c r="D981" i="6"/>
  <c r="B981" i="6"/>
  <c r="H980" i="6"/>
  <c r="G980" i="6"/>
  <c r="H979" i="6"/>
  <c r="G979" i="6"/>
  <c r="F979" i="6"/>
  <c r="H978" i="6"/>
  <c r="G978" i="6"/>
  <c r="F978" i="6"/>
  <c r="D977" i="6"/>
  <c r="D976" i="6"/>
  <c r="D975" i="6"/>
  <c r="D974" i="6"/>
  <c r="C973" i="6"/>
  <c r="AB972" i="6"/>
  <c r="AA972" i="6"/>
  <c r="Z972" i="6"/>
  <c r="Y972" i="6"/>
  <c r="X972" i="6"/>
  <c r="W972" i="6"/>
  <c r="V972" i="6"/>
  <c r="U972" i="6"/>
  <c r="T972" i="6"/>
  <c r="H972" i="6"/>
  <c r="G972" i="6"/>
  <c r="F972" i="6"/>
  <c r="E972" i="6"/>
  <c r="C972" i="6"/>
  <c r="D972" i="6"/>
  <c r="B972" i="6"/>
  <c r="H971" i="6"/>
  <c r="G971" i="6"/>
  <c r="H970" i="6"/>
  <c r="G970" i="6"/>
  <c r="F970" i="6"/>
  <c r="H969" i="6"/>
  <c r="G969" i="6"/>
  <c r="F969" i="6"/>
  <c r="D968" i="6"/>
  <c r="D967" i="6"/>
  <c r="D966" i="6"/>
  <c r="D965" i="6"/>
  <c r="C964" i="6"/>
  <c r="AB963" i="6"/>
  <c r="AA963" i="6"/>
  <c r="Z963" i="6"/>
  <c r="Y963" i="6"/>
  <c r="X963" i="6"/>
  <c r="W963" i="6"/>
  <c r="V963" i="6"/>
  <c r="U963" i="6"/>
  <c r="T963" i="6"/>
  <c r="H963" i="6"/>
  <c r="G963" i="6"/>
  <c r="F963" i="6"/>
  <c r="E963" i="6"/>
  <c r="C963" i="6"/>
  <c r="D963" i="6"/>
  <c r="B963" i="6"/>
  <c r="D962" i="6"/>
  <c r="AB961" i="6"/>
  <c r="AA961" i="6"/>
  <c r="Z961" i="6"/>
  <c r="Y961" i="6"/>
  <c r="X961" i="6"/>
  <c r="W961" i="6"/>
  <c r="V961" i="6"/>
  <c r="U961" i="6"/>
  <c r="T961" i="6"/>
  <c r="H961" i="6"/>
  <c r="G961" i="6"/>
  <c r="F961" i="6"/>
  <c r="E961" i="6"/>
  <c r="C961" i="6"/>
  <c r="D961" i="6"/>
  <c r="B961" i="6"/>
  <c r="D960" i="6"/>
  <c r="AB959" i="6"/>
  <c r="AA959" i="6"/>
  <c r="Z959" i="6"/>
  <c r="Y959" i="6"/>
  <c r="X959" i="6"/>
  <c r="W959" i="6"/>
  <c r="V959" i="6"/>
  <c r="U959" i="6"/>
  <c r="T959" i="6"/>
  <c r="H959" i="6"/>
  <c r="G959" i="6"/>
  <c r="F959" i="6"/>
  <c r="E959" i="6"/>
  <c r="C959" i="6"/>
  <c r="D959" i="6"/>
  <c r="B959" i="6"/>
  <c r="H958" i="6"/>
  <c r="G958" i="6"/>
  <c r="H957" i="6"/>
  <c r="G957" i="6"/>
  <c r="F957" i="6"/>
  <c r="H956" i="6"/>
  <c r="G956" i="6"/>
  <c r="F956" i="6"/>
  <c r="D955" i="6"/>
  <c r="D954" i="6"/>
  <c r="D953" i="6"/>
  <c r="D952" i="6"/>
  <c r="C951" i="6"/>
  <c r="AB950" i="6"/>
  <c r="AA950" i="6"/>
  <c r="Z950" i="6"/>
  <c r="Y950" i="6"/>
  <c r="X950" i="6"/>
  <c r="W950" i="6"/>
  <c r="V950" i="6"/>
  <c r="U950" i="6"/>
  <c r="T950" i="6"/>
  <c r="H950" i="6"/>
  <c r="G950" i="6"/>
  <c r="F950" i="6"/>
  <c r="E950" i="6"/>
  <c r="C950" i="6"/>
  <c r="D950" i="6"/>
  <c r="B950" i="6"/>
  <c r="D949" i="6"/>
  <c r="AB948" i="6"/>
  <c r="AA948" i="6"/>
  <c r="Z948" i="6"/>
  <c r="Y948" i="6"/>
  <c r="X948" i="6"/>
  <c r="W948" i="6"/>
  <c r="V948" i="6"/>
  <c r="U948" i="6"/>
  <c r="T948" i="6"/>
  <c r="H948" i="6"/>
  <c r="G948" i="6"/>
  <c r="F948" i="6"/>
  <c r="E948" i="6"/>
  <c r="C948" i="6"/>
  <c r="D948" i="6"/>
  <c r="B948" i="6"/>
  <c r="H947" i="6"/>
  <c r="G947" i="6"/>
  <c r="H946" i="6"/>
  <c r="G946" i="6"/>
  <c r="F946" i="6"/>
  <c r="H945" i="6"/>
  <c r="G945" i="6"/>
  <c r="F945" i="6"/>
  <c r="D944" i="6"/>
  <c r="D943" i="6"/>
  <c r="D942" i="6"/>
  <c r="D941" i="6"/>
  <c r="C940" i="6"/>
  <c r="AB939" i="6"/>
  <c r="AA939" i="6"/>
  <c r="Z939" i="6"/>
  <c r="Y939" i="6"/>
  <c r="X939" i="6"/>
  <c r="W939" i="6"/>
  <c r="V939" i="6"/>
  <c r="U939" i="6"/>
  <c r="T939" i="6"/>
  <c r="H939" i="6"/>
  <c r="G939" i="6"/>
  <c r="F939" i="6"/>
  <c r="E939" i="6"/>
  <c r="C939" i="6"/>
  <c r="D939" i="6"/>
  <c r="B939" i="6"/>
  <c r="A938" i="6"/>
  <c r="H934" i="6"/>
  <c r="C934" i="6"/>
  <c r="H932" i="6"/>
  <c r="G932" i="6"/>
  <c r="H931" i="6"/>
  <c r="G931" i="6"/>
  <c r="F931" i="6"/>
  <c r="H930" i="6"/>
  <c r="G930" i="6"/>
  <c r="F930" i="6"/>
  <c r="D929" i="6"/>
  <c r="D928" i="6"/>
  <c r="D927" i="6"/>
  <c r="D926" i="6"/>
  <c r="AB925" i="6"/>
  <c r="AA925" i="6"/>
  <c r="Z925" i="6"/>
  <c r="Y925" i="6"/>
  <c r="X925" i="6"/>
  <c r="W925" i="6"/>
  <c r="V925" i="6"/>
  <c r="U925" i="6"/>
  <c r="T925" i="6"/>
  <c r="H925" i="6"/>
  <c r="G925" i="6"/>
  <c r="F925" i="6"/>
  <c r="E925" i="6"/>
  <c r="C925" i="6"/>
  <c r="D925" i="6"/>
  <c r="B925" i="6"/>
  <c r="D924" i="6"/>
  <c r="AB923" i="6"/>
  <c r="AA923" i="6"/>
  <c r="Z923" i="6"/>
  <c r="Y923" i="6"/>
  <c r="X923" i="6"/>
  <c r="W923" i="6"/>
  <c r="V923" i="6"/>
  <c r="U923" i="6"/>
  <c r="T923" i="6"/>
  <c r="H923" i="6"/>
  <c r="G923" i="6"/>
  <c r="F923" i="6"/>
  <c r="E923" i="6"/>
  <c r="C923" i="6"/>
  <c r="D923" i="6"/>
  <c r="B923" i="6"/>
  <c r="H922" i="6"/>
  <c r="G922" i="6"/>
  <c r="H921" i="6"/>
  <c r="G921" i="6"/>
  <c r="F921" i="6"/>
  <c r="H920" i="6"/>
  <c r="G920" i="6"/>
  <c r="F920" i="6"/>
  <c r="D919" i="6"/>
  <c r="D918" i="6"/>
  <c r="D917" i="6"/>
  <c r="D916" i="6"/>
  <c r="C915" i="6"/>
  <c r="AB914" i="6"/>
  <c r="AA914" i="6"/>
  <c r="Z914" i="6"/>
  <c r="Y914" i="6"/>
  <c r="X914" i="6"/>
  <c r="W914" i="6"/>
  <c r="V914" i="6"/>
  <c r="U914" i="6"/>
  <c r="T914" i="6"/>
  <c r="H914" i="6"/>
  <c r="G914" i="6"/>
  <c r="F914" i="6"/>
  <c r="E914" i="6"/>
  <c r="C914" i="6"/>
  <c r="D914" i="6"/>
  <c r="B914" i="6"/>
  <c r="D913" i="6"/>
  <c r="AB912" i="6"/>
  <c r="AA912" i="6"/>
  <c r="Z912" i="6"/>
  <c r="Y912" i="6"/>
  <c r="X912" i="6"/>
  <c r="W912" i="6"/>
  <c r="V912" i="6"/>
  <c r="U912" i="6"/>
  <c r="T912" i="6"/>
  <c r="H912" i="6"/>
  <c r="G912" i="6"/>
  <c r="F912" i="6"/>
  <c r="E912" i="6"/>
  <c r="C912" i="6"/>
  <c r="D912" i="6"/>
  <c r="B912" i="6"/>
  <c r="H911" i="6"/>
  <c r="G911" i="6"/>
  <c r="H910" i="6"/>
  <c r="G910" i="6"/>
  <c r="F910" i="6"/>
  <c r="H909" i="6"/>
  <c r="G909" i="6"/>
  <c r="F909" i="6"/>
  <c r="D908" i="6"/>
  <c r="D907" i="6"/>
  <c r="D906" i="6"/>
  <c r="D905" i="6"/>
  <c r="C904" i="6"/>
  <c r="AB903" i="6"/>
  <c r="AA903" i="6"/>
  <c r="Z903" i="6"/>
  <c r="Y903" i="6"/>
  <c r="X903" i="6"/>
  <c r="W903" i="6"/>
  <c r="V903" i="6"/>
  <c r="U903" i="6"/>
  <c r="T903" i="6"/>
  <c r="H903" i="6"/>
  <c r="G903" i="6"/>
  <c r="F903" i="6"/>
  <c r="E903" i="6"/>
  <c r="C903" i="6"/>
  <c r="D903" i="6"/>
  <c r="B903" i="6"/>
  <c r="D902" i="6"/>
  <c r="AB901" i="6"/>
  <c r="AA901" i="6"/>
  <c r="Z901" i="6"/>
  <c r="Y901" i="6"/>
  <c r="X901" i="6"/>
  <c r="W901" i="6"/>
  <c r="V901" i="6"/>
  <c r="U901" i="6"/>
  <c r="T901" i="6"/>
  <c r="H901" i="6"/>
  <c r="G901" i="6"/>
  <c r="F901" i="6"/>
  <c r="E901" i="6"/>
  <c r="C901" i="6"/>
  <c r="D901" i="6"/>
  <c r="B901" i="6"/>
  <c r="H900" i="6"/>
  <c r="G900" i="6"/>
  <c r="H899" i="6"/>
  <c r="G899" i="6"/>
  <c r="F899" i="6"/>
  <c r="H898" i="6"/>
  <c r="G898" i="6"/>
  <c r="F898" i="6"/>
  <c r="D897" i="6"/>
  <c r="D896" i="6"/>
  <c r="D895" i="6"/>
  <c r="D894" i="6"/>
  <c r="C893" i="6"/>
  <c r="AB892" i="6"/>
  <c r="AA892" i="6"/>
  <c r="Z892" i="6"/>
  <c r="Y892" i="6"/>
  <c r="X892" i="6"/>
  <c r="W892" i="6"/>
  <c r="V892" i="6"/>
  <c r="U892" i="6"/>
  <c r="T892" i="6"/>
  <c r="H892" i="6"/>
  <c r="G892" i="6"/>
  <c r="F892" i="6"/>
  <c r="E892" i="6"/>
  <c r="C892" i="6"/>
  <c r="D892" i="6"/>
  <c r="B892" i="6"/>
  <c r="D891" i="6"/>
  <c r="AB890" i="6"/>
  <c r="AA890" i="6"/>
  <c r="Z890" i="6"/>
  <c r="Y890" i="6"/>
  <c r="X890" i="6"/>
  <c r="W890" i="6"/>
  <c r="V890" i="6"/>
  <c r="U890" i="6"/>
  <c r="T890" i="6"/>
  <c r="H890" i="6"/>
  <c r="G890" i="6"/>
  <c r="F890" i="6"/>
  <c r="E890" i="6"/>
  <c r="C890" i="6"/>
  <c r="D890" i="6"/>
  <c r="B890" i="6"/>
  <c r="H889" i="6"/>
  <c r="G889" i="6"/>
  <c r="H888" i="6"/>
  <c r="G888" i="6"/>
  <c r="F888" i="6"/>
  <c r="H887" i="6"/>
  <c r="G887" i="6"/>
  <c r="F887" i="6"/>
  <c r="D886" i="6"/>
  <c r="D885" i="6"/>
  <c r="D884" i="6"/>
  <c r="D883" i="6"/>
  <c r="AB882" i="6"/>
  <c r="AA882" i="6"/>
  <c r="Z882" i="6"/>
  <c r="Y882" i="6"/>
  <c r="X882" i="6"/>
  <c r="W882" i="6"/>
  <c r="V882" i="6"/>
  <c r="U882" i="6"/>
  <c r="T882" i="6"/>
  <c r="H882" i="6"/>
  <c r="G882" i="6"/>
  <c r="F882" i="6"/>
  <c r="E882" i="6"/>
  <c r="C882" i="6"/>
  <c r="D882" i="6"/>
  <c r="B882" i="6"/>
  <c r="H881" i="6"/>
  <c r="G881" i="6"/>
  <c r="H880" i="6"/>
  <c r="G880" i="6"/>
  <c r="F880" i="6"/>
  <c r="H879" i="6"/>
  <c r="G879" i="6"/>
  <c r="F879" i="6"/>
  <c r="D872" i="6"/>
  <c r="D871" i="6"/>
  <c r="D870" i="6"/>
  <c r="D869" i="6"/>
  <c r="AB868" i="6"/>
  <c r="AA868" i="6"/>
  <c r="Z868" i="6"/>
  <c r="Y868" i="6"/>
  <c r="X868" i="6"/>
  <c r="W868" i="6"/>
  <c r="V868" i="6"/>
  <c r="U868" i="6"/>
  <c r="T868" i="6"/>
  <c r="H868" i="6"/>
  <c r="G868" i="6"/>
  <c r="F868" i="6"/>
  <c r="E868" i="6"/>
  <c r="C868" i="6"/>
  <c r="D868" i="6"/>
  <c r="B868" i="6"/>
  <c r="A867" i="6"/>
  <c r="G865" i="6"/>
  <c r="C865" i="6"/>
  <c r="G864" i="6"/>
  <c r="C864" i="6"/>
  <c r="G863" i="6"/>
  <c r="C863" i="6"/>
  <c r="H860" i="6"/>
  <c r="C860" i="6"/>
  <c r="H858" i="6"/>
  <c r="G858" i="6"/>
  <c r="H857" i="6"/>
  <c r="G857" i="6"/>
  <c r="F857" i="6"/>
  <c r="H856" i="6"/>
  <c r="G856" i="6"/>
  <c r="F856" i="6"/>
  <c r="D853" i="6"/>
  <c r="AB852" i="6"/>
  <c r="AA852" i="6"/>
  <c r="Z852" i="6"/>
  <c r="Y852" i="6"/>
  <c r="X852" i="6"/>
  <c r="W852" i="6"/>
  <c r="V852" i="6"/>
  <c r="U852" i="6"/>
  <c r="T852" i="6"/>
  <c r="H852" i="6"/>
  <c r="G852" i="6"/>
  <c r="F852" i="6"/>
  <c r="E852" i="6"/>
  <c r="C852" i="6"/>
  <c r="D852" i="6"/>
  <c r="B852" i="6"/>
  <c r="H851" i="6"/>
  <c r="G851" i="6"/>
  <c r="H850" i="6"/>
  <c r="G850" i="6"/>
  <c r="F850" i="6"/>
  <c r="H849" i="6"/>
  <c r="G849" i="6"/>
  <c r="F849" i="6"/>
  <c r="D846" i="6"/>
  <c r="AB845" i="6"/>
  <c r="AA845" i="6"/>
  <c r="Z845" i="6"/>
  <c r="Y845" i="6"/>
  <c r="X845" i="6"/>
  <c r="W845" i="6"/>
  <c r="V845" i="6"/>
  <c r="U845" i="6"/>
  <c r="T845" i="6"/>
  <c r="H845" i="6"/>
  <c r="G845" i="6"/>
  <c r="F845" i="6"/>
  <c r="E845" i="6"/>
  <c r="C845" i="6"/>
  <c r="D845" i="6"/>
  <c r="B845" i="6"/>
  <c r="H844" i="6"/>
  <c r="G844" i="6"/>
  <c r="H843" i="6"/>
  <c r="G843" i="6"/>
  <c r="F843" i="6"/>
  <c r="H842" i="6"/>
  <c r="G842" i="6"/>
  <c r="F842" i="6"/>
  <c r="D839" i="6"/>
  <c r="C838" i="6"/>
  <c r="AB837" i="6"/>
  <c r="AA837" i="6"/>
  <c r="Z837" i="6"/>
  <c r="Y837" i="6"/>
  <c r="X837" i="6"/>
  <c r="W837" i="6"/>
  <c r="V837" i="6"/>
  <c r="U837" i="6"/>
  <c r="T837" i="6"/>
  <c r="H837" i="6"/>
  <c r="G837" i="6"/>
  <c r="F837" i="6"/>
  <c r="E837" i="6"/>
  <c r="C837" i="6"/>
  <c r="D837" i="6"/>
  <c r="B837" i="6"/>
  <c r="H836" i="6"/>
  <c r="G836" i="6"/>
  <c r="H835" i="6"/>
  <c r="G835" i="6"/>
  <c r="F835" i="6"/>
  <c r="H834" i="6"/>
  <c r="G834" i="6"/>
  <c r="F834" i="6"/>
  <c r="D831" i="6"/>
  <c r="AB830" i="6"/>
  <c r="AA830" i="6"/>
  <c r="Z830" i="6"/>
  <c r="Y830" i="6"/>
  <c r="X830" i="6"/>
  <c r="W830" i="6"/>
  <c r="V830" i="6"/>
  <c r="U830" i="6"/>
  <c r="T830" i="6"/>
  <c r="H830" i="6"/>
  <c r="G830" i="6"/>
  <c r="F830" i="6"/>
  <c r="E830" i="6"/>
  <c r="C830" i="6"/>
  <c r="D830" i="6"/>
  <c r="B830" i="6"/>
  <c r="D829" i="6"/>
  <c r="AB828" i="6"/>
  <c r="AA828" i="6"/>
  <c r="Z828" i="6"/>
  <c r="Y828" i="6"/>
  <c r="X828" i="6"/>
  <c r="W828" i="6"/>
  <c r="V828" i="6"/>
  <c r="U828" i="6"/>
  <c r="T828" i="6"/>
  <c r="H828" i="6"/>
  <c r="G828" i="6"/>
  <c r="F828" i="6"/>
  <c r="E828" i="6"/>
  <c r="C828" i="6"/>
  <c r="D828" i="6"/>
  <c r="B828" i="6"/>
  <c r="H827" i="6"/>
  <c r="G827" i="6"/>
  <c r="H826" i="6"/>
  <c r="G826" i="6"/>
  <c r="F826" i="6"/>
  <c r="H825" i="6"/>
  <c r="G825" i="6"/>
  <c r="F825" i="6"/>
  <c r="D824" i="6"/>
  <c r="D823" i="6"/>
  <c r="D822" i="6"/>
  <c r="D821" i="6"/>
  <c r="C820" i="6"/>
  <c r="AB819" i="6"/>
  <c r="AA819" i="6"/>
  <c r="Z819" i="6"/>
  <c r="Y819" i="6"/>
  <c r="X819" i="6"/>
  <c r="W819" i="6"/>
  <c r="V819" i="6"/>
  <c r="U819" i="6"/>
  <c r="T819" i="6"/>
  <c r="H819" i="6"/>
  <c r="G819" i="6"/>
  <c r="F819" i="6"/>
  <c r="E819" i="6"/>
  <c r="C819" i="6"/>
  <c r="D819" i="6"/>
  <c r="B819" i="6"/>
  <c r="D818" i="6"/>
  <c r="AB817" i="6"/>
  <c r="AA817" i="6"/>
  <c r="Z817" i="6"/>
  <c r="Y817" i="6"/>
  <c r="X817" i="6"/>
  <c r="W817" i="6"/>
  <c r="V817" i="6"/>
  <c r="U817" i="6"/>
  <c r="T817" i="6"/>
  <c r="H817" i="6"/>
  <c r="G817" i="6"/>
  <c r="F817" i="6"/>
  <c r="E817" i="6"/>
  <c r="C817" i="6"/>
  <c r="D817" i="6"/>
  <c r="B817" i="6"/>
  <c r="D816" i="6"/>
  <c r="AB815" i="6"/>
  <c r="AA815" i="6"/>
  <c r="Z815" i="6"/>
  <c r="Y815" i="6"/>
  <c r="X815" i="6"/>
  <c r="W815" i="6"/>
  <c r="V815" i="6"/>
  <c r="U815" i="6"/>
  <c r="T815" i="6"/>
  <c r="H815" i="6"/>
  <c r="G815" i="6"/>
  <c r="F815" i="6"/>
  <c r="E815" i="6"/>
  <c r="C815" i="6"/>
  <c r="D815" i="6"/>
  <c r="B815" i="6"/>
  <c r="D814" i="6"/>
  <c r="AB813" i="6"/>
  <c r="AA813" i="6"/>
  <c r="Z813" i="6"/>
  <c r="Y813" i="6"/>
  <c r="X813" i="6"/>
  <c r="W813" i="6"/>
  <c r="V813" i="6"/>
  <c r="U813" i="6"/>
  <c r="T813" i="6"/>
  <c r="H813" i="6"/>
  <c r="G813" i="6"/>
  <c r="F813" i="6"/>
  <c r="E813" i="6"/>
  <c r="C813" i="6"/>
  <c r="D813" i="6"/>
  <c r="B813" i="6"/>
  <c r="D812" i="6"/>
  <c r="AB811" i="6"/>
  <c r="AA811" i="6"/>
  <c r="Z811" i="6"/>
  <c r="Y811" i="6"/>
  <c r="X811" i="6"/>
  <c r="W811" i="6"/>
  <c r="V811" i="6"/>
  <c r="U811" i="6"/>
  <c r="T811" i="6"/>
  <c r="H811" i="6"/>
  <c r="G811" i="6"/>
  <c r="F811" i="6"/>
  <c r="E811" i="6"/>
  <c r="C811" i="6"/>
  <c r="D811" i="6"/>
  <c r="B811" i="6"/>
  <c r="D810" i="6"/>
  <c r="AB809" i="6"/>
  <c r="AA809" i="6"/>
  <c r="Z809" i="6"/>
  <c r="Y809" i="6"/>
  <c r="X809" i="6"/>
  <c r="W809" i="6"/>
  <c r="V809" i="6"/>
  <c r="U809" i="6"/>
  <c r="T809" i="6"/>
  <c r="H809" i="6"/>
  <c r="G809" i="6"/>
  <c r="F809" i="6"/>
  <c r="E809" i="6"/>
  <c r="C809" i="6"/>
  <c r="D809" i="6"/>
  <c r="B809" i="6"/>
  <c r="D808" i="6"/>
  <c r="AB807" i="6"/>
  <c r="AA807" i="6"/>
  <c r="Z807" i="6"/>
  <c r="Y807" i="6"/>
  <c r="X807" i="6"/>
  <c r="W807" i="6"/>
  <c r="V807" i="6"/>
  <c r="U807" i="6"/>
  <c r="T807" i="6"/>
  <c r="H807" i="6"/>
  <c r="G807" i="6"/>
  <c r="F807" i="6"/>
  <c r="E807" i="6"/>
  <c r="C807" i="6"/>
  <c r="D807" i="6"/>
  <c r="B807" i="6"/>
  <c r="D806" i="6"/>
  <c r="AB805" i="6"/>
  <c r="AA805" i="6"/>
  <c r="Z805" i="6"/>
  <c r="Y805" i="6"/>
  <c r="X805" i="6"/>
  <c r="W805" i="6"/>
  <c r="V805" i="6"/>
  <c r="U805" i="6"/>
  <c r="T805" i="6"/>
  <c r="H805" i="6"/>
  <c r="G805" i="6"/>
  <c r="F805" i="6"/>
  <c r="E805" i="6"/>
  <c r="C805" i="6"/>
  <c r="D805" i="6"/>
  <c r="B805" i="6"/>
  <c r="H804" i="6"/>
  <c r="G804" i="6"/>
  <c r="H803" i="6"/>
  <c r="G803" i="6"/>
  <c r="F803" i="6"/>
  <c r="H802" i="6"/>
  <c r="G802" i="6"/>
  <c r="F802" i="6"/>
  <c r="D801" i="6"/>
  <c r="D800" i="6"/>
  <c r="D799" i="6"/>
  <c r="D798" i="6"/>
  <c r="AB797" i="6"/>
  <c r="AA797" i="6"/>
  <c r="Z797" i="6"/>
  <c r="Y797" i="6"/>
  <c r="X797" i="6"/>
  <c r="W797" i="6"/>
  <c r="V797" i="6"/>
  <c r="U797" i="6"/>
  <c r="T797" i="6"/>
  <c r="H797" i="6"/>
  <c r="G797" i="6"/>
  <c r="F797" i="6"/>
  <c r="E797" i="6"/>
  <c r="C797" i="6"/>
  <c r="D797" i="6"/>
  <c r="B797" i="6"/>
  <c r="D796" i="6"/>
  <c r="AB795" i="6"/>
  <c r="AA795" i="6"/>
  <c r="Z795" i="6"/>
  <c r="Y795" i="6"/>
  <c r="X795" i="6"/>
  <c r="W795" i="6"/>
  <c r="V795" i="6"/>
  <c r="U795" i="6"/>
  <c r="T795" i="6"/>
  <c r="H795" i="6"/>
  <c r="G795" i="6"/>
  <c r="F795" i="6"/>
  <c r="E795" i="6"/>
  <c r="C795" i="6"/>
  <c r="D795" i="6"/>
  <c r="B795" i="6"/>
  <c r="H794" i="6"/>
  <c r="G794" i="6"/>
  <c r="H793" i="6"/>
  <c r="G793" i="6"/>
  <c r="F793" i="6"/>
  <c r="H792" i="6"/>
  <c r="G792" i="6"/>
  <c r="F792" i="6"/>
  <c r="D791" i="6"/>
  <c r="D790" i="6"/>
  <c r="D789" i="6"/>
  <c r="D788" i="6"/>
  <c r="AB787" i="6"/>
  <c r="AA787" i="6"/>
  <c r="Z787" i="6"/>
  <c r="Y787" i="6"/>
  <c r="X787" i="6"/>
  <c r="W787" i="6"/>
  <c r="V787" i="6"/>
  <c r="U787" i="6"/>
  <c r="T787" i="6"/>
  <c r="H787" i="6"/>
  <c r="G787" i="6"/>
  <c r="F787" i="6"/>
  <c r="E787" i="6"/>
  <c r="C787" i="6"/>
  <c r="D787" i="6"/>
  <c r="B787" i="6"/>
  <c r="D786" i="6"/>
  <c r="AB785" i="6"/>
  <c r="AA785" i="6"/>
  <c r="Z785" i="6"/>
  <c r="Y785" i="6"/>
  <c r="X785" i="6"/>
  <c r="W785" i="6"/>
  <c r="V785" i="6"/>
  <c r="U785" i="6"/>
  <c r="T785" i="6"/>
  <c r="H785" i="6"/>
  <c r="G785" i="6"/>
  <c r="F785" i="6"/>
  <c r="E785" i="6"/>
  <c r="C785" i="6"/>
  <c r="D785" i="6"/>
  <c r="B785" i="6"/>
  <c r="D784" i="6"/>
  <c r="AB783" i="6"/>
  <c r="AA783" i="6"/>
  <c r="Z783" i="6"/>
  <c r="Y783" i="6"/>
  <c r="X783" i="6"/>
  <c r="W783" i="6"/>
  <c r="V783" i="6"/>
  <c r="U783" i="6"/>
  <c r="T783" i="6"/>
  <c r="H783" i="6"/>
  <c r="G783" i="6"/>
  <c r="F783" i="6"/>
  <c r="E783" i="6"/>
  <c r="C783" i="6"/>
  <c r="D783" i="6"/>
  <c r="B783" i="6"/>
  <c r="H782" i="6"/>
  <c r="G782" i="6"/>
  <c r="H781" i="6"/>
  <c r="G781" i="6"/>
  <c r="F781" i="6"/>
  <c r="H780" i="6"/>
  <c r="G780" i="6"/>
  <c r="F780" i="6"/>
  <c r="D779" i="6"/>
  <c r="D778" i="6"/>
  <c r="D777" i="6"/>
  <c r="D776" i="6"/>
  <c r="C775" i="6"/>
  <c r="AB774" i="6"/>
  <c r="AA774" i="6"/>
  <c r="Z774" i="6"/>
  <c r="Y774" i="6"/>
  <c r="X774" i="6"/>
  <c r="W774" i="6"/>
  <c r="V774" i="6"/>
  <c r="U774" i="6"/>
  <c r="T774" i="6"/>
  <c r="H774" i="6"/>
  <c r="G774" i="6"/>
  <c r="F774" i="6"/>
  <c r="E774" i="6"/>
  <c r="C774" i="6"/>
  <c r="D774" i="6"/>
  <c r="B774" i="6"/>
  <c r="D773" i="6"/>
  <c r="AB772" i="6"/>
  <c r="AA772" i="6"/>
  <c r="Z772" i="6"/>
  <c r="Y772" i="6"/>
  <c r="X772" i="6"/>
  <c r="W772" i="6"/>
  <c r="V772" i="6"/>
  <c r="U772" i="6"/>
  <c r="T772" i="6"/>
  <c r="H772" i="6"/>
  <c r="G772" i="6"/>
  <c r="F772" i="6"/>
  <c r="E772" i="6"/>
  <c r="C772" i="6"/>
  <c r="D772" i="6"/>
  <c r="B772" i="6"/>
  <c r="H771" i="6"/>
  <c r="G771" i="6"/>
  <c r="H770" i="6"/>
  <c r="G770" i="6"/>
  <c r="F770" i="6"/>
  <c r="H769" i="6"/>
  <c r="G769" i="6"/>
  <c r="F769" i="6"/>
  <c r="D768" i="6"/>
  <c r="D767" i="6"/>
  <c r="D766" i="6"/>
  <c r="D765" i="6"/>
  <c r="C764" i="6"/>
  <c r="AB763" i="6"/>
  <c r="AA763" i="6"/>
  <c r="Z763" i="6"/>
  <c r="Y763" i="6"/>
  <c r="X763" i="6"/>
  <c r="W763" i="6"/>
  <c r="V763" i="6"/>
  <c r="U763" i="6"/>
  <c r="T763" i="6"/>
  <c r="H763" i="6"/>
  <c r="G763" i="6"/>
  <c r="F763" i="6"/>
  <c r="E763" i="6"/>
  <c r="C763" i="6"/>
  <c r="D763" i="6"/>
  <c r="B763" i="6"/>
  <c r="D762" i="6"/>
  <c r="AB761" i="6"/>
  <c r="AA761" i="6"/>
  <c r="Z761" i="6"/>
  <c r="Y761" i="6"/>
  <c r="X761" i="6"/>
  <c r="W761" i="6"/>
  <c r="V761" i="6"/>
  <c r="U761" i="6"/>
  <c r="T761" i="6"/>
  <c r="H761" i="6"/>
  <c r="G761" i="6"/>
  <c r="F761" i="6"/>
  <c r="E761" i="6"/>
  <c r="C761" i="6"/>
  <c r="D761" i="6"/>
  <c r="B761" i="6"/>
  <c r="H760" i="6"/>
  <c r="G760" i="6"/>
  <c r="H759" i="6"/>
  <c r="G759" i="6"/>
  <c r="F759" i="6"/>
  <c r="H758" i="6"/>
  <c r="G758" i="6"/>
  <c r="F758" i="6"/>
  <c r="D757" i="6"/>
  <c r="D756" i="6"/>
  <c r="D755" i="6"/>
  <c r="D754" i="6"/>
  <c r="C753" i="6"/>
  <c r="AB752" i="6"/>
  <c r="AA752" i="6"/>
  <c r="Z752" i="6"/>
  <c r="Y752" i="6"/>
  <c r="X752" i="6"/>
  <c r="W752" i="6"/>
  <c r="V752" i="6"/>
  <c r="U752" i="6"/>
  <c r="T752" i="6"/>
  <c r="H752" i="6"/>
  <c r="G752" i="6"/>
  <c r="F752" i="6"/>
  <c r="E752" i="6"/>
  <c r="C752" i="6"/>
  <c r="D752" i="6"/>
  <c r="B752" i="6"/>
  <c r="D751" i="6"/>
  <c r="AB750" i="6"/>
  <c r="AA750" i="6"/>
  <c r="Z750" i="6"/>
  <c r="Y750" i="6"/>
  <c r="X750" i="6"/>
  <c r="W750" i="6"/>
  <c r="V750" i="6"/>
  <c r="U750" i="6"/>
  <c r="T750" i="6"/>
  <c r="H750" i="6"/>
  <c r="G750" i="6"/>
  <c r="F750" i="6"/>
  <c r="E750" i="6"/>
  <c r="C750" i="6"/>
  <c r="D750" i="6"/>
  <c r="B750" i="6"/>
  <c r="H749" i="6"/>
  <c r="G749" i="6"/>
  <c r="H748" i="6"/>
  <c r="G748" i="6"/>
  <c r="F748" i="6"/>
  <c r="H747" i="6"/>
  <c r="G747" i="6"/>
  <c r="F747" i="6"/>
  <c r="D746" i="6"/>
  <c r="D745" i="6"/>
  <c r="D744" i="6"/>
  <c r="D743" i="6"/>
  <c r="C742" i="6"/>
  <c r="AB741" i="6"/>
  <c r="AA741" i="6"/>
  <c r="Z741" i="6"/>
  <c r="Y741" i="6"/>
  <c r="X741" i="6"/>
  <c r="W741" i="6"/>
  <c r="V741" i="6"/>
  <c r="U741" i="6"/>
  <c r="T741" i="6"/>
  <c r="H741" i="6"/>
  <c r="G741" i="6"/>
  <c r="F741" i="6"/>
  <c r="E741" i="6"/>
  <c r="C741" i="6"/>
  <c r="D741" i="6"/>
  <c r="B741" i="6"/>
  <c r="D740" i="6"/>
  <c r="AB739" i="6"/>
  <c r="AA739" i="6"/>
  <c r="Z739" i="6"/>
  <c r="Y739" i="6"/>
  <c r="X739" i="6"/>
  <c r="W739" i="6"/>
  <c r="V739" i="6"/>
  <c r="U739" i="6"/>
  <c r="T739" i="6"/>
  <c r="H739" i="6"/>
  <c r="G739" i="6"/>
  <c r="F739" i="6"/>
  <c r="E739" i="6"/>
  <c r="C739" i="6"/>
  <c r="D739" i="6"/>
  <c r="B739" i="6"/>
  <c r="H738" i="6"/>
  <c r="G738" i="6"/>
  <c r="H737" i="6"/>
  <c r="G737" i="6"/>
  <c r="F737" i="6"/>
  <c r="H736" i="6"/>
  <c r="G736" i="6"/>
  <c r="F736" i="6"/>
  <c r="D735" i="6"/>
  <c r="D734" i="6"/>
  <c r="D733" i="6"/>
  <c r="D732" i="6"/>
  <c r="C731" i="6"/>
  <c r="AB730" i="6"/>
  <c r="AA730" i="6"/>
  <c r="Z730" i="6"/>
  <c r="Y730" i="6"/>
  <c r="X730" i="6"/>
  <c r="W730" i="6"/>
  <c r="V730" i="6"/>
  <c r="U730" i="6"/>
  <c r="T730" i="6"/>
  <c r="H730" i="6"/>
  <c r="G730" i="6"/>
  <c r="F730" i="6"/>
  <c r="E730" i="6"/>
  <c r="C730" i="6"/>
  <c r="D730" i="6"/>
  <c r="B730" i="6"/>
  <c r="D729" i="6"/>
  <c r="AB728" i="6"/>
  <c r="AA728" i="6"/>
  <c r="Z728" i="6"/>
  <c r="Y728" i="6"/>
  <c r="X728" i="6"/>
  <c r="W728" i="6"/>
  <c r="V728" i="6"/>
  <c r="U728" i="6"/>
  <c r="T728" i="6"/>
  <c r="H728" i="6"/>
  <c r="G728" i="6"/>
  <c r="F728" i="6"/>
  <c r="E728" i="6"/>
  <c r="C728" i="6"/>
  <c r="D728" i="6"/>
  <c r="B728" i="6"/>
  <c r="H727" i="6"/>
  <c r="G727" i="6"/>
  <c r="H726" i="6"/>
  <c r="G726" i="6"/>
  <c r="F726" i="6"/>
  <c r="H725" i="6"/>
  <c r="G725" i="6"/>
  <c r="F725" i="6"/>
  <c r="D724" i="6"/>
  <c r="D723" i="6"/>
  <c r="D722" i="6"/>
  <c r="D721" i="6"/>
  <c r="C720" i="6"/>
  <c r="AB719" i="6"/>
  <c r="AA719" i="6"/>
  <c r="Z719" i="6"/>
  <c r="Y719" i="6"/>
  <c r="X719" i="6"/>
  <c r="W719" i="6"/>
  <c r="V719" i="6"/>
  <c r="U719" i="6"/>
  <c r="T719" i="6"/>
  <c r="H719" i="6"/>
  <c r="G719" i="6"/>
  <c r="F719" i="6"/>
  <c r="E719" i="6"/>
  <c r="C719" i="6"/>
  <c r="D719" i="6"/>
  <c r="B719" i="6"/>
  <c r="D718" i="6"/>
  <c r="AB717" i="6"/>
  <c r="AA717" i="6"/>
  <c r="Z717" i="6"/>
  <c r="Y717" i="6"/>
  <c r="X717" i="6"/>
  <c r="W717" i="6"/>
  <c r="V717" i="6"/>
  <c r="U717" i="6"/>
  <c r="T717" i="6"/>
  <c r="H717" i="6"/>
  <c r="G717" i="6"/>
  <c r="F717" i="6"/>
  <c r="E717" i="6"/>
  <c r="C717" i="6"/>
  <c r="D717" i="6"/>
  <c r="B717" i="6"/>
  <c r="H716" i="6"/>
  <c r="G716" i="6"/>
  <c r="H715" i="6"/>
  <c r="G715" i="6"/>
  <c r="F715" i="6"/>
  <c r="H714" i="6"/>
  <c r="G714" i="6"/>
  <c r="F714" i="6"/>
  <c r="D713" i="6"/>
  <c r="D712" i="6"/>
  <c r="D711" i="6"/>
  <c r="D710" i="6"/>
  <c r="C709" i="6"/>
  <c r="AB708" i="6"/>
  <c r="AA708" i="6"/>
  <c r="Z708" i="6"/>
  <c r="Y708" i="6"/>
  <c r="X708" i="6"/>
  <c r="W708" i="6"/>
  <c r="V708" i="6"/>
  <c r="U708" i="6"/>
  <c r="T708" i="6"/>
  <c r="H708" i="6"/>
  <c r="G708" i="6"/>
  <c r="F708" i="6"/>
  <c r="E708" i="6"/>
  <c r="C708" i="6"/>
  <c r="D708" i="6"/>
  <c r="B708" i="6"/>
  <c r="D707" i="6"/>
  <c r="AB706" i="6"/>
  <c r="AA706" i="6"/>
  <c r="Z706" i="6"/>
  <c r="Y706" i="6"/>
  <c r="X706" i="6"/>
  <c r="W706" i="6"/>
  <c r="V706" i="6"/>
  <c r="U706" i="6"/>
  <c r="T706" i="6"/>
  <c r="H706" i="6"/>
  <c r="G706" i="6"/>
  <c r="F706" i="6"/>
  <c r="E706" i="6"/>
  <c r="C706" i="6"/>
  <c r="D706" i="6"/>
  <c r="B706" i="6"/>
  <c r="H705" i="6"/>
  <c r="G705" i="6"/>
  <c r="H704" i="6"/>
  <c r="G704" i="6"/>
  <c r="F704" i="6"/>
  <c r="H703" i="6"/>
  <c r="G703" i="6"/>
  <c r="F703" i="6"/>
  <c r="D702" i="6"/>
  <c r="D701" i="6"/>
  <c r="D700" i="6"/>
  <c r="D699" i="6"/>
  <c r="AB698" i="6"/>
  <c r="AA698" i="6"/>
  <c r="Z698" i="6"/>
  <c r="Y698" i="6"/>
  <c r="X698" i="6"/>
  <c r="W698" i="6"/>
  <c r="V698" i="6"/>
  <c r="U698" i="6"/>
  <c r="T698" i="6"/>
  <c r="H698" i="6"/>
  <c r="G698" i="6"/>
  <c r="F698" i="6"/>
  <c r="E698" i="6"/>
  <c r="C698" i="6"/>
  <c r="D698" i="6"/>
  <c r="B698" i="6"/>
  <c r="D697" i="6"/>
  <c r="AB696" i="6"/>
  <c r="AA696" i="6"/>
  <c r="Z696" i="6"/>
  <c r="Y696" i="6"/>
  <c r="X696" i="6"/>
  <c r="W696" i="6"/>
  <c r="V696" i="6"/>
  <c r="U696" i="6"/>
  <c r="T696" i="6"/>
  <c r="H696" i="6"/>
  <c r="G696" i="6"/>
  <c r="F696" i="6"/>
  <c r="E696" i="6"/>
  <c r="C696" i="6"/>
  <c r="D696" i="6"/>
  <c r="B696" i="6"/>
  <c r="H695" i="6"/>
  <c r="G695" i="6"/>
  <c r="H694" i="6"/>
  <c r="G694" i="6"/>
  <c r="F694" i="6"/>
  <c r="H693" i="6"/>
  <c r="G693" i="6"/>
  <c r="F693" i="6"/>
  <c r="D692" i="6"/>
  <c r="D691" i="6"/>
  <c r="D690" i="6"/>
  <c r="D689" i="6"/>
  <c r="C688" i="6"/>
  <c r="AB687" i="6"/>
  <c r="AA687" i="6"/>
  <c r="Z687" i="6"/>
  <c r="Y687" i="6"/>
  <c r="X687" i="6"/>
  <c r="W687" i="6"/>
  <c r="V687" i="6"/>
  <c r="U687" i="6"/>
  <c r="T687" i="6"/>
  <c r="H687" i="6"/>
  <c r="G687" i="6"/>
  <c r="F687" i="6"/>
  <c r="E687" i="6"/>
  <c r="C687" i="6"/>
  <c r="D687" i="6"/>
  <c r="B687" i="6"/>
  <c r="H686" i="6"/>
  <c r="G686" i="6"/>
  <c r="H685" i="6"/>
  <c r="G685" i="6"/>
  <c r="F685" i="6"/>
  <c r="H684" i="6"/>
  <c r="G684" i="6"/>
  <c r="F684" i="6"/>
  <c r="D683" i="6"/>
  <c r="D682" i="6"/>
  <c r="D681" i="6"/>
  <c r="D680" i="6"/>
  <c r="C679" i="6"/>
  <c r="AB678" i="6"/>
  <c r="AA678" i="6"/>
  <c r="Z678" i="6"/>
  <c r="Y678" i="6"/>
  <c r="X678" i="6"/>
  <c r="W678" i="6"/>
  <c r="V678" i="6"/>
  <c r="U678" i="6"/>
  <c r="T678" i="6"/>
  <c r="H678" i="6"/>
  <c r="G678" i="6"/>
  <c r="F678" i="6"/>
  <c r="E678" i="6"/>
  <c r="C678" i="6"/>
  <c r="D678" i="6"/>
  <c r="B678" i="6"/>
  <c r="H677" i="6"/>
  <c r="G677" i="6"/>
  <c r="H676" i="6"/>
  <c r="G676" i="6"/>
  <c r="F676" i="6"/>
  <c r="H675" i="6"/>
  <c r="G675" i="6"/>
  <c r="F675" i="6"/>
  <c r="D674" i="6"/>
  <c r="D673" i="6"/>
  <c r="D672" i="6"/>
  <c r="D671" i="6"/>
  <c r="C670" i="6"/>
  <c r="AB669" i="6"/>
  <c r="AA669" i="6"/>
  <c r="Z669" i="6"/>
  <c r="Y669" i="6"/>
  <c r="X669" i="6"/>
  <c r="W669" i="6"/>
  <c r="V669" i="6"/>
  <c r="U669" i="6"/>
  <c r="T669" i="6"/>
  <c r="H669" i="6"/>
  <c r="G669" i="6"/>
  <c r="F669" i="6"/>
  <c r="E669" i="6"/>
  <c r="C669" i="6"/>
  <c r="D669" i="6"/>
  <c r="B669" i="6"/>
  <c r="H668" i="6"/>
  <c r="G668" i="6"/>
  <c r="H667" i="6"/>
  <c r="G667" i="6"/>
  <c r="F667" i="6"/>
  <c r="H666" i="6"/>
  <c r="G666" i="6"/>
  <c r="F666" i="6"/>
  <c r="D665" i="6"/>
  <c r="D664" i="6"/>
  <c r="D663" i="6"/>
  <c r="D662" i="6"/>
  <c r="AB661" i="6"/>
  <c r="AA661" i="6"/>
  <c r="Z661" i="6"/>
  <c r="Y661" i="6"/>
  <c r="X661" i="6"/>
  <c r="W661" i="6"/>
  <c r="V661" i="6"/>
  <c r="U661" i="6"/>
  <c r="T661" i="6"/>
  <c r="H661" i="6"/>
  <c r="G661" i="6"/>
  <c r="F661" i="6"/>
  <c r="E661" i="6"/>
  <c r="C661" i="6"/>
  <c r="D661" i="6"/>
  <c r="B661" i="6"/>
  <c r="H660" i="6"/>
  <c r="G660" i="6"/>
  <c r="H659" i="6"/>
  <c r="G659" i="6"/>
  <c r="F659" i="6"/>
  <c r="H658" i="6"/>
  <c r="G658" i="6"/>
  <c r="F658" i="6"/>
  <c r="D651" i="6"/>
  <c r="D650" i="6"/>
  <c r="D649" i="6"/>
  <c r="D648" i="6"/>
  <c r="AB647" i="6"/>
  <c r="AA647" i="6"/>
  <c r="Z647" i="6"/>
  <c r="Y647" i="6"/>
  <c r="X647" i="6"/>
  <c r="W647" i="6"/>
  <c r="V647" i="6"/>
  <c r="U647" i="6"/>
  <c r="T647" i="6"/>
  <c r="H647" i="6"/>
  <c r="G647" i="6"/>
  <c r="F647" i="6"/>
  <c r="E647" i="6"/>
  <c r="C647" i="6"/>
  <c r="D647" i="6"/>
  <c r="B647" i="6"/>
  <c r="H646" i="6"/>
  <c r="G646" i="6"/>
  <c r="H645" i="6"/>
  <c r="G645" i="6"/>
  <c r="F645" i="6"/>
  <c r="H644" i="6"/>
  <c r="G644" i="6"/>
  <c r="F644" i="6"/>
  <c r="D637" i="6"/>
  <c r="D636" i="6"/>
  <c r="D635" i="6"/>
  <c r="D634" i="6"/>
  <c r="C633" i="6"/>
  <c r="AB632" i="6"/>
  <c r="AA632" i="6"/>
  <c r="Z632" i="6"/>
  <c r="Y632" i="6"/>
  <c r="X632" i="6"/>
  <c r="W632" i="6"/>
  <c r="V632" i="6"/>
  <c r="U632" i="6"/>
  <c r="T632" i="6"/>
  <c r="H632" i="6"/>
  <c r="G632" i="6"/>
  <c r="F632" i="6"/>
  <c r="E632" i="6"/>
  <c r="C632" i="6"/>
  <c r="D632" i="6"/>
  <c r="B632" i="6"/>
  <c r="H631" i="6"/>
  <c r="G631" i="6"/>
  <c r="H630" i="6"/>
  <c r="G630" i="6"/>
  <c r="F630" i="6"/>
  <c r="H629" i="6"/>
  <c r="G629" i="6"/>
  <c r="F629" i="6"/>
  <c r="D622" i="6"/>
  <c r="D621" i="6"/>
  <c r="D620" i="6"/>
  <c r="D619" i="6"/>
  <c r="C618" i="6"/>
  <c r="AB617" i="6"/>
  <c r="AA617" i="6"/>
  <c r="Z617" i="6"/>
  <c r="Y617" i="6"/>
  <c r="X617" i="6"/>
  <c r="W617" i="6"/>
  <c r="V617" i="6"/>
  <c r="U617" i="6"/>
  <c r="T617" i="6"/>
  <c r="H617" i="6"/>
  <c r="G617" i="6"/>
  <c r="F617" i="6"/>
  <c r="E617" i="6"/>
  <c r="C617" i="6"/>
  <c r="D617" i="6"/>
  <c r="B617" i="6"/>
  <c r="H616" i="6"/>
  <c r="G616" i="6"/>
  <c r="H615" i="6"/>
  <c r="G615" i="6"/>
  <c r="F615" i="6"/>
  <c r="H614" i="6"/>
  <c r="G614" i="6"/>
  <c r="F614" i="6"/>
  <c r="D613" i="6"/>
  <c r="D612" i="6"/>
  <c r="D611" i="6"/>
  <c r="D610" i="6"/>
  <c r="C609" i="6"/>
  <c r="AB608" i="6"/>
  <c r="AA608" i="6"/>
  <c r="Z608" i="6"/>
  <c r="Y608" i="6"/>
  <c r="X608" i="6"/>
  <c r="W608" i="6"/>
  <c r="V608" i="6"/>
  <c r="U608" i="6"/>
  <c r="T608" i="6"/>
  <c r="H608" i="6"/>
  <c r="G608" i="6"/>
  <c r="F608" i="6"/>
  <c r="E608" i="6"/>
  <c r="C608" i="6"/>
  <c r="D608" i="6"/>
  <c r="B608" i="6"/>
  <c r="A607" i="6"/>
  <c r="H603" i="6"/>
  <c r="C603" i="6"/>
  <c r="H601" i="6"/>
  <c r="G601" i="6"/>
  <c r="H600" i="6"/>
  <c r="G600" i="6"/>
  <c r="F600" i="6"/>
  <c r="H599" i="6"/>
  <c r="G599" i="6"/>
  <c r="F599" i="6"/>
  <c r="D598" i="6"/>
  <c r="D597" i="6"/>
  <c r="D596" i="6"/>
  <c r="D595" i="6"/>
  <c r="C594" i="6"/>
  <c r="AB593" i="6"/>
  <c r="AA593" i="6"/>
  <c r="Z593" i="6"/>
  <c r="Y593" i="6"/>
  <c r="X593" i="6"/>
  <c r="W593" i="6"/>
  <c r="V593" i="6"/>
  <c r="U593" i="6"/>
  <c r="T593" i="6"/>
  <c r="H593" i="6"/>
  <c r="G593" i="6"/>
  <c r="F593" i="6"/>
  <c r="E593" i="6"/>
  <c r="C593" i="6"/>
  <c r="D593" i="6"/>
  <c r="B593" i="6"/>
  <c r="D592" i="6"/>
  <c r="AB591" i="6"/>
  <c r="AA591" i="6"/>
  <c r="Z591" i="6"/>
  <c r="Y591" i="6"/>
  <c r="X591" i="6"/>
  <c r="W591" i="6"/>
  <c r="V591" i="6"/>
  <c r="U591" i="6"/>
  <c r="T591" i="6"/>
  <c r="H591" i="6"/>
  <c r="G591" i="6"/>
  <c r="F591" i="6"/>
  <c r="E591" i="6"/>
  <c r="C591" i="6"/>
  <c r="D591" i="6"/>
  <c r="B591" i="6"/>
  <c r="D590" i="6"/>
  <c r="AB589" i="6"/>
  <c r="AA589" i="6"/>
  <c r="Z589" i="6"/>
  <c r="Y589" i="6"/>
  <c r="X589" i="6"/>
  <c r="W589" i="6"/>
  <c r="V589" i="6"/>
  <c r="U589" i="6"/>
  <c r="T589" i="6"/>
  <c r="H589" i="6"/>
  <c r="G589" i="6"/>
  <c r="F589" i="6"/>
  <c r="E589" i="6"/>
  <c r="C589" i="6"/>
  <c r="D589" i="6"/>
  <c r="B589" i="6"/>
  <c r="H588" i="6"/>
  <c r="G588" i="6"/>
  <c r="H587" i="6"/>
  <c r="G587" i="6"/>
  <c r="H586" i="6"/>
  <c r="G586" i="6"/>
  <c r="F586" i="6"/>
  <c r="H585" i="6"/>
  <c r="G585" i="6"/>
  <c r="H584" i="6"/>
  <c r="G584" i="6"/>
  <c r="F584" i="6"/>
  <c r="D583" i="6"/>
  <c r="D582" i="6"/>
  <c r="D581" i="6"/>
  <c r="D580" i="6"/>
  <c r="C579" i="6"/>
  <c r="AB578" i="6"/>
  <c r="AA578" i="6"/>
  <c r="Z578" i="6"/>
  <c r="Y578" i="6"/>
  <c r="X578" i="6"/>
  <c r="W578" i="6"/>
  <c r="V578" i="6"/>
  <c r="U578" i="6"/>
  <c r="T578" i="6"/>
  <c r="H578" i="6"/>
  <c r="G578" i="6"/>
  <c r="F578" i="6"/>
  <c r="E578" i="6"/>
  <c r="C578" i="6"/>
  <c r="D578" i="6"/>
  <c r="B578" i="6"/>
  <c r="D577" i="6"/>
  <c r="AB576" i="6"/>
  <c r="AA576" i="6"/>
  <c r="Z576" i="6"/>
  <c r="Y576" i="6"/>
  <c r="X576" i="6"/>
  <c r="W576" i="6"/>
  <c r="V576" i="6"/>
  <c r="U576" i="6"/>
  <c r="T576" i="6"/>
  <c r="H576" i="6"/>
  <c r="G576" i="6"/>
  <c r="F576" i="6"/>
  <c r="E576" i="6"/>
  <c r="C576" i="6"/>
  <c r="D576" i="6"/>
  <c r="B576" i="6"/>
  <c r="H575" i="6"/>
  <c r="G575" i="6"/>
  <c r="H574" i="6"/>
  <c r="G574" i="6"/>
  <c r="H573" i="6"/>
  <c r="G573" i="6"/>
  <c r="F573" i="6"/>
  <c r="H572" i="6"/>
  <c r="G572" i="6"/>
  <c r="H571" i="6"/>
  <c r="G571" i="6"/>
  <c r="F571" i="6"/>
  <c r="D570" i="6"/>
  <c r="D569" i="6"/>
  <c r="D568" i="6"/>
  <c r="D567" i="6"/>
  <c r="AB566" i="6"/>
  <c r="AA566" i="6"/>
  <c r="Z566" i="6"/>
  <c r="Y566" i="6"/>
  <c r="X566" i="6"/>
  <c r="W566" i="6"/>
  <c r="V566" i="6"/>
  <c r="U566" i="6"/>
  <c r="T566" i="6"/>
  <c r="H566" i="6"/>
  <c r="G566" i="6"/>
  <c r="F566" i="6"/>
  <c r="E566" i="6"/>
  <c r="C566" i="6"/>
  <c r="D566" i="6"/>
  <c r="B566" i="6"/>
  <c r="D565" i="6"/>
  <c r="AB564" i="6"/>
  <c r="AA564" i="6"/>
  <c r="Z564" i="6"/>
  <c r="Y564" i="6"/>
  <c r="X564" i="6"/>
  <c r="W564" i="6"/>
  <c r="V564" i="6"/>
  <c r="U564" i="6"/>
  <c r="T564" i="6"/>
  <c r="H564" i="6"/>
  <c r="G564" i="6"/>
  <c r="F564" i="6"/>
  <c r="E564" i="6"/>
  <c r="C564" i="6"/>
  <c r="D564" i="6"/>
  <c r="B564" i="6"/>
  <c r="D563" i="6"/>
  <c r="AB562" i="6"/>
  <c r="AA562" i="6"/>
  <c r="Z562" i="6"/>
  <c r="Y562" i="6"/>
  <c r="X562" i="6"/>
  <c r="W562" i="6"/>
  <c r="V562" i="6"/>
  <c r="U562" i="6"/>
  <c r="T562" i="6"/>
  <c r="H562" i="6"/>
  <c r="G562" i="6"/>
  <c r="F562" i="6"/>
  <c r="E562" i="6"/>
  <c r="C562" i="6"/>
  <c r="D562" i="6"/>
  <c r="B562" i="6"/>
  <c r="H561" i="6"/>
  <c r="G561" i="6"/>
  <c r="H560" i="6"/>
  <c r="G560" i="6"/>
  <c r="H559" i="6"/>
  <c r="G559" i="6"/>
  <c r="F559" i="6"/>
  <c r="H558" i="6"/>
  <c r="G558" i="6"/>
  <c r="H557" i="6"/>
  <c r="G557" i="6"/>
  <c r="F557" i="6"/>
  <c r="D556" i="6"/>
  <c r="D555" i="6"/>
  <c r="D554" i="6"/>
  <c r="D553" i="6"/>
  <c r="C552" i="6"/>
  <c r="AB551" i="6"/>
  <c r="AA551" i="6"/>
  <c r="Z551" i="6"/>
  <c r="Y551" i="6"/>
  <c r="X551" i="6"/>
  <c r="W551" i="6"/>
  <c r="V551" i="6"/>
  <c r="U551" i="6"/>
  <c r="T551" i="6"/>
  <c r="H551" i="6"/>
  <c r="G551" i="6"/>
  <c r="F551" i="6"/>
  <c r="E551" i="6"/>
  <c r="C551" i="6"/>
  <c r="D551" i="6"/>
  <c r="B551" i="6"/>
  <c r="H550" i="6"/>
  <c r="G550" i="6"/>
  <c r="H549" i="6"/>
  <c r="G549" i="6"/>
  <c r="F549" i="6"/>
  <c r="H548" i="6"/>
  <c r="G548" i="6"/>
  <c r="F548" i="6"/>
  <c r="D547" i="6"/>
  <c r="D546" i="6"/>
  <c r="D545" i="6"/>
  <c r="D544" i="6"/>
  <c r="C543" i="6"/>
  <c r="AB542" i="6"/>
  <c r="AA542" i="6"/>
  <c r="Z542" i="6"/>
  <c r="Y542" i="6"/>
  <c r="X542" i="6"/>
  <c r="W542" i="6"/>
  <c r="V542" i="6"/>
  <c r="U542" i="6"/>
  <c r="T542" i="6"/>
  <c r="H542" i="6"/>
  <c r="G542" i="6"/>
  <c r="F542" i="6"/>
  <c r="E542" i="6"/>
  <c r="C542" i="6"/>
  <c r="D542" i="6"/>
  <c r="B542" i="6"/>
  <c r="A541" i="6"/>
  <c r="H537" i="6"/>
  <c r="C537" i="6"/>
  <c r="D535" i="6"/>
  <c r="AB534" i="6"/>
  <c r="AA534" i="6"/>
  <c r="Z534" i="6"/>
  <c r="Y534" i="6"/>
  <c r="X534" i="6"/>
  <c r="W534" i="6"/>
  <c r="V534" i="6"/>
  <c r="U534" i="6"/>
  <c r="T534" i="6"/>
  <c r="H534" i="6"/>
  <c r="G534" i="6"/>
  <c r="F534" i="6"/>
  <c r="E534" i="6"/>
  <c r="C534" i="6"/>
  <c r="D534" i="6"/>
  <c r="B534" i="6"/>
  <c r="D533" i="6"/>
  <c r="AB532" i="6"/>
  <c r="AA532" i="6"/>
  <c r="Z532" i="6"/>
  <c r="Y532" i="6"/>
  <c r="X532" i="6"/>
  <c r="W532" i="6"/>
  <c r="V532" i="6"/>
  <c r="U532" i="6"/>
  <c r="T532" i="6"/>
  <c r="H532" i="6"/>
  <c r="G532" i="6"/>
  <c r="F532" i="6"/>
  <c r="E532" i="6"/>
  <c r="C532" i="6"/>
  <c r="D532" i="6"/>
  <c r="B532" i="6"/>
  <c r="H531" i="6"/>
  <c r="G531" i="6"/>
  <c r="H530" i="6"/>
  <c r="G530" i="6"/>
  <c r="F530" i="6"/>
  <c r="H529" i="6"/>
  <c r="G529" i="6"/>
  <c r="F529" i="6"/>
  <c r="D528" i="6"/>
  <c r="D527" i="6"/>
  <c r="D526" i="6"/>
  <c r="D525" i="6"/>
  <c r="AB524" i="6"/>
  <c r="AA524" i="6"/>
  <c r="Z524" i="6"/>
  <c r="Y524" i="6"/>
  <c r="X524" i="6"/>
  <c r="W524" i="6"/>
  <c r="V524" i="6"/>
  <c r="U524" i="6"/>
  <c r="T524" i="6"/>
  <c r="H524" i="6"/>
  <c r="G524" i="6"/>
  <c r="F524" i="6"/>
  <c r="E524" i="6"/>
  <c r="C524" i="6"/>
  <c r="D524" i="6"/>
  <c r="B524" i="6"/>
  <c r="D523" i="6"/>
  <c r="AB522" i="6"/>
  <c r="AA522" i="6"/>
  <c r="Z522" i="6"/>
  <c r="Y522" i="6"/>
  <c r="X522" i="6"/>
  <c r="W522" i="6"/>
  <c r="V522" i="6"/>
  <c r="U522" i="6"/>
  <c r="T522" i="6"/>
  <c r="H522" i="6"/>
  <c r="G522" i="6"/>
  <c r="F522" i="6"/>
  <c r="E522" i="6"/>
  <c r="C522" i="6"/>
  <c r="D522" i="6"/>
  <c r="B522" i="6"/>
  <c r="H521" i="6"/>
  <c r="G521" i="6"/>
  <c r="H520" i="6"/>
  <c r="G520" i="6"/>
  <c r="F520" i="6"/>
  <c r="H519" i="6"/>
  <c r="G519" i="6"/>
  <c r="F519" i="6"/>
  <c r="D518" i="6"/>
  <c r="D517" i="6"/>
  <c r="D516" i="6"/>
  <c r="D515" i="6"/>
  <c r="C514" i="6"/>
  <c r="AB513" i="6"/>
  <c r="AA513" i="6"/>
  <c r="Z513" i="6"/>
  <c r="Y513" i="6"/>
  <c r="X513" i="6"/>
  <c r="W513" i="6"/>
  <c r="V513" i="6"/>
  <c r="U513" i="6"/>
  <c r="T513" i="6"/>
  <c r="H513" i="6"/>
  <c r="G513" i="6"/>
  <c r="F513" i="6"/>
  <c r="E513" i="6"/>
  <c r="C513" i="6"/>
  <c r="D513" i="6"/>
  <c r="B513" i="6"/>
  <c r="H512" i="6"/>
  <c r="G512" i="6"/>
  <c r="H511" i="6"/>
  <c r="G511" i="6"/>
  <c r="H510" i="6"/>
  <c r="G510" i="6"/>
  <c r="F510" i="6"/>
  <c r="H509" i="6"/>
  <c r="G509" i="6"/>
  <c r="H508" i="6"/>
  <c r="G508" i="6"/>
  <c r="F508" i="6"/>
  <c r="D502" i="6"/>
  <c r="D501" i="6"/>
  <c r="D500" i="6"/>
  <c r="D499" i="6"/>
  <c r="C498" i="6"/>
  <c r="AB497" i="6"/>
  <c r="AA497" i="6"/>
  <c r="Z497" i="6"/>
  <c r="Y497" i="6"/>
  <c r="X497" i="6"/>
  <c r="W497" i="6"/>
  <c r="V497" i="6"/>
  <c r="U497" i="6"/>
  <c r="T497" i="6"/>
  <c r="H497" i="6"/>
  <c r="G497" i="6"/>
  <c r="F497" i="6"/>
  <c r="E497" i="6"/>
  <c r="C497" i="6"/>
  <c r="D497" i="6"/>
  <c r="B497" i="6"/>
  <c r="D496" i="6"/>
  <c r="AB495" i="6"/>
  <c r="AA495" i="6"/>
  <c r="Z495" i="6"/>
  <c r="Y495" i="6"/>
  <c r="X495" i="6"/>
  <c r="W495" i="6"/>
  <c r="V495" i="6"/>
  <c r="U495" i="6"/>
  <c r="T495" i="6"/>
  <c r="H495" i="6"/>
  <c r="G495" i="6"/>
  <c r="F495" i="6"/>
  <c r="E495" i="6"/>
  <c r="C495" i="6"/>
  <c r="D495" i="6"/>
  <c r="B495" i="6"/>
  <c r="D494" i="6"/>
  <c r="AB493" i="6"/>
  <c r="AA493" i="6"/>
  <c r="Z493" i="6"/>
  <c r="Y493" i="6"/>
  <c r="X493" i="6"/>
  <c r="W493" i="6"/>
  <c r="V493" i="6"/>
  <c r="U493" i="6"/>
  <c r="T493" i="6"/>
  <c r="H493" i="6"/>
  <c r="G493" i="6"/>
  <c r="F493" i="6"/>
  <c r="E493" i="6"/>
  <c r="C493" i="6"/>
  <c r="D493" i="6"/>
  <c r="B493" i="6"/>
  <c r="H492" i="6"/>
  <c r="G492" i="6"/>
  <c r="H491" i="6"/>
  <c r="G491" i="6"/>
  <c r="H490" i="6"/>
  <c r="G490" i="6"/>
  <c r="F490" i="6"/>
  <c r="H489" i="6"/>
  <c r="G489" i="6"/>
  <c r="H488" i="6"/>
  <c r="G488" i="6"/>
  <c r="F488" i="6"/>
  <c r="D482" i="6"/>
  <c r="D481" i="6"/>
  <c r="D480" i="6"/>
  <c r="D479" i="6"/>
  <c r="C478" i="6"/>
  <c r="AB477" i="6"/>
  <c r="AA477" i="6"/>
  <c r="Z477" i="6"/>
  <c r="Y477" i="6"/>
  <c r="X477" i="6"/>
  <c r="W477" i="6"/>
  <c r="V477" i="6"/>
  <c r="U477" i="6"/>
  <c r="T477" i="6"/>
  <c r="H477" i="6"/>
  <c r="G477" i="6"/>
  <c r="F477" i="6"/>
  <c r="E477" i="6"/>
  <c r="C477" i="6"/>
  <c r="D477" i="6"/>
  <c r="B477" i="6"/>
  <c r="D476" i="6"/>
  <c r="AB475" i="6"/>
  <c r="AA475" i="6"/>
  <c r="Z475" i="6"/>
  <c r="Y475" i="6"/>
  <c r="X475" i="6"/>
  <c r="W475" i="6"/>
  <c r="V475" i="6"/>
  <c r="U475" i="6"/>
  <c r="T475" i="6"/>
  <c r="H475" i="6"/>
  <c r="G475" i="6"/>
  <c r="F475" i="6"/>
  <c r="E475" i="6"/>
  <c r="C475" i="6"/>
  <c r="D475" i="6"/>
  <c r="B475" i="6"/>
  <c r="D474" i="6"/>
  <c r="AB473" i="6"/>
  <c r="AA473" i="6"/>
  <c r="Z473" i="6"/>
  <c r="Y473" i="6"/>
  <c r="X473" i="6"/>
  <c r="W473" i="6"/>
  <c r="V473" i="6"/>
  <c r="U473" i="6"/>
  <c r="T473" i="6"/>
  <c r="H473" i="6"/>
  <c r="G473" i="6"/>
  <c r="F473" i="6"/>
  <c r="E473" i="6"/>
  <c r="C473" i="6"/>
  <c r="D473" i="6"/>
  <c r="B473" i="6"/>
  <c r="H472" i="6"/>
  <c r="G472" i="6"/>
  <c r="H471" i="6"/>
  <c r="G471" i="6"/>
  <c r="H470" i="6"/>
  <c r="G470" i="6"/>
  <c r="F470" i="6"/>
  <c r="H469" i="6"/>
  <c r="G469" i="6"/>
  <c r="H468" i="6"/>
  <c r="G468" i="6"/>
  <c r="F468" i="6"/>
  <c r="D467" i="6"/>
  <c r="D466" i="6"/>
  <c r="D465" i="6"/>
  <c r="D464" i="6"/>
  <c r="C463" i="6"/>
  <c r="AB462" i="6"/>
  <c r="AA462" i="6"/>
  <c r="Z462" i="6"/>
  <c r="Y462" i="6"/>
  <c r="X462" i="6"/>
  <c r="W462" i="6"/>
  <c r="V462" i="6"/>
  <c r="U462" i="6"/>
  <c r="T462" i="6"/>
  <c r="H462" i="6"/>
  <c r="G462" i="6"/>
  <c r="F462" i="6"/>
  <c r="E462" i="6"/>
  <c r="C462" i="6"/>
  <c r="D462" i="6"/>
  <c r="B462" i="6"/>
  <c r="D461" i="6"/>
  <c r="AB460" i="6"/>
  <c r="AA460" i="6"/>
  <c r="Z460" i="6"/>
  <c r="Y460" i="6"/>
  <c r="X460" i="6"/>
  <c r="W460" i="6"/>
  <c r="V460" i="6"/>
  <c r="U460" i="6"/>
  <c r="T460" i="6"/>
  <c r="H460" i="6"/>
  <c r="G460" i="6"/>
  <c r="F460" i="6"/>
  <c r="E460" i="6"/>
  <c r="C460" i="6"/>
  <c r="D460" i="6"/>
  <c r="B460" i="6"/>
  <c r="D459" i="6"/>
  <c r="AB458" i="6"/>
  <c r="AA458" i="6"/>
  <c r="Z458" i="6"/>
  <c r="Y458" i="6"/>
  <c r="X458" i="6"/>
  <c r="W458" i="6"/>
  <c r="V458" i="6"/>
  <c r="U458" i="6"/>
  <c r="T458" i="6"/>
  <c r="H458" i="6"/>
  <c r="G458" i="6"/>
  <c r="F458" i="6"/>
  <c r="E458" i="6"/>
  <c r="C458" i="6"/>
  <c r="D458" i="6"/>
  <c r="B458" i="6"/>
  <c r="H457" i="6"/>
  <c r="G457" i="6"/>
  <c r="H456" i="6"/>
  <c r="G456" i="6"/>
  <c r="H455" i="6"/>
  <c r="G455" i="6"/>
  <c r="F455" i="6"/>
  <c r="H454" i="6"/>
  <c r="G454" i="6"/>
  <c r="H453" i="6"/>
  <c r="G453" i="6"/>
  <c r="F453" i="6"/>
  <c r="D452" i="6"/>
  <c r="D451" i="6"/>
  <c r="D450" i="6"/>
  <c r="D449" i="6"/>
  <c r="C448" i="6"/>
  <c r="AB447" i="6"/>
  <c r="AA447" i="6"/>
  <c r="Z447" i="6"/>
  <c r="Y447" i="6"/>
  <c r="X447" i="6"/>
  <c r="W447" i="6"/>
  <c r="V447" i="6"/>
  <c r="U447" i="6"/>
  <c r="T447" i="6"/>
  <c r="H447" i="6"/>
  <c r="G447" i="6"/>
  <c r="F447" i="6"/>
  <c r="E447" i="6"/>
  <c r="C447" i="6"/>
  <c r="D447" i="6"/>
  <c r="B447" i="6"/>
  <c r="D446" i="6"/>
  <c r="AB445" i="6"/>
  <c r="AA445" i="6"/>
  <c r="Z445" i="6"/>
  <c r="Y445" i="6"/>
  <c r="X445" i="6"/>
  <c r="W445" i="6"/>
  <c r="V445" i="6"/>
  <c r="U445" i="6"/>
  <c r="T445" i="6"/>
  <c r="H445" i="6"/>
  <c r="G445" i="6"/>
  <c r="F445" i="6"/>
  <c r="E445" i="6"/>
  <c r="C445" i="6"/>
  <c r="D445" i="6"/>
  <c r="B445" i="6"/>
  <c r="D444" i="6"/>
  <c r="AB443" i="6"/>
  <c r="AA443" i="6"/>
  <c r="Z443" i="6"/>
  <c r="Y443" i="6"/>
  <c r="X443" i="6"/>
  <c r="W443" i="6"/>
  <c r="V443" i="6"/>
  <c r="U443" i="6"/>
  <c r="T443" i="6"/>
  <c r="H443" i="6"/>
  <c r="G443" i="6"/>
  <c r="F443" i="6"/>
  <c r="E443" i="6"/>
  <c r="C443" i="6"/>
  <c r="D443" i="6"/>
  <c r="B443" i="6"/>
  <c r="H442" i="6"/>
  <c r="G442" i="6"/>
  <c r="H441" i="6"/>
  <c r="G441" i="6"/>
  <c r="H440" i="6"/>
  <c r="G440" i="6"/>
  <c r="F440" i="6"/>
  <c r="H439" i="6"/>
  <c r="G439" i="6"/>
  <c r="H438" i="6"/>
  <c r="G438" i="6"/>
  <c r="F438" i="6"/>
  <c r="D432" i="6"/>
  <c r="D431" i="6"/>
  <c r="D430" i="6"/>
  <c r="D429" i="6"/>
  <c r="C428" i="6"/>
  <c r="AB427" i="6"/>
  <c r="AA427" i="6"/>
  <c r="Z427" i="6"/>
  <c r="Y427" i="6"/>
  <c r="X427" i="6"/>
  <c r="W427" i="6"/>
  <c r="V427" i="6"/>
  <c r="U427" i="6"/>
  <c r="T427" i="6"/>
  <c r="H427" i="6"/>
  <c r="G427" i="6"/>
  <c r="F427" i="6"/>
  <c r="E427" i="6"/>
  <c r="C427" i="6"/>
  <c r="D427" i="6"/>
  <c r="B427" i="6"/>
  <c r="D426" i="6"/>
  <c r="AB425" i="6"/>
  <c r="AA425" i="6"/>
  <c r="Z425" i="6"/>
  <c r="Y425" i="6"/>
  <c r="X425" i="6"/>
  <c r="W425" i="6"/>
  <c r="V425" i="6"/>
  <c r="U425" i="6"/>
  <c r="T425" i="6"/>
  <c r="H425" i="6"/>
  <c r="G425" i="6"/>
  <c r="F425" i="6"/>
  <c r="E425" i="6"/>
  <c r="C425" i="6"/>
  <c r="D425" i="6"/>
  <c r="B425" i="6"/>
  <c r="D424" i="6"/>
  <c r="AB423" i="6"/>
  <c r="AA423" i="6"/>
  <c r="Z423" i="6"/>
  <c r="Y423" i="6"/>
  <c r="X423" i="6"/>
  <c r="W423" i="6"/>
  <c r="V423" i="6"/>
  <c r="U423" i="6"/>
  <c r="T423" i="6"/>
  <c r="H423" i="6"/>
  <c r="G423" i="6"/>
  <c r="F423" i="6"/>
  <c r="E423" i="6"/>
  <c r="C423" i="6"/>
  <c r="D423" i="6"/>
  <c r="B423" i="6"/>
  <c r="H422" i="6"/>
  <c r="G422" i="6"/>
  <c r="H421" i="6"/>
  <c r="G421" i="6"/>
  <c r="H420" i="6"/>
  <c r="G420" i="6"/>
  <c r="F420" i="6"/>
  <c r="H419" i="6"/>
  <c r="G419" i="6"/>
  <c r="H418" i="6"/>
  <c r="G418" i="6"/>
  <c r="F418" i="6"/>
  <c r="D412" i="6"/>
  <c r="D411" i="6"/>
  <c r="D410" i="6"/>
  <c r="D409" i="6"/>
  <c r="C408" i="6"/>
  <c r="AB407" i="6"/>
  <c r="AA407" i="6"/>
  <c r="Z407" i="6"/>
  <c r="Y407" i="6"/>
  <c r="X407" i="6"/>
  <c r="W407" i="6"/>
  <c r="V407" i="6"/>
  <c r="U407" i="6"/>
  <c r="T407" i="6"/>
  <c r="H407" i="6"/>
  <c r="G407" i="6"/>
  <c r="F407" i="6"/>
  <c r="E407" i="6"/>
  <c r="C407" i="6"/>
  <c r="D407" i="6"/>
  <c r="B407" i="6"/>
  <c r="D406" i="6"/>
  <c r="AB405" i="6"/>
  <c r="AA405" i="6"/>
  <c r="Z405" i="6"/>
  <c r="Y405" i="6"/>
  <c r="X405" i="6"/>
  <c r="W405" i="6"/>
  <c r="V405" i="6"/>
  <c r="U405" i="6"/>
  <c r="T405" i="6"/>
  <c r="H405" i="6"/>
  <c r="G405" i="6"/>
  <c r="F405" i="6"/>
  <c r="E405" i="6"/>
  <c r="C405" i="6"/>
  <c r="D405" i="6"/>
  <c r="B405" i="6"/>
  <c r="D404" i="6"/>
  <c r="AB403" i="6"/>
  <c r="AA403" i="6"/>
  <c r="Z403" i="6"/>
  <c r="Y403" i="6"/>
  <c r="X403" i="6"/>
  <c r="W403" i="6"/>
  <c r="V403" i="6"/>
  <c r="U403" i="6"/>
  <c r="T403" i="6"/>
  <c r="H403" i="6"/>
  <c r="G403" i="6"/>
  <c r="F403" i="6"/>
  <c r="E403" i="6"/>
  <c r="D403" i="6"/>
  <c r="B403" i="6"/>
  <c r="H402" i="6"/>
  <c r="G402" i="6"/>
  <c r="H401" i="6"/>
  <c r="G401" i="6"/>
  <c r="F401" i="6"/>
  <c r="H400" i="6"/>
  <c r="G400" i="6"/>
  <c r="F400" i="6"/>
  <c r="D399" i="6"/>
  <c r="D398" i="6"/>
  <c r="D397" i="6"/>
  <c r="D396" i="6"/>
  <c r="C395" i="6"/>
  <c r="AB394" i="6"/>
  <c r="AA394" i="6"/>
  <c r="Z394" i="6"/>
  <c r="Y394" i="6"/>
  <c r="X394" i="6"/>
  <c r="W394" i="6"/>
  <c r="V394" i="6"/>
  <c r="U394" i="6"/>
  <c r="T394" i="6"/>
  <c r="H394" i="6"/>
  <c r="G394" i="6"/>
  <c r="F394" i="6"/>
  <c r="E394" i="6"/>
  <c r="C394" i="6"/>
  <c r="D394" i="6"/>
  <c r="B394" i="6"/>
  <c r="D393" i="6"/>
  <c r="AB392" i="6"/>
  <c r="AA392" i="6"/>
  <c r="Z392" i="6"/>
  <c r="Y392" i="6"/>
  <c r="X392" i="6"/>
  <c r="W392" i="6"/>
  <c r="V392" i="6"/>
  <c r="U392" i="6"/>
  <c r="T392" i="6"/>
  <c r="H392" i="6"/>
  <c r="G392" i="6"/>
  <c r="F392" i="6"/>
  <c r="E392" i="6"/>
  <c r="C392" i="6"/>
  <c r="D392" i="6"/>
  <c r="B392" i="6"/>
  <c r="D391" i="6"/>
  <c r="AB390" i="6"/>
  <c r="AA390" i="6"/>
  <c r="Z390" i="6"/>
  <c r="Y390" i="6"/>
  <c r="X390" i="6"/>
  <c r="W390" i="6"/>
  <c r="V390" i="6"/>
  <c r="U390" i="6"/>
  <c r="T390" i="6"/>
  <c r="H390" i="6"/>
  <c r="G390" i="6"/>
  <c r="F390" i="6"/>
  <c r="E390" i="6"/>
  <c r="C390" i="6"/>
  <c r="D390" i="6"/>
  <c r="B390" i="6"/>
  <c r="D389" i="6"/>
  <c r="AB388" i="6"/>
  <c r="AA388" i="6"/>
  <c r="Z388" i="6"/>
  <c r="Y388" i="6"/>
  <c r="X388" i="6"/>
  <c r="W388" i="6"/>
  <c r="V388" i="6"/>
  <c r="U388" i="6"/>
  <c r="T388" i="6"/>
  <c r="H388" i="6"/>
  <c r="G388" i="6"/>
  <c r="F388" i="6"/>
  <c r="E388" i="6"/>
  <c r="C388" i="6"/>
  <c r="D388" i="6"/>
  <c r="B388" i="6"/>
  <c r="D387" i="6"/>
  <c r="AB386" i="6"/>
  <c r="AA386" i="6"/>
  <c r="Z386" i="6"/>
  <c r="Y386" i="6"/>
  <c r="X386" i="6"/>
  <c r="W386" i="6"/>
  <c r="V386" i="6"/>
  <c r="U386" i="6"/>
  <c r="T386" i="6"/>
  <c r="H386" i="6"/>
  <c r="G386" i="6"/>
  <c r="F386" i="6"/>
  <c r="E386" i="6"/>
  <c r="C386" i="6"/>
  <c r="D386" i="6"/>
  <c r="B386" i="6"/>
  <c r="D385" i="6"/>
  <c r="AB384" i="6"/>
  <c r="AA384" i="6"/>
  <c r="Z384" i="6"/>
  <c r="Y384" i="6"/>
  <c r="X384" i="6"/>
  <c r="W384" i="6"/>
  <c r="V384" i="6"/>
  <c r="U384" i="6"/>
  <c r="T384" i="6"/>
  <c r="H384" i="6"/>
  <c r="G384" i="6"/>
  <c r="F384" i="6"/>
  <c r="E384" i="6"/>
  <c r="C384" i="6"/>
  <c r="D384" i="6"/>
  <c r="B384" i="6"/>
  <c r="D383" i="6"/>
  <c r="AB382" i="6"/>
  <c r="AA382" i="6"/>
  <c r="Z382" i="6"/>
  <c r="Y382" i="6"/>
  <c r="X382" i="6"/>
  <c r="W382" i="6"/>
  <c r="V382" i="6"/>
  <c r="U382" i="6"/>
  <c r="T382" i="6"/>
  <c r="H382" i="6"/>
  <c r="G382" i="6"/>
  <c r="F382" i="6"/>
  <c r="E382" i="6"/>
  <c r="C382" i="6"/>
  <c r="D382" i="6"/>
  <c r="B382" i="6"/>
  <c r="D381" i="6"/>
  <c r="AB380" i="6"/>
  <c r="AA380" i="6"/>
  <c r="Z380" i="6"/>
  <c r="Y380" i="6"/>
  <c r="X380" i="6"/>
  <c r="W380" i="6"/>
  <c r="V380" i="6"/>
  <c r="U380" i="6"/>
  <c r="T380" i="6"/>
  <c r="H380" i="6"/>
  <c r="G380" i="6"/>
  <c r="F380" i="6"/>
  <c r="E380" i="6"/>
  <c r="C380" i="6"/>
  <c r="D380" i="6"/>
  <c r="B380" i="6"/>
  <c r="D379" i="6"/>
  <c r="AB378" i="6"/>
  <c r="AA378" i="6"/>
  <c r="Z378" i="6"/>
  <c r="Y378" i="6"/>
  <c r="X378" i="6"/>
  <c r="W378" i="6"/>
  <c r="V378" i="6"/>
  <c r="U378" i="6"/>
  <c r="T378" i="6"/>
  <c r="H378" i="6"/>
  <c r="G378" i="6"/>
  <c r="F378" i="6"/>
  <c r="E378" i="6"/>
  <c r="C378" i="6"/>
  <c r="D378" i="6"/>
  <c r="B378" i="6"/>
  <c r="H377" i="6"/>
  <c r="G377" i="6"/>
  <c r="H376" i="6"/>
  <c r="G376" i="6"/>
  <c r="H375" i="6"/>
  <c r="G375" i="6"/>
  <c r="F375" i="6"/>
  <c r="H374" i="6"/>
  <c r="G374" i="6"/>
  <c r="H373" i="6"/>
  <c r="G373" i="6"/>
  <c r="F373" i="6"/>
  <c r="D367" i="6"/>
  <c r="D366" i="6"/>
  <c r="D365" i="6"/>
  <c r="D364" i="6"/>
  <c r="C363" i="6"/>
  <c r="AB362" i="6"/>
  <c r="AA362" i="6"/>
  <c r="Z362" i="6"/>
  <c r="Y362" i="6"/>
  <c r="X362" i="6"/>
  <c r="W362" i="6"/>
  <c r="V362" i="6"/>
  <c r="U362" i="6"/>
  <c r="T362" i="6"/>
  <c r="H362" i="6"/>
  <c r="G362" i="6"/>
  <c r="F362" i="6"/>
  <c r="E362" i="6"/>
  <c r="C362" i="6"/>
  <c r="D362" i="6"/>
  <c r="B362" i="6"/>
  <c r="H361" i="6"/>
  <c r="G361" i="6"/>
  <c r="H360" i="6"/>
  <c r="G360" i="6"/>
  <c r="H359" i="6"/>
  <c r="G359" i="6"/>
  <c r="F359" i="6"/>
  <c r="H358" i="6"/>
  <c r="G358" i="6"/>
  <c r="H357" i="6"/>
  <c r="G357" i="6"/>
  <c r="F357" i="6"/>
  <c r="D351" i="6"/>
  <c r="D350" i="6"/>
  <c r="D349" i="6"/>
  <c r="D348" i="6"/>
  <c r="C347" i="6"/>
  <c r="AB346" i="6"/>
  <c r="AA346" i="6"/>
  <c r="Z346" i="6"/>
  <c r="Y346" i="6"/>
  <c r="X346" i="6"/>
  <c r="W346" i="6"/>
  <c r="V346" i="6"/>
  <c r="U346" i="6"/>
  <c r="T346" i="6"/>
  <c r="H346" i="6"/>
  <c r="G346" i="6"/>
  <c r="F346" i="6"/>
  <c r="E346" i="6"/>
  <c r="C346" i="6"/>
  <c r="D346" i="6"/>
  <c r="B346" i="6"/>
  <c r="D345" i="6"/>
  <c r="AB344" i="6"/>
  <c r="AA344" i="6"/>
  <c r="Z344" i="6"/>
  <c r="Y344" i="6"/>
  <c r="X344" i="6"/>
  <c r="W344" i="6"/>
  <c r="V344" i="6"/>
  <c r="U344" i="6"/>
  <c r="T344" i="6"/>
  <c r="H344" i="6"/>
  <c r="G344" i="6"/>
  <c r="F344" i="6"/>
  <c r="E344" i="6"/>
  <c r="C344" i="6"/>
  <c r="D344" i="6"/>
  <c r="B344" i="6"/>
  <c r="D343" i="6"/>
  <c r="AB342" i="6"/>
  <c r="AA342" i="6"/>
  <c r="Z342" i="6"/>
  <c r="Y342" i="6"/>
  <c r="X342" i="6"/>
  <c r="W342" i="6"/>
  <c r="V342" i="6"/>
  <c r="U342" i="6"/>
  <c r="T342" i="6"/>
  <c r="H342" i="6"/>
  <c r="G342" i="6"/>
  <c r="F342" i="6"/>
  <c r="E342" i="6"/>
  <c r="C342" i="6"/>
  <c r="D342" i="6"/>
  <c r="B342" i="6"/>
  <c r="D341" i="6"/>
  <c r="AB340" i="6"/>
  <c r="AA340" i="6"/>
  <c r="Z340" i="6"/>
  <c r="Y340" i="6"/>
  <c r="X340" i="6"/>
  <c r="W340" i="6"/>
  <c r="V340" i="6"/>
  <c r="U340" i="6"/>
  <c r="T340" i="6"/>
  <c r="H340" i="6"/>
  <c r="G340" i="6"/>
  <c r="F340" i="6"/>
  <c r="E340" i="6"/>
  <c r="C340" i="6"/>
  <c r="D340" i="6"/>
  <c r="B340" i="6"/>
  <c r="H339" i="6"/>
  <c r="G339" i="6"/>
  <c r="H338" i="6"/>
  <c r="G338" i="6"/>
  <c r="H337" i="6"/>
  <c r="G337" i="6"/>
  <c r="F337" i="6"/>
  <c r="H336" i="6"/>
  <c r="G336" i="6"/>
  <c r="H335" i="6"/>
  <c r="G335" i="6"/>
  <c r="F335" i="6"/>
  <c r="D329" i="6"/>
  <c r="D328" i="6"/>
  <c r="D327" i="6"/>
  <c r="D326" i="6"/>
  <c r="C325" i="6"/>
  <c r="AB324" i="6"/>
  <c r="AA324" i="6"/>
  <c r="Z324" i="6"/>
  <c r="Y324" i="6"/>
  <c r="X324" i="6"/>
  <c r="W324" i="6"/>
  <c r="V324" i="6"/>
  <c r="U324" i="6"/>
  <c r="T324" i="6"/>
  <c r="H324" i="6"/>
  <c r="G324" i="6"/>
  <c r="F324" i="6"/>
  <c r="E324" i="6"/>
  <c r="C324" i="6"/>
  <c r="D324" i="6"/>
  <c r="B324" i="6"/>
  <c r="D323" i="6"/>
  <c r="AB322" i="6"/>
  <c r="AA322" i="6"/>
  <c r="Z322" i="6"/>
  <c r="Y322" i="6"/>
  <c r="X322" i="6"/>
  <c r="W322" i="6"/>
  <c r="V322" i="6"/>
  <c r="U322" i="6"/>
  <c r="T322" i="6"/>
  <c r="H322" i="6"/>
  <c r="G322" i="6"/>
  <c r="F322" i="6"/>
  <c r="E322" i="6"/>
  <c r="C322" i="6"/>
  <c r="D322" i="6"/>
  <c r="B322" i="6"/>
  <c r="D321" i="6"/>
  <c r="AB320" i="6"/>
  <c r="AA320" i="6"/>
  <c r="Z320" i="6"/>
  <c r="Y320" i="6"/>
  <c r="X320" i="6"/>
  <c r="W320" i="6"/>
  <c r="V320" i="6"/>
  <c r="U320" i="6"/>
  <c r="T320" i="6"/>
  <c r="H320" i="6"/>
  <c r="G320" i="6"/>
  <c r="F320" i="6"/>
  <c r="E320" i="6"/>
  <c r="C320" i="6"/>
  <c r="D320" i="6"/>
  <c r="B320" i="6"/>
  <c r="D319" i="6"/>
  <c r="AB318" i="6"/>
  <c r="AA318" i="6"/>
  <c r="Z318" i="6"/>
  <c r="Y318" i="6"/>
  <c r="X318" i="6"/>
  <c r="W318" i="6"/>
  <c r="V318" i="6"/>
  <c r="U318" i="6"/>
  <c r="T318" i="6"/>
  <c r="H318" i="6"/>
  <c r="G318" i="6"/>
  <c r="F318" i="6"/>
  <c r="E318" i="6"/>
  <c r="C318" i="6"/>
  <c r="D318" i="6"/>
  <c r="B318" i="6"/>
  <c r="D317" i="6"/>
  <c r="AB316" i="6"/>
  <c r="AA316" i="6"/>
  <c r="Z316" i="6"/>
  <c r="Y316" i="6"/>
  <c r="X316" i="6"/>
  <c r="W316" i="6"/>
  <c r="V316" i="6"/>
  <c r="U316" i="6"/>
  <c r="T316" i="6"/>
  <c r="H316" i="6"/>
  <c r="G316" i="6"/>
  <c r="F316" i="6"/>
  <c r="E316" i="6"/>
  <c r="C316" i="6"/>
  <c r="D316" i="6"/>
  <c r="B316" i="6"/>
  <c r="D315" i="6"/>
  <c r="AB314" i="6"/>
  <c r="AA314" i="6"/>
  <c r="Z314" i="6"/>
  <c r="Y314" i="6"/>
  <c r="X314" i="6"/>
  <c r="W314" i="6"/>
  <c r="V314" i="6"/>
  <c r="U314" i="6"/>
  <c r="T314" i="6"/>
  <c r="H314" i="6"/>
  <c r="G314" i="6"/>
  <c r="F314" i="6"/>
  <c r="E314" i="6"/>
  <c r="C314" i="6"/>
  <c r="D314" i="6"/>
  <c r="B314" i="6"/>
  <c r="D313" i="6"/>
  <c r="AB312" i="6"/>
  <c r="AA312" i="6"/>
  <c r="Z312" i="6"/>
  <c r="Y312" i="6"/>
  <c r="X312" i="6"/>
  <c r="W312" i="6"/>
  <c r="V312" i="6"/>
  <c r="U312" i="6"/>
  <c r="T312" i="6"/>
  <c r="H312" i="6"/>
  <c r="G312" i="6"/>
  <c r="F312" i="6"/>
  <c r="E312" i="6"/>
  <c r="C312" i="6"/>
  <c r="D312" i="6"/>
  <c r="B312" i="6"/>
  <c r="D311" i="6"/>
  <c r="AB310" i="6"/>
  <c r="AA310" i="6"/>
  <c r="Z310" i="6"/>
  <c r="Y310" i="6"/>
  <c r="X310" i="6"/>
  <c r="W310" i="6"/>
  <c r="V310" i="6"/>
  <c r="U310" i="6"/>
  <c r="T310" i="6"/>
  <c r="H310" i="6"/>
  <c r="G310" i="6"/>
  <c r="F310" i="6"/>
  <c r="E310" i="6"/>
  <c r="C310" i="6"/>
  <c r="D310" i="6"/>
  <c r="B310" i="6"/>
  <c r="D309" i="6"/>
  <c r="AB308" i="6"/>
  <c r="AA308" i="6"/>
  <c r="Z308" i="6"/>
  <c r="Y308" i="6"/>
  <c r="X308" i="6"/>
  <c r="W308" i="6"/>
  <c r="V308" i="6"/>
  <c r="U308" i="6"/>
  <c r="T308" i="6"/>
  <c r="H308" i="6"/>
  <c r="G308" i="6"/>
  <c r="F308" i="6"/>
  <c r="E308" i="6"/>
  <c r="C308" i="6"/>
  <c r="D308" i="6"/>
  <c r="B308" i="6"/>
  <c r="D307" i="6"/>
  <c r="AB306" i="6"/>
  <c r="AA306" i="6"/>
  <c r="Z306" i="6"/>
  <c r="Y306" i="6"/>
  <c r="X306" i="6"/>
  <c r="W306" i="6"/>
  <c r="V306" i="6"/>
  <c r="U306" i="6"/>
  <c r="T306" i="6"/>
  <c r="H306" i="6"/>
  <c r="G306" i="6"/>
  <c r="F306" i="6"/>
  <c r="E306" i="6"/>
  <c r="C306" i="6"/>
  <c r="D306" i="6"/>
  <c r="B306" i="6"/>
  <c r="D305" i="6"/>
  <c r="AB304" i="6"/>
  <c r="AA304" i="6"/>
  <c r="Z304" i="6"/>
  <c r="Y304" i="6"/>
  <c r="X304" i="6"/>
  <c r="W304" i="6"/>
  <c r="V304" i="6"/>
  <c r="U304" i="6"/>
  <c r="T304" i="6"/>
  <c r="H304" i="6"/>
  <c r="G304" i="6"/>
  <c r="F304" i="6"/>
  <c r="E304" i="6"/>
  <c r="C304" i="6"/>
  <c r="D304" i="6"/>
  <c r="B304" i="6"/>
  <c r="D303" i="6"/>
  <c r="AB302" i="6"/>
  <c r="AA302" i="6"/>
  <c r="Z302" i="6"/>
  <c r="Y302" i="6"/>
  <c r="X302" i="6"/>
  <c r="W302" i="6"/>
  <c r="V302" i="6"/>
  <c r="U302" i="6"/>
  <c r="T302" i="6"/>
  <c r="H302" i="6"/>
  <c r="G302" i="6"/>
  <c r="F302" i="6"/>
  <c r="E302" i="6"/>
  <c r="C302" i="6"/>
  <c r="D302" i="6"/>
  <c r="B302" i="6"/>
  <c r="D301" i="6"/>
  <c r="AB300" i="6"/>
  <c r="AA300" i="6"/>
  <c r="Z300" i="6"/>
  <c r="Y300" i="6"/>
  <c r="X300" i="6"/>
  <c r="W300" i="6"/>
  <c r="V300" i="6"/>
  <c r="U300" i="6"/>
  <c r="T300" i="6"/>
  <c r="H300" i="6"/>
  <c r="G300" i="6"/>
  <c r="F300" i="6"/>
  <c r="E300" i="6"/>
  <c r="C300" i="6"/>
  <c r="D300" i="6"/>
  <c r="B300" i="6"/>
  <c r="H299" i="6"/>
  <c r="G299" i="6"/>
  <c r="H298" i="6"/>
  <c r="G298" i="6"/>
  <c r="H297" i="6"/>
  <c r="G297" i="6"/>
  <c r="F297" i="6"/>
  <c r="H296" i="6"/>
  <c r="G296" i="6"/>
  <c r="H295" i="6"/>
  <c r="G295" i="6"/>
  <c r="F295" i="6"/>
  <c r="D289" i="6"/>
  <c r="D288" i="6"/>
  <c r="D287" i="6"/>
  <c r="D286" i="6"/>
  <c r="C285" i="6"/>
  <c r="AB284" i="6"/>
  <c r="AA284" i="6"/>
  <c r="Z284" i="6"/>
  <c r="Y284" i="6"/>
  <c r="X284" i="6"/>
  <c r="W284" i="6"/>
  <c r="V284" i="6"/>
  <c r="U284" i="6"/>
  <c r="T284" i="6"/>
  <c r="H284" i="6"/>
  <c r="G284" i="6"/>
  <c r="F284" i="6"/>
  <c r="E284" i="6"/>
  <c r="C284" i="6"/>
  <c r="D284" i="6"/>
  <c r="B284" i="6"/>
  <c r="D283" i="6"/>
  <c r="AB282" i="6"/>
  <c r="AA282" i="6"/>
  <c r="Z282" i="6"/>
  <c r="Y282" i="6"/>
  <c r="X282" i="6"/>
  <c r="W282" i="6"/>
  <c r="V282" i="6"/>
  <c r="U282" i="6"/>
  <c r="T282" i="6"/>
  <c r="H282" i="6"/>
  <c r="G282" i="6"/>
  <c r="F282" i="6"/>
  <c r="E282" i="6"/>
  <c r="C282" i="6"/>
  <c r="D282" i="6"/>
  <c r="B282" i="6"/>
  <c r="D281" i="6"/>
  <c r="AB280" i="6"/>
  <c r="AA280" i="6"/>
  <c r="Z280" i="6"/>
  <c r="Y280" i="6"/>
  <c r="X280" i="6"/>
  <c r="W280" i="6"/>
  <c r="V280" i="6"/>
  <c r="U280" i="6"/>
  <c r="T280" i="6"/>
  <c r="H280" i="6"/>
  <c r="G280" i="6"/>
  <c r="F280" i="6"/>
  <c r="E280" i="6"/>
  <c r="C280" i="6"/>
  <c r="D280" i="6"/>
  <c r="B280" i="6"/>
  <c r="H279" i="6"/>
  <c r="G279" i="6"/>
  <c r="H278" i="6"/>
  <c r="G278" i="6"/>
  <c r="H277" i="6"/>
  <c r="G277" i="6"/>
  <c r="F277" i="6"/>
  <c r="H276" i="6"/>
  <c r="G276" i="6"/>
  <c r="H275" i="6"/>
  <c r="G275" i="6"/>
  <c r="F275" i="6"/>
  <c r="D269" i="6"/>
  <c r="D268" i="6"/>
  <c r="D267" i="6"/>
  <c r="D266" i="6"/>
  <c r="C265" i="6"/>
  <c r="AB264" i="6"/>
  <c r="AA264" i="6"/>
  <c r="Z264" i="6"/>
  <c r="Y264" i="6"/>
  <c r="X264" i="6"/>
  <c r="W264" i="6"/>
  <c r="V264" i="6"/>
  <c r="U264" i="6"/>
  <c r="T264" i="6"/>
  <c r="H264" i="6"/>
  <c r="G264" i="6"/>
  <c r="F264" i="6"/>
  <c r="E264" i="6"/>
  <c r="C264" i="6"/>
  <c r="D264" i="6"/>
  <c r="B264" i="6"/>
  <c r="H263" i="6"/>
  <c r="G263" i="6"/>
  <c r="H262" i="6"/>
  <c r="G262" i="6"/>
  <c r="H261" i="6"/>
  <c r="G261" i="6"/>
  <c r="F261" i="6"/>
  <c r="H260" i="6"/>
  <c r="G260" i="6"/>
  <c r="H259" i="6"/>
  <c r="G259" i="6"/>
  <c r="F259" i="6"/>
  <c r="D252" i="6"/>
  <c r="D251" i="6"/>
  <c r="D250" i="6"/>
  <c r="D249" i="6"/>
  <c r="C248" i="6"/>
  <c r="AB247" i="6"/>
  <c r="AA247" i="6"/>
  <c r="Z247" i="6"/>
  <c r="Y247" i="6"/>
  <c r="X247" i="6"/>
  <c r="W247" i="6"/>
  <c r="V247" i="6"/>
  <c r="U247" i="6"/>
  <c r="T247" i="6"/>
  <c r="H247" i="6"/>
  <c r="G247" i="6"/>
  <c r="F247" i="6"/>
  <c r="E247" i="6"/>
  <c r="C247" i="6"/>
  <c r="D247" i="6"/>
  <c r="B247" i="6"/>
  <c r="H246" i="6"/>
  <c r="G246" i="6"/>
  <c r="H245" i="6"/>
  <c r="G245" i="6"/>
  <c r="H244" i="6"/>
  <c r="G244" i="6"/>
  <c r="F244" i="6"/>
  <c r="H243" i="6"/>
  <c r="G243" i="6"/>
  <c r="H242" i="6"/>
  <c r="G242" i="6"/>
  <c r="F242" i="6"/>
  <c r="D236" i="6"/>
  <c r="D235" i="6"/>
  <c r="D234" i="6"/>
  <c r="D233" i="6"/>
  <c r="C232" i="6"/>
  <c r="AB231" i="6"/>
  <c r="AA231" i="6"/>
  <c r="Z231" i="6"/>
  <c r="Y231" i="6"/>
  <c r="X231" i="6"/>
  <c r="W231" i="6"/>
  <c r="V231" i="6"/>
  <c r="U231" i="6"/>
  <c r="T231" i="6"/>
  <c r="H231" i="6"/>
  <c r="G231" i="6"/>
  <c r="F231" i="6"/>
  <c r="E231" i="6"/>
  <c r="C231" i="6"/>
  <c r="D231" i="6"/>
  <c r="B231" i="6"/>
  <c r="D230" i="6"/>
  <c r="AB229" i="6"/>
  <c r="AA229" i="6"/>
  <c r="Z229" i="6"/>
  <c r="Y229" i="6"/>
  <c r="X229" i="6"/>
  <c r="W229" i="6"/>
  <c r="V229" i="6"/>
  <c r="U229" i="6"/>
  <c r="T229" i="6"/>
  <c r="H229" i="6"/>
  <c r="G229" i="6"/>
  <c r="F229" i="6"/>
  <c r="E229" i="6"/>
  <c r="C229" i="6"/>
  <c r="D229" i="6"/>
  <c r="B229" i="6"/>
  <c r="D228" i="6"/>
  <c r="AB227" i="6"/>
  <c r="AA227" i="6"/>
  <c r="Z227" i="6"/>
  <c r="Y227" i="6"/>
  <c r="X227" i="6"/>
  <c r="W227" i="6"/>
  <c r="V227" i="6"/>
  <c r="U227" i="6"/>
  <c r="T227" i="6"/>
  <c r="H227" i="6"/>
  <c r="G227" i="6"/>
  <c r="F227" i="6"/>
  <c r="E227" i="6"/>
  <c r="C227" i="6"/>
  <c r="D227" i="6"/>
  <c r="B227" i="6"/>
  <c r="H226" i="6"/>
  <c r="G226" i="6"/>
  <c r="H225" i="6"/>
  <c r="G225" i="6"/>
  <c r="F225" i="6"/>
  <c r="H224" i="6"/>
  <c r="G224" i="6"/>
  <c r="F224" i="6"/>
  <c r="D223" i="6"/>
  <c r="D222" i="6"/>
  <c r="D221" i="6"/>
  <c r="D220" i="6"/>
  <c r="C219" i="6"/>
  <c r="AB218" i="6"/>
  <c r="AA218" i="6"/>
  <c r="Z218" i="6"/>
  <c r="Y218" i="6"/>
  <c r="X218" i="6"/>
  <c r="W218" i="6"/>
  <c r="V218" i="6"/>
  <c r="U218" i="6"/>
  <c r="T218" i="6"/>
  <c r="H218" i="6"/>
  <c r="G218" i="6"/>
  <c r="F218" i="6"/>
  <c r="E218" i="6"/>
  <c r="C218" i="6"/>
  <c r="D218" i="6"/>
  <c r="B218" i="6"/>
  <c r="D217" i="6"/>
  <c r="AB216" i="6"/>
  <c r="AA216" i="6"/>
  <c r="Z216" i="6"/>
  <c r="Y216" i="6"/>
  <c r="X216" i="6"/>
  <c r="W216" i="6"/>
  <c r="V216" i="6"/>
  <c r="U216" i="6"/>
  <c r="T216" i="6"/>
  <c r="H216" i="6"/>
  <c r="G216" i="6"/>
  <c r="F216" i="6"/>
  <c r="E216" i="6"/>
  <c r="C216" i="6"/>
  <c r="D216" i="6"/>
  <c r="B216" i="6"/>
  <c r="D215" i="6"/>
  <c r="AB214" i="6"/>
  <c r="AA214" i="6"/>
  <c r="Z214" i="6"/>
  <c r="Y214" i="6"/>
  <c r="X214" i="6"/>
  <c r="W214" i="6"/>
  <c r="V214" i="6"/>
  <c r="U214" i="6"/>
  <c r="T214" i="6"/>
  <c r="H214" i="6"/>
  <c r="G214" i="6"/>
  <c r="F214" i="6"/>
  <c r="E214" i="6"/>
  <c r="C214" i="6"/>
  <c r="D214" i="6"/>
  <c r="B214" i="6"/>
  <c r="H213" i="6"/>
  <c r="G213" i="6"/>
  <c r="H212" i="6"/>
  <c r="G212" i="6"/>
  <c r="H211" i="6"/>
  <c r="G211" i="6"/>
  <c r="F211" i="6"/>
  <c r="H210" i="6"/>
  <c r="G210" i="6"/>
  <c r="H209" i="6"/>
  <c r="G209" i="6"/>
  <c r="F209" i="6"/>
  <c r="D208" i="6"/>
  <c r="D207" i="6"/>
  <c r="D206" i="6"/>
  <c r="D205" i="6"/>
  <c r="C204" i="6"/>
  <c r="AB203" i="6"/>
  <c r="AA203" i="6"/>
  <c r="Z203" i="6"/>
  <c r="Y203" i="6"/>
  <c r="X203" i="6"/>
  <c r="W203" i="6"/>
  <c r="V203" i="6"/>
  <c r="U203" i="6"/>
  <c r="T203" i="6"/>
  <c r="H203" i="6"/>
  <c r="G203" i="6"/>
  <c r="F203" i="6"/>
  <c r="E203" i="6"/>
  <c r="C203" i="6"/>
  <c r="D203" i="6"/>
  <c r="B203" i="6"/>
  <c r="D202" i="6"/>
  <c r="AB201" i="6"/>
  <c r="AA201" i="6"/>
  <c r="Z201" i="6"/>
  <c r="Y201" i="6"/>
  <c r="X201" i="6"/>
  <c r="W201" i="6"/>
  <c r="V201" i="6"/>
  <c r="U201" i="6"/>
  <c r="T201" i="6"/>
  <c r="H201" i="6"/>
  <c r="G201" i="6"/>
  <c r="F201" i="6"/>
  <c r="E201" i="6"/>
  <c r="C201" i="6"/>
  <c r="D201" i="6"/>
  <c r="B201" i="6"/>
  <c r="D200" i="6"/>
  <c r="AB199" i="6"/>
  <c r="AA199" i="6"/>
  <c r="Z199" i="6"/>
  <c r="Y199" i="6"/>
  <c r="X199" i="6"/>
  <c r="W199" i="6"/>
  <c r="V199" i="6"/>
  <c r="U199" i="6"/>
  <c r="T199" i="6"/>
  <c r="H199" i="6"/>
  <c r="G199" i="6"/>
  <c r="F199" i="6"/>
  <c r="E199" i="6"/>
  <c r="C199" i="6"/>
  <c r="D199" i="6"/>
  <c r="B199" i="6"/>
  <c r="D198" i="6"/>
  <c r="AB197" i="6"/>
  <c r="AA197" i="6"/>
  <c r="Z197" i="6"/>
  <c r="Y197" i="6"/>
  <c r="X197" i="6"/>
  <c r="W197" i="6"/>
  <c r="V197" i="6"/>
  <c r="U197" i="6"/>
  <c r="T197" i="6"/>
  <c r="H197" i="6"/>
  <c r="G197" i="6"/>
  <c r="F197" i="6"/>
  <c r="E197" i="6"/>
  <c r="C197" i="6"/>
  <c r="D197" i="6"/>
  <c r="B197" i="6"/>
  <c r="H196" i="6"/>
  <c r="G196" i="6"/>
  <c r="H195" i="6"/>
  <c r="G195" i="6"/>
  <c r="H194" i="6"/>
  <c r="G194" i="6"/>
  <c r="F194" i="6"/>
  <c r="H193" i="6"/>
  <c r="G193" i="6"/>
  <c r="H192" i="6"/>
  <c r="G192" i="6"/>
  <c r="F192" i="6"/>
  <c r="D186" i="6"/>
  <c r="D185" i="6"/>
  <c r="D184" i="6"/>
  <c r="D183" i="6"/>
  <c r="AB182" i="6"/>
  <c r="AA182" i="6"/>
  <c r="Z182" i="6"/>
  <c r="Y182" i="6"/>
  <c r="X182" i="6"/>
  <c r="W182" i="6"/>
  <c r="V182" i="6"/>
  <c r="U182" i="6"/>
  <c r="T182" i="6"/>
  <c r="H182" i="6"/>
  <c r="G182" i="6"/>
  <c r="F182" i="6"/>
  <c r="E182" i="6"/>
  <c r="C182" i="6"/>
  <c r="D182" i="6"/>
  <c r="B182" i="6"/>
  <c r="D181" i="6"/>
  <c r="AB180" i="6"/>
  <c r="AA180" i="6"/>
  <c r="Z180" i="6"/>
  <c r="Y180" i="6"/>
  <c r="X180" i="6"/>
  <c r="W180" i="6"/>
  <c r="V180" i="6"/>
  <c r="U180" i="6"/>
  <c r="T180" i="6"/>
  <c r="H180" i="6"/>
  <c r="G180" i="6"/>
  <c r="F180" i="6"/>
  <c r="E180" i="6"/>
  <c r="C180" i="6"/>
  <c r="D180" i="6"/>
  <c r="B180" i="6"/>
  <c r="H179" i="6"/>
  <c r="G179" i="6"/>
  <c r="H178" i="6"/>
  <c r="G178" i="6"/>
  <c r="H177" i="6"/>
  <c r="G177" i="6"/>
  <c r="F177" i="6"/>
  <c r="H176" i="6"/>
  <c r="G176" i="6"/>
  <c r="H175" i="6"/>
  <c r="G175" i="6"/>
  <c r="F175" i="6"/>
  <c r="D174" i="6"/>
  <c r="D173" i="6"/>
  <c r="D172" i="6"/>
  <c r="D171" i="6"/>
  <c r="C170" i="6"/>
  <c r="AB169" i="6"/>
  <c r="AA169" i="6"/>
  <c r="Z169" i="6"/>
  <c r="Y169" i="6"/>
  <c r="X169" i="6"/>
  <c r="W169" i="6"/>
  <c r="V169" i="6"/>
  <c r="U169" i="6"/>
  <c r="T169" i="6"/>
  <c r="H169" i="6"/>
  <c r="G169" i="6"/>
  <c r="F169" i="6"/>
  <c r="E169" i="6"/>
  <c r="C169" i="6"/>
  <c r="D169" i="6"/>
  <c r="B169" i="6"/>
  <c r="H168" i="6"/>
  <c r="G168" i="6"/>
  <c r="H167" i="6"/>
  <c r="G167" i="6"/>
  <c r="H166" i="6"/>
  <c r="G166" i="6"/>
  <c r="F166" i="6"/>
  <c r="H165" i="6"/>
  <c r="G165" i="6"/>
  <c r="H164" i="6"/>
  <c r="G164" i="6"/>
  <c r="F164" i="6"/>
  <c r="D157" i="6"/>
  <c r="D156" i="6"/>
  <c r="D155" i="6"/>
  <c r="D154" i="6"/>
  <c r="C153" i="6"/>
  <c r="AB152" i="6"/>
  <c r="AA152" i="6"/>
  <c r="Z152" i="6"/>
  <c r="Y152" i="6"/>
  <c r="X152" i="6"/>
  <c r="W152" i="6"/>
  <c r="V152" i="6"/>
  <c r="U152" i="6"/>
  <c r="T152" i="6"/>
  <c r="H152" i="6"/>
  <c r="G152" i="6"/>
  <c r="F152" i="6"/>
  <c r="E152" i="6"/>
  <c r="C152" i="6"/>
  <c r="D152" i="6"/>
  <c r="B152" i="6"/>
  <c r="H151" i="6"/>
  <c r="G151" i="6"/>
  <c r="H150" i="6"/>
  <c r="G150" i="6"/>
  <c r="H149" i="6"/>
  <c r="G149" i="6"/>
  <c r="F149" i="6"/>
  <c r="H148" i="6"/>
  <c r="G148" i="6"/>
  <c r="H147" i="6"/>
  <c r="G147" i="6"/>
  <c r="F147" i="6"/>
  <c r="D140" i="6"/>
  <c r="D139" i="6"/>
  <c r="D138" i="6"/>
  <c r="D137" i="6"/>
  <c r="C136" i="6"/>
  <c r="AB135" i="6"/>
  <c r="AA135" i="6"/>
  <c r="Z135" i="6"/>
  <c r="Y135" i="6"/>
  <c r="X135" i="6"/>
  <c r="W135" i="6"/>
  <c r="V135" i="6"/>
  <c r="U135" i="6"/>
  <c r="T135" i="6"/>
  <c r="H135" i="6"/>
  <c r="G135" i="6"/>
  <c r="F135" i="6"/>
  <c r="E135" i="6"/>
  <c r="C135" i="6"/>
  <c r="D135" i="6"/>
  <c r="B135" i="6"/>
  <c r="H134" i="6"/>
  <c r="G134" i="6"/>
  <c r="H133" i="6"/>
  <c r="G133" i="6"/>
  <c r="H132" i="6"/>
  <c r="G132" i="6"/>
  <c r="F132" i="6"/>
  <c r="H131" i="6"/>
  <c r="G131" i="6"/>
  <c r="H130" i="6"/>
  <c r="G130" i="6"/>
  <c r="F130" i="6"/>
  <c r="D123" i="6"/>
  <c r="D122" i="6"/>
  <c r="D121" i="6"/>
  <c r="D120" i="6"/>
  <c r="C119" i="6"/>
  <c r="AB118" i="6"/>
  <c r="AA118" i="6"/>
  <c r="Z118" i="6"/>
  <c r="Y118" i="6"/>
  <c r="X118" i="6"/>
  <c r="W118" i="6"/>
  <c r="V118" i="6"/>
  <c r="U118" i="6"/>
  <c r="T118" i="6"/>
  <c r="H118" i="6"/>
  <c r="G118" i="6"/>
  <c r="F118" i="6"/>
  <c r="E118" i="6"/>
  <c r="C118" i="6"/>
  <c r="D118" i="6"/>
  <c r="B118" i="6"/>
  <c r="H117" i="6"/>
  <c r="G117" i="6"/>
  <c r="H116" i="6"/>
  <c r="G116" i="6"/>
  <c r="H115" i="6"/>
  <c r="G115" i="6"/>
  <c r="F115" i="6"/>
  <c r="H114" i="6"/>
  <c r="G114" i="6"/>
  <c r="H113" i="6"/>
  <c r="G113" i="6"/>
  <c r="F113" i="6"/>
  <c r="D112" i="6"/>
  <c r="D111" i="6"/>
  <c r="D110" i="6"/>
  <c r="D109" i="6"/>
  <c r="C108" i="6"/>
  <c r="AB107" i="6"/>
  <c r="AA107" i="6"/>
  <c r="Z107" i="6"/>
  <c r="Y107" i="6"/>
  <c r="X107" i="6"/>
  <c r="W107" i="6"/>
  <c r="V107" i="6"/>
  <c r="U107" i="6"/>
  <c r="T107" i="6"/>
  <c r="H107" i="6"/>
  <c r="G107" i="6"/>
  <c r="F107" i="6"/>
  <c r="E107" i="6"/>
  <c r="C107" i="6"/>
  <c r="D107" i="6"/>
  <c r="B107" i="6"/>
  <c r="D106" i="6"/>
  <c r="AB105" i="6"/>
  <c r="AA105" i="6"/>
  <c r="Z105" i="6"/>
  <c r="Y105" i="6"/>
  <c r="X105" i="6"/>
  <c r="W105" i="6"/>
  <c r="V105" i="6"/>
  <c r="U105" i="6"/>
  <c r="T105" i="6"/>
  <c r="H105" i="6"/>
  <c r="G105" i="6"/>
  <c r="F105" i="6"/>
  <c r="E105" i="6"/>
  <c r="C105" i="6"/>
  <c r="D105" i="6"/>
  <c r="B105" i="6"/>
  <c r="H104" i="6"/>
  <c r="G104" i="6"/>
  <c r="H103" i="6"/>
  <c r="G103" i="6"/>
  <c r="F103" i="6"/>
  <c r="H102" i="6"/>
  <c r="G102" i="6"/>
  <c r="F102" i="6"/>
  <c r="D101" i="6"/>
  <c r="D100" i="6"/>
  <c r="D99" i="6"/>
  <c r="D98" i="6"/>
  <c r="C97" i="6"/>
  <c r="AB96" i="6"/>
  <c r="AA96" i="6"/>
  <c r="Z96" i="6"/>
  <c r="Y96" i="6"/>
  <c r="X96" i="6"/>
  <c r="W96" i="6"/>
  <c r="V96" i="6"/>
  <c r="U96" i="6"/>
  <c r="T96" i="6"/>
  <c r="H96" i="6"/>
  <c r="G96" i="6"/>
  <c r="F96" i="6"/>
  <c r="E96" i="6"/>
  <c r="C96" i="6"/>
  <c r="D96" i="6"/>
  <c r="B96" i="6"/>
  <c r="H95" i="6"/>
  <c r="G95" i="6"/>
  <c r="H94" i="6"/>
  <c r="G94" i="6"/>
  <c r="H93" i="6"/>
  <c r="G93" i="6"/>
  <c r="F93" i="6"/>
  <c r="H92" i="6"/>
  <c r="G92" i="6"/>
  <c r="H91" i="6"/>
  <c r="G91" i="6"/>
  <c r="F91" i="6"/>
  <c r="D90" i="6"/>
  <c r="D89" i="6"/>
  <c r="D88" i="6"/>
  <c r="D87" i="6"/>
  <c r="C86" i="6"/>
  <c r="AB85" i="6"/>
  <c r="AA85" i="6"/>
  <c r="Z85" i="6"/>
  <c r="Y85" i="6"/>
  <c r="X85" i="6"/>
  <c r="W85" i="6"/>
  <c r="V85" i="6"/>
  <c r="U85" i="6"/>
  <c r="T85" i="6"/>
  <c r="H85" i="6"/>
  <c r="G85" i="6"/>
  <c r="F85" i="6"/>
  <c r="E85" i="6"/>
  <c r="C85" i="6"/>
  <c r="D85" i="6"/>
  <c r="B85" i="6"/>
  <c r="H84" i="6"/>
  <c r="G84" i="6"/>
  <c r="H83" i="6"/>
  <c r="G83" i="6"/>
  <c r="F83" i="6"/>
  <c r="H82" i="6"/>
  <c r="G82" i="6"/>
  <c r="F82" i="6"/>
  <c r="D81" i="6"/>
  <c r="D80" i="6"/>
  <c r="D79" i="6"/>
  <c r="D78" i="6"/>
  <c r="C77" i="6"/>
  <c r="AB76" i="6"/>
  <c r="AA76" i="6"/>
  <c r="Z76" i="6"/>
  <c r="Y76" i="6"/>
  <c r="X76" i="6"/>
  <c r="W76" i="6"/>
  <c r="V76" i="6"/>
  <c r="U76" i="6"/>
  <c r="T76" i="6"/>
  <c r="H76" i="6"/>
  <c r="G76" i="6"/>
  <c r="F76" i="6"/>
  <c r="E76" i="6"/>
  <c r="C76" i="6"/>
  <c r="D76" i="6"/>
  <c r="B76" i="6"/>
  <c r="H75" i="6"/>
  <c r="G75" i="6"/>
  <c r="H74" i="6"/>
  <c r="G74" i="6"/>
  <c r="F74" i="6"/>
  <c r="H73" i="6"/>
  <c r="G73" i="6"/>
  <c r="F73" i="6"/>
  <c r="D72" i="6"/>
  <c r="D71" i="6"/>
  <c r="D70" i="6"/>
  <c r="D69" i="6"/>
  <c r="C68" i="6"/>
  <c r="AB67" i="6"/>
  <c r="AA67" i="6"/>
  <c r="Z67" i="6"/>
  <c r="Y67" i="6"/>
  <c r="X67" i="6"/>
  <c r="W67" i="6"/>
  <c r="V67" i="6"/>
  <c r="U67" i="6"/>
  <c r="T67" i="6"/>
  <c r="H67" i="6"/>
  <c r="G67" i="6"/>
  <c r="F67" i="6"/>
  <c r="E67" i="6"/>
  <c r="C67" i="6"/>
  <c r="D67" i="6"/>
  <c r="B67" i="6"/>
  <c r="H66" i="6"/>
  <c r="G66" i="6"/>
  <c r="H65" i="6"/>
  <c r="G65" i="6"/>
  <c r="H64" i="6"/>
  <c r="G64" i="6"/>
  <c r="F64" i="6"/>
  <c r="H63" i="6"/>
  <c r="G63" i="6"/>
  <c r="H62" i="6"/>
  <c r="G62" i="6"/>
  <c r="F62" i="6"/>
  <c r="D55" i="6"/>
  <c r="D54" i="6"/>
  <c r="D53" i="6"/>
  <c r="D52" i="6"/>
  <c r="AB51" i="6"/>
  <c r="AA51" i="6"/>
  <c r="Z51" i="6"/>
  <c r="Y51" i="6"/>
  <c r="X51" i="6"/>
  <c r="W51" i="6"/>
  <c r="V51" i="6"/>
  <c r="U51" i="6"/>
  <c r="T51" i="6"/>
  <c r="H51" i="6"/>
  <c r="G51" i="6"/>
  <c r="F51" i="6"/>
  <c r="E51" i="6"/>
  <c r="C51" i="6"/>
  <c r="D51" i="6"/>
  <c r="B51" i="6"/>
  <c r="H50" i="6"/>
  <c r="G50" i="6"/>
  <c r="H49" i="6"/>
  <c r="G49" i="6"/>
  <c r="H48" i="6"/>
  <c r="G48" i="6"/>
  <c r="F48" i="6"/>
  <c r="H47" i="6"/>
  <c r="G47" i="6"/>
  <c r="H46" i="6"/>
  <c r="G46" i="6"/>
  <c r="F46" i="6"/>
  <c r="D45" i="6"/>
  <c r="D44" i="6"/>
  <c r="D43" i="6"/>
  <c r="D42" i="6"/>
  <c r="C41" i="6"/>
  <c r="AB40" i="6"/>
  <c r="AA40" i="6"/>
  <c r="Z40" i="6"/>
  <c r="Y40" i="6"/>
  <c r="X40" i="6"/>
  <c r="W40" i="6"/>
  <c r="V40" i="6"/>
  <c r="U40" i="6"/>
  <c r="T40" i="6"/>
  <c r="H40" i="6"/>
  <c r="G40" i="6"/>
  <c r="F40" i="6"/>
  <c r="E40" i="6"/>
  <c r="C40" i="6"/>
  <c r="D40" i="6"/>
  <c r="B40" i="6"/>
  <c r="A39" i="6"/>
  <c r="A37" i="6"/>
  <c r="F31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AD9" i="5"/>
  <c r="J736" i="5"/>
  <c r="C736" i="5"/>
  <c r="J735" i="5"/>
  <c r="C735" i="5"/>
  <c r="J734" i="5"/>
  <c r="C734" i="5"/>
  <c r="I22" i="5"/>
  <c r="I21" i="5"/>
  <c r="G21" i="5" s="1"/>
  <c r="I20" i="5"/>
  <c r="I19" i="5"/>
  <c r="I18" i="5"/>
  <c r="I17" i="5"/>
  <c r="I16" i="5"/>
  <c r="A731" i="5"/>
  <c r="A730" i="5"/>
  <c r="L728" i="5"/>
  <c r="Q728" i="5" s="1"/>
  <c r="Z728" i="5"/>
  <c r="Y728" i="5"/>
  <c r="W728" i="5"/>
  <c r="K727" i="5"/>
  <c r="J727" i="5"/>
  <c r="Z727" i="5"/>
  <c r="Y727" i="5"/>
  <c r="W727" i="5"/>
  <c r="H727" i="5"/>
  <c r="X727" i="5" s="1"/>
  <c r="F727" i="5"/>
  <c r="V727" i="5"/>
  <c r="T727" i="5"/>
  <c r="U727" i="5"/>
  <c r="S727" i="5"/>
  <c r="E727" i="5"/>
  <c r="D727" i="5"/>
  <c r="C727" i="5"/>
  <c r="B727" i="5"/>
  <c r="A727" i="5"/>
  <c r="L726" i="5"/>
  <c r="G726" i="5"/>
  <c r="E726" i="5"/>
  <c r="J725" i="5"/>
  <c r="E725" i="5"/>
  <c r="J724" i="5"/>
  <c r="E724" i="5"/>
  <c r="K723" i="5"/>
  <c r="J723" i="5"/>
  <c r="H723" i="5"/>
  <c r="G723" i="5"/>
  <c r="F723" i="5"/>
  <c r="K722" i="5"/>
  <c r="J722" i="5"/>
  <c r="H722" i="5"/>
  <c r="R722" i="5" s="1"/>
  <c r="G722" i="5"/>
  <c r="F722" i="5"/>
  <c r="K721" i="5"/>
  <c r="J721" i="5"/>
  <c r="H721" i="5"/>
  <c r="G721" i="5"/>
  <c r="F721" i="5"/>
  <c r="K720" i="5"/>
  <c r="J720" i="5"/>
  <c r="H720" i="5"/>
  <c r="G720" i="5"/>
  <c r="F720" i="5"/>
  <c r="C719" i="5"/>
  <c r="V718" i="5"/>
  <c r="T718" i="5"/>
  <c r="K724" i="5" s="1"/>
  <c r="U718" i="5"/>
  <c r="S718" i="5"/>
  <c r="F718" i="5"/>
  <c r="E718" i="5"/>
  <c r="D718" i="5"/>
  <c r="I718" i="5"/>
  <c r="C718" i="5"/>
  <c r="B718" i="5"/>
  <c r="A718" i="5"/>
  <c r="L717" i="5"/>
  <c r="Q717" i="5" s="1"/>
  <c r="Z717" i="5"/>
  <c r="Y717" i="5"/>
  <c r="W717" i="5"/>
  <c r="K716" i="5"/>
  <c r="J716" i="5"/>
  <c r="Z716" i="5"/>
  <c r="Y716" i="5"/>
  <c r="W716" i="5"/>
  <c r="H716" i="5"/>
  <c r="X716" i="5" s="1"/>
  <c r="F716" i="5"/>
  <c r="V716" i="5"/>
  <c r="T716" i="5"/>
  <c r="U716" i="5"/>
  <c r="S716" i="5"/>
  <c r="E716" i="5"/>
  <c r="D716" i="5"/>
  <c r="C716" i="5"/>
  <c r="B716" i="5"/>
  <c r="A716" i="5"/>
  <c r="L715" i="5"/>
  <c r="G715" i="5"/>
  <c r="E715" i="5"/>
  <c r="J714" i="5"/>
  <c r="E714" i="5"/>
  <c r="J713" i="5"/>
  <c r="E713" i="5"/>
  <c r="K712" i="5"/>
  <c r="J712" i="5"/>
  <c r="H712" i="5"/>
  <c r="G712" i="5"/>
  <c r="F712" i="5"/>
  <c r="K711" i="5"/>
  <c r="J711" i="5"/>
  <c r="H711" i="5"/>
  <c r="R711" i="5" s="1"/>
  <c r="G711" i="5"/>
  <c r="F711" i="5"/>
  <c r="K710" i="5"/>
  <c r="J710" i="5"/>
  <c r="H710" i="5"/>
  <c r="G710" i="5"/>
  <c r="F710" i="5"/>
  <c r="K709" i="5"/>
  <c r="J709" i="5"/>
  <c r="H709" i="5"/>
  <c r="G709" i="5"/>
  <c r="F709" i="5"/>
  <c r="C708" i="5"/>
  <c r="V707" i="5"/>
  <c r="T707" i="5"/>
  <c r="U707" i="5"/>
  <c r="S707" i="5"/>
  <c r="F707" i="5"/>
  <c r="E707" i="5"/>
  <c r="D707" i="5"/>
  <c r="I707" i="5"/>
  <c r="C707" i="5"/>
  <c r="B707" i="5"/>
  <c r="A707" i="5"/>
  <c r="L706" i="5"/>
  <c r="Q706" i="5" s="1"/>
  <c r="Z706" i="5"/>
  <c r="Y706" i="5"/>
  <c r="X706" i="5"/>
  <c r="L705" i="5"/>
  <c r="G705" i="5"/>
  <c r="E705" i="5"/>
  <c r="J704" i="5"/>
  <c r="E704" i="5"/>
  <c r="J703" i="5"/>
  <c r="E703" i="5"/>
  <c r="K702" i="5"/>
  <c r="J702" i="5"/>
  <c r="H702" i="5"/>
  <c r="R702" i="5" s="1"/>
  <c r="G702" i="5"/>
  <c r="F702" i="5"/>
  <c r="C701" i="5"/>
  <c r="V700" i="5"/>
  <c r="K704" i="5" s="1"/>
  <c r="T700" i="5"/>
  <c r="K703" i="5" s="1"/>
  <c r="U700" i="5"/>
  <c r="H704" i="5" s="1"/>
  <c r="S700" i="5"/>
  <c r="H703" i="5" s="1"/>
  <c r="F700" i="5"/>
  <c r="E700" i="5"/>
  <c r="D700" i="5"/>
  <c r="I700" i="5"/>
  <c r="C700" i="5"/>
  <c r="B700" i="5"/>
  <c r="A700" i="5"/>
  <c r="L699" i="5"/>
  <c r="Q699" i="5" s="1"/>
  <c r="Z699" i="5"/>
  <c r="Y699" i="5"/>
  <c r="W699" i="5"/>
  <c r="K698" i="5"/>
  <c r="J698" i="5"/>
  <c r="Z698" i="5"/>
  <c r="Y698" i="5"/>
  <c r="W698" i="5"/>
  <c r="H698" i="5"/>
  <c r="X698" i="5" s="1"/>
  <c r="F698" i="5"/>
  <c r="V698" i="5"/>
  <c r="T698" i="5"/>
  <c r="U698" i="5"/>
  <c r="S698" i="5"/>
  <c r="E698" i="5"/>
  <c r="D698" i="5"/>
  <c r="C698" i="5"/>
  <c r="B698" i="5"/>
  <c r="A698" i="5"/>
  <c r="K697" i="5"/>
  <c r="J697" i="5"/>
  <c r="Z697" i="5"/>
  <c r="Y697" i="5"/>
  <c r="W697" i="5"/>
  <c r="H697" i="5"/>
  <c r="X697" i="5" s="1"/>
  <c r="F697" i="5"/>
  <c r="V697" i="5"/>
  <c r="T697" i="5"/>
  <c r="U697" i="5"/>
  <c r="S697" i="5"/>
  <c r="E697" i="5"/>
  <c r="D697" i="5"/>
  <c r="C697" i="5"/>
  <c r="B697" i="5"/>
  <c r="A697" i="5"/>
  <c r="L696" i="5"/>
  <c r="G696" i="5"/>
  <c r="E696" i="5"/>
  <c r="J695" i="5"/>
  <c r="E695" i="5"/>
  <c r="J694" i="5"/>
  <c r="E694" i="5"/>
  <c r="K693" i="5"/>
  <c r="J693" i="5"/>
  <c r="H693" i="5"/>
  <c r="G693" i="5"/>
  <c r="F693" i="5"/>
  <c r="K692" i="5"/>
  <c r="J692" i="5"/>
  <c r="H692" i="5"/>
  <c r="R692" i="5" s="1"/>
  <c r="G692" i="5"/>
  <c r="F692" i="5"/>
  <c r="K691" i="5"/>
  <c r="J691" i="5"/>
  <c r="H691" i="5"/>
  <c r="G691" i="5"/>
  <c r="F691" i="5"/>
  <c r="K690" i="5"/>
  <c r="J690" i="5"/>
  <c r="H690" i="5"/>
  <c r="G690" i="5"/>
  <c r="F690" i="5"/>
  <c r="C689" i="5"/>
  <c r="V688" i="5"/>
  <c r="T688" i="5"/>
  <c r="U688" i="5"/>
  <c r="S688" i="5"/>
  <c r="F688" i="5"/>
  <c r="E688" i="5"/>
  <c r="D688" i="5"/>
  <c r="I688" i="5"/>
  <c r="C688" i="5"/>
  <c r="B688" i="5"/>
  <c r="A688" i="5"/>
  <c r="L687" i="5"/>
  <c r="Q687" i="5" s="1"/>
  <c r="Z687" i="5"/>
  <c r="Y687" i="5"/>
  <c r="W687" i="5"/>
  <c r="K686" i="5"/>
  <c r="J686" i="5"/>
  <c r="Z686" i="5"/>
  <c r="Y686" i="5"/>
  <c r="W686" i="5"/>
  <c r="H686" i="5"/>
  <c r="X686" i="5" s="1"/>
  <c r="F686" i="5"/>
  <c r="V686" i="5"/>
  <c r="T686" i="5"/>
  <c r="U686" i="5"/>
  <c r="S686" i="5"/>
  <c r="E686" i="5"/>
  <c r="D686" i="5"/>
  <c r="C686" i="5"/>
  <c r="B686" i="5"/>
  <c r="A686" i="5"/>
  <c r="L685" i="5"/>
  <c r="G685" i="5"/>
  <c r="E685" i="5"/>
  <c r="J684" i="5"/>
  <c r="E684" i="5"/>
  <c r="J683" i="5"/>
  <c r="E683" i="5"/>
  <c r="K682" i="5"/>
  <c r="J682" i="5"/>
  <c r="H682" i="5"/>
  <c r="G682" i="5"/>
  <c r="F682" i="5"/>
  <c r="K681" i="5"/>
  <c r="J681" i="5"/>
  <c r="H681" i="5"/>
  <c r="G681" i="5"/>
  <c r="F681" i="5"/>
  <c r="C680" i="5"/>
  <c r="V679" i="5"/>
  <c r="T679" i="5"/>
  <c r="U679" i="5"/>
  <c r="S679" i="5"/>
  <c r="F679" i="5"/>
  <c r="E679" i="5"/>
  <c r="D679" i="5"/>
  <c r="I679" i="5"/>
  <c r="C679" i="5"/>
  <c r="B679" i="5"/>
  <c r="A679" i="5"/>
  <c r="A678" i="5"/>
  <c r="A674" i="5"/>
  <c r="L672" i="5"/>
  <c r="Q672" i="5" s="1"/>
  <c r="Z672" i="5"/>
  <c r="Y672" i="5"/>
  <c r="W672" i="5"/>
  <c r="L671" i="5"/>
  <c r="G671" i="5"/>
  <c r="E671" i="5"/>
  <c r="J670" i="5"/>
  <c r="E670" i="5"/>
  <c r="J669" i="5"/>
  <c r="E669" i="5"/>
  <c r="K668" i="5"/>
  <c r="J668" i="5"/>
  <c r="H668" i="5"/>
  <c r="G668" i="5"/>
  <c r="F668" i="5"/>
  <c r="K667" i="5"/>
  <c r="J667" i="5"/>
  <c r="H667" i="5"/>
  <c r="G667" i="5"/>
  <c r="F667" i="5"/>
  <c r="V666" i="5"/>
  <c r="K670" i="5" s="1"/>
  <c r="T666" i="5"/>
  <c r="K669" i="5" s="1"/>
  <c r="U666" i="5"/>
  <c r="H670" i="5" s="1"/>
  <c r="S666" i="5"/>
  <c r="H669" i="5" s="1"/>
  <c r="F666" i="5"/>
  <c r="E666" i="5"/>
  <c r="D666" i="5"/>
  <c r="I666" i="5"/>
  <c r="C666" i="5"/>
  <c r="B666" i="5"/>
  <c r="A666" i="5"/>
  <c r="L665" i="5"/>
  <c r="Q665" i="5" s="1"/>
  <c r="Z665" i="5"/>
  <c r="Y665" i="5"/>
  <c r="W665" i="5"/>
  <c r="K664" i="5"/>
  <c r="J664" i="5"/>
  <c r="Z664" i="5"/>
  <c r="Y664" i="5"/>
  <c r="W664" i="5"/>
  <c r="H664" i="5"/>
  <c r="X664" i="5" s="1"/>
  <c r="F664" i="5"/>
  <c r="V664" i="5"/>
  <c r="T664" i="5"/>
  <c r="U664" i="5"/>
  <c r="S664" i="5"/>
  <c r="E664" i="5"/>
  <c r="D664" i="5"/>
  <c r="C664" i="5"/>
  <c r="B664" i="5"/>
  <c r="A664" i="5"/>
  <c r="L663" i="5"/>
  <c r="G663" i="5"/>
  <c r="E663" i="5"/>
  <c r="J662" i="5"/>
  <c r="E662" i="5"/>
  <c r="J661" i="5"/>
  <c r="E661" i="5"/>
  <c r="K660" i="5"/>
  <c r="J660" i="5"/>
  <c r="H660" i="5"/>
  <c r="G660" i="5"/>
  <c r="F660" i="5"/>
  <c r="K659" i="5"/>
  <c r="J659" i="5"/>
  <c r="H659" i="5"/>
  <c r="R659" i="5" s="1"/>
  <c r="G659" i="5"/>
  <c r="F659" i="5"/>
  <c r="K658" i="5"/>
  <c r="J658" i="5"/>
  <c r="H658" i="5"/>
  <c r="G658" i="5"/>
  <c r="F658" i="5"/>
  <c r="K657" i="5"/>
  <c r="J657" i="5"/>
  <c r="H657" i="5"/>
  <c r="R657" i="5" s="1"/>
  <c r="G657" i="5"/>
  <c r="F657" i="5"/>
  <c r="C656" i="5"/>
  <c r="V655" i="5"/>
  <c r="T655" i="5"/>
  <c r="U655" i="5"/>
  <c r="S655" i="5"/>
  <c r="F655" i="5"/>
  <c r="E655" i="5"/>
  <c r="D655" i="5"/>
  <c r="I655" i="5"/>
  <c r="C655" i="5"/>
  <c r="B655" i="5"/>
  <c r="A655" i="5"/>
  <c r="L654" i="5"/>
  <c r="Q654" i="5" s="1"/>
  <c r="Z654" i="5"/>
  <c r="Y654" i="5"/>
  <c r="W654" i="5"/>
  <c r="K653" i="5"/>
  <c r="J653" i="5"/>
  <c r="Z653" i="5"/>
  <c r="Y653" i="5"/>
  <c r="W653" i="5"/>
  <c r="H653" i="5"/>
  <c r="X653" i="5" s="1"/>
  <c r="F653" i="5"/>
  <c r="V653" i="5"/>
  <c r="T653" i="5"/>
  <c r="U653" i="5"/>
  <c r="S653" i="5"/>
  <c r="E653" i="5"/>
  <c r="D653" i="5"/>
  <c r="C653" i="5"/>
  <c r="B653" i="5"/>
  <c r="A653" i="5"/>
  <c r="L652" i="5"/>
  <c r="G652" i="5"/>
  <c r="E652" i="5"/>
  <c r="J651" i="5"/>
  <c r="E651" i="5"/>
  <c r="J650" i="5"/>
  <c r="E650" i="5"/>
  <c r="K649" i="5"/>
  <c r="J649" i="5"/>
  <c r="H649" i="5"/>
  <c r="G649" i="5"/>
  <c r="F649" i="5"/>
  <c r="K648" i="5"/>
  <c r="J648" i="5"/>
  <c r="H648" i="5"/>
  <c r="G648" i="5"/>
  <c r="F648" i="5"/>
  <c r="C647" i="5"/>
  <c r="V646" i="5"/>
  <c r="T646" i="5"/>
  <c r="U646" i="5"/>
  <c r="S646" i="5"/>
  <c r="F646" i="5"/>
  <c r="E646" i="5"/>
  <c r="D646" i="5"/>
  <c r="I646" i="5"/>
  <c r="C646" i="5"/>
  <c r="B646" i="5"/>
  <c r="A646" i="5"/>
  <c r="L645" i="5"/>
  <c r="Q645" i="5" s="1"/>
  <c r="Z645" i="5"/>
  <c r="Y645" i="5"/>
  <c r="W645" i="5"/>
  <c r="K644" i="5"/>
  <c r="J644" i="5"/>
  <c r="Z644" i="5"/>
  <c r="Y644" i="5"/>
  <c r="W644" i="5"/>
  <c r="H644" i="5"/>
  <c r="X644" i="5" s="1"/>
  <c r="F644" i="5"/>
  <c r="V644" i="5"/>
  <c r="T644" i="5"/>
  <c r="U644" i="5"/>
  <c r="S644" i="5"/>
  <c r="E644" i="5"/>
  <c r="D644" i="5"/>
  <c r="C644" i="5"/>
  <c r="B644" i="5"/>
  <c r="A644" i="5"/>
  <c r="L643" i="5"/>
  <c r="G643" i="5"/>
  <c r="E643" i="5"/>
  <c r="J642" i="5"/>
  <c r="E642" i="5"/>
  <c r="J641" i="5"/>
  <c r="E641" i="5"/>
  <c r="K640" i="5"/>
  <c r="J640" i="5"/>
  <c r="H640" i="5"/>
  <c r="G640" i="5"/>
  <c r="F640" i="5"/>
  <c r="K639" i="5"/>
  <c r="J639" i="5"/>
  <c r="H639" i="5"/>
  <c r="R639" i="5" s="1"/>
  <c r="G639" i="5"/>
  <c r="F639" i="5"/>
  <c r="C638" i="5"/>
  <c r="V637" i="5"/>
  <c r="T637" i="5"/>
  <c r="U637" i="5"/>
  <c r="S637" i="5"/>
  <c r="F637" i="5"/>
  <c r="E637" i="5"/>
  <c r="D637" i="5"/>
  <c r="I637" i="5"/>
  <c r="C637" i="5"/>
  <c r="B637" i="5"/>
  <c r="A637" i="5"/>
  <c r="L636" i="5"/>
  <c r="Q636" i="5" s="1"/>
  <c r="Z636" i="5"/>
  <c r="Y636" i="5"/>
  <c r="W636" i="5"/>
  <c r="K635" i="5"/>
  <c r="J635" i="5"/>
  <c r="Z635" i="5"/>
  <c r="Y635" i="5"/>
  <c r="W635" i="5"/>
  <c r="H635" i="5"/>
  <c r="X635" i="5" s="1"/>
  <c r="F635" i="5"/>
  <c r="V635" i="5"/>
  <c r="T635" i="5"/>
  <c r="U635" i="5"/>
  <c r="S635" i="5"/>
  <c r="E635" i="5"/>
  <c r="D635" i="5"/>
  <c r="C635" i="5"/>
  <c r="B635" i="5"/>
  <c r="A635" i="5"/>
  <c r="L634" i="5"/>
  <c r="G634" i="5"/>
  <c r="E634" i="5"/>
  <c r="J633" i="5"/>
  <c r="E633" i="5"/>
  <c r="J632" i="5"/>
  <c r="E632" i="5"/>
  <c r="K631" i="5"/>
  <c r="J631" i="5"/>
  <c r="H631" i="5"/>
  <c r="G631" i="5"/>
  <c r="F631" i="5"/>
  <c r="K630" i="5"/>
  <c r="J630" i="5"/>
  <c r="H630" i="5"/>
  <c r="G630" i="5"/>
  <c r="F630" i="5"/>
  <c r="V629" i="5"/>
  <c r="T629" i="5"/>
  <c r="U629" i="5"/>
  <c r="S629" i="5"/>
  <c r="F629" i="5"/>
  <c r="E629" i="5"/>
  <c r="D629" i="5"/>
  <c r="I629" i="5"/>
  <c r="C629" i="5"/>
  <c r="B629" i="5"/>
  <c r="A629" i="5"/>
  <c r="L628" i="5"/>
  <c r="Q628" i="5" s="1"/>
  <c r="Z628" i="5"/>
  <c r="Y628" i="5"/>
  <c r="W628" i="5"/>
  <c r="L627" i="5"/>
  <c r="G627" i="5"/>
  <c r="E627" i="5"/>
  <c r="J626" i="5"/>
  <c r="E626" i="5"/>
  <c r="J625" i="5"/>
  <c r="E625" i="5"/>
  <c r="K624" i="5"/>
  <c r="J624" i="5"/>
  <c r="H624" i="5"/>
  <c r="R624" i="5" s="1"/>
  <c r="G624" i="5"/>
  <c r="F624" i="5"/>
  <c r="V623" i="5"/>
  <c r="K626" i="5" s="1"/>
  <c r="T623" i="5"/>
  <c r="K625" i="5" s="1"/>
  <c r="U623" i="5"/>
  <c r="H626" i="5" s="1"/>
  <c r="S623" i="5"/>
  <c r="H625" i="5" s="1"/>
  <c r="F623" i="5"/>
  <c r="E623" i="5"/>
  <c r="D623" i="5"/>
  <c r="I623" i="5"/>
  <c r="C623" i="5"/>
  <c r="B623" i="5"/>
  <c r="A623" i="5"/>
  <c r="A622" i="5"/>
  <c r="A620" i="5"/>
  <c r="L618" i="5"/>
  <c r="Q618" i="5" s="1"/>
  <c r="Y618" i="5"/>
  <c r="X618" i="5"/>
  <c r="W618" i="5"/>
  <c r="L617" i="5"/>
  <c r="G617" i="5"/>
  <c r="E617" i="5"/>
  <c r="J616" i="5"/>
  <c r="E616" i="5"/>
  <c r="J615" i="5"/>
  <c r="E615" i="5"/>
  <c r="K614" i="5"/>
  <c r="J614" i="5"/>
  <c r="H614" i="5"/>
  <c r="R614" i="5" s="1"/>
  <c r="G614" i="5"/>
  <c r="F614" i="5"/>
  <c r="V613" i="5"/>
  <c r="K616" i="5" s="1"/>
  <c r="T613" i="5"/>
  <c r="K615" i="5" s="1"/>
  <c r="U613" i="5"/>
  <c r="H616" i="5" s="1"/>
  <c r="S613" i="5"/>
  <c r="H615" i="5" s="1"/>
  <c r="F613" i="5"/>
  <c r="E613" i="5"/>
  <c r="D613" i="5"/>
  <c r="I613" i="5"/>
  <c r="C613" i="5"/>
  <c r="B613" i="5"/>
  <c r="A613" i="5"/>
  <c r="L612" i="5"/>
  <c r="Q612" i="5" s="1"/>
  <c r="Y612" i="5"/>
  <c r="X612" i="5"/>
  <c r="W612" i="5"/>
  <c r="L611" i="5"/>
  <c r="G611" i="5"/>
  <c r="E611" i="5"/>
  <c r="J610" i="5"/>
  <c r="E610" i="5"/>
  <c r="J609" i="5"/>
  <c r="E609" i="5"/>
  <c r="K608" i="5"/>
  <c r="J608" i="5"/>
  <c r="H608" i="5"/>
  <c r="G608" i="5"/>
  <c r="F608" i="5"/>
  <c r="V607" i="5"/>
  <c r="K610" i="5" s="1"/>
  <c r="T607" i="5"/>
  <c r="K609" i="5" s="1"/>
  <c r="U607" i="5"/>
  <c r="H610" i="5" s="1"/>
  <c r="S607" i="5"/>
  <c r="H609" i="5" s="1"/>
  <c r="F607" i="5"/>
  <c r="E607" i="5"/>
  <c r="D607" i="5"/>
  <c r="I607" i="5"/>
  <c r="C607" i="5"/>
  <c r="B607" i="5"/>
  <c r="A607" i="5"/>
  <c r="L606" i="5"/>
  <c r="Q606" i="5" s="1"/>
  <c r="Y606" i="5"/>
  <c r="X606" i="5"/>
  <c r="W606" i="5"/>
  <c r="L605" i="5"/>
  <c r="G605" i="5"/>
  <c r="E605" i="5"/>
  <c r="J604" i="5"/>
  <c r="E604" i="5"/>
  <c r="J603" i="5"/>
  <c r="E603" i="5"/>
  <c r="K602" i="5"/>
  <c r="J602" i="5"/>
  <c r="H602" i="5"/>
  <c r="R602" i="5" s="1"/>
  <c r="G602" i="5"/>
  <c r="F602" i="5"/>
  <c r="C601" i="5"/>
  <c r="V600" i="5"/>
  <c r="K604" i="5" s="1"/>
  <c r="T600" i="5"/>
  <c r="K603" i="5" s="1"/>
  <c r="U600" i="5"/>
  <c r="H604" i="5" s="1"/>
  <c r="S600" i="5"/>
  <c r="H603" i="5" s="1"/>
  <c r="F600" i="5"/>
  <c r="E600" i="5"/>
  <c r="D600" i="5"/>
  <c r="I600" i="5"/>
  <c r="C600" i="5"/>
  <c r="B600" i="5"/>
  <c r="A600" i="5"/>
  <c r="L599" i="5"/>
  <c r="Q599" i="5" s="1"/>
  <c r="Y599" i="5"/>
  <c r="X599" i="5"/>
  <c r="W599" i="5"/>
  <c r="L598" i="5"/>
  <c r="G598" i="5"/>
  <c r="E598" i="5"/>
  <c r="J597" i="5"/>
  <c r="E597" i="5"/>
  <c r="J596" i="5"/>
  <c r="E596" i="5"/>
  <c r="K595" i="5"/>
  <c r="J595" i="5"/>
  <c r="H595" i="5"/>
  <c r="R595" i="5" s="1"/>
  <c r="G595" i="5"/>
  <c r="F595" i="5"/>
  <c r="V594" i="5"/>
  <c r="K597" i="5" s="1"/>
  <c r="T594" i="5"/>
  <c r="K596" i="5" s="1"/>
  <c r="U594" i="5"/>
  <c r="H597" i="5" s="1"/>
  <c r="S594" i="5"/>
  <c r="H596" i="5" s="1"/>
  <c r="F594" i="5"/>
  <c r="E594" i="5"/>
  <c r="D594" i="5"/>
  <c r="I594" i="5"/>
  <c r="C594" i="5"/>
  <c r="B594" i="5"/>
  <c r="A594" i="5"/>
  <c r="L593" i="5"/>
  <c r="Q593" i="5" s="1"/>
  <c r="Z593" i="5"/>
  <c r="Y593" i="5"/>
  <c r="W593" i="5"/>
  <c r="K592" i="5"/>
  <c r="J592" i="5"/>
  <c r="Z592" i="5"/>
  <c r="Y592" i="5"/>
  <c r="W592" i="5"/>
  <c r="H592" i="5"/>
  <c r="X592" i="5" s="1"/>
  <c r="F592" i="5"/>
  <c r="V592" i="5"/>
  <c r="T592" i="5"/>
  <c r="U592" i="5"/>
  <c r="S592" i="5"/>
  <c r="E592" i="5"/>
  <c r="D592" i="5"/>
  <c r="C592" i="5"/>
  <c r="B592" i="5"/>
  <c r="A592" i="5"/>
  <c r="L591" i="5"/>
  <c r="G591" i="5"/>
  <c r="E591" i="5"/>
  <c r="J590" i="5"/>
  <c r="E590" i="5"/>
  <c r="J589" i="5"/>
  <c r="E589" i="5"/>
  <c r="K588" i="5"/>
  <c r="J588" i="5"/>
  <c r="H588" i="5"/>
  <c r="G588" i="5"/>
  <c r="F588" i="5"/>
  <c r="K587" i="5"/>
  <c r="J587" i="5"/>
  <c r="H587" i="5"/>
  <c r="R587" i="5" s="1"/>
  <c r="G587" i="5"/>
  <c r="F587" i="5"/>
  <c r="K586" i="5"/>
  <c r="J586" i="5"/>
  <c r="H586" i="5"/>
  <c r="G586" i="5"/>
  <c r="F586" i="5"/>
  <c r="K585" i="5"/>
  <c r="J585" i="5"/>
  <c r="H585" i="5"/>
  <c r="R585" i="5" s="1"/>
  <c r="G585" i="5"/>
  <c r="F585" i="5"/>
  <c r="C584" i="5"/>
  <c r="V583" i="5"/>
  <c r="T583" i="5"/>
  <c r="U583" i="5"/>
  <c r="S583" i="5"/>
  <c r="F583" i="5"/>
  <c r="E583" i="5"/>
  <c r="D583" i="5"/>
  <c r="I583" i="5"/>
  <c r="C583" i="5"/>
  <c r="B583" i="5"/>
  <c r="A583" i="5"/>
  <c r="L582" i="5"/>
  <c r="Q582" i="5" s="1"/>
  <c r="Z582" i="5"/>
  <c r="Y582" i="5"/>
  <c r="W582" i="5"/>
  <c r="K581" i="5"/>
  <c r="J581" i="5"/>
  <c r="Z581" i="5"/>
  <c r="Y581" i="5"/>
  <c r="W581" i="5"/>
  <c r="H581" i="5"/>
  <c r="X581" i="5" s="1"/>
  <c r="F581" i="5"/>
  <c r="V581" i="5"/>
  <c r="T581" i="5"/>
  <c r="U581" i="5"/>
  <c r="S581" i="5"/>
  <c r="E581" i="5"/>
  <c r="D581" i="5"/>
  <c r="C581" i="5"/>
  <c r="B581" i="5"/>
  <c r="A581" i="5"/>
  <c r="K580" i="5"/>
  <c r="J580" i="5"/>
  <c r="Z580" i="5"/>
  <c r="Y580" i="5"/>
  <c r="W580" i="5"/>
  <c r="H580" i="5"/>
  <c r="X580" i="5" s="1"/>
  <c r="F580" i="5"/>
  <c r="V580" i="5"/>
  <c r="T580" i="5"/>
  <c r="U580" i="5"/>
  <c r="S580" i="5"/>
  <c r="E580" i="5"/>
  <c r="D580" i="5"/>
  <c r="C580" i="5"/>
  <c r="B580" i="5"/>
  <c r="A580" i="5"/>
  <c r="K579" i="5"/>
  <c r="J579" i="5"/>
  <c r="Z579" i="5"/>
  <c r="Y579" i="5"/>
  <c r="W579" i="5"/>
  <c r="H579" i="5"/>
  <c r="X579" i="5" s="1"/>
  <c r="F579" i="5"/>
  <c r="V579" i="5"/>
  <c r="T579" i="5"/>
  <c r="U579" i="5"/>
  <c r="S579" i="5"/>
  <c r="E579" i="5"/>
  <c r="D579" i="5"/>
  <c r="C579" i="5"/>
  <c r="B579" i="5"/>
  <c r="A579" i="5"/>
  <c r="K578" i="5"/>
  <c r="J578" i="5"/>
  <c r="Z578" i="5"/>
  <c r="Y578" i="5"/>
  <c r="W578" i="5"/>
  <c r="H578" i="5"/>
  <c r="X578" i="5" s="1"/>
  <c r="F578" i="5"/>
  <c r="V578" i="5"/>
  <c r="T578" i="5"/>
  <c r="U578" i="5"/>
  <c r="S578" i="5"/>
  <c r="E578" i="5"/>
  <c r="D578" i="5"/>
  <c r="C578" i="5"/>
  <c r="B578" i="5"/>
  <c r="A578" i="5"/>
  <c r="K577" i="5"/>
  <c r="J577" i="5"/>
  <c r="Z577" i="5"/>
  <c r="Y577" i="5"/>
  <c r="W577" i="5"/>
  <c r="H577" i="5"/>
  <c r="X577" i="5" s="1"/>
  <c r="F577" i="5"/>
  <c r="V577" i="5"/>
  <c r="T577" i="5"/>
  <c r="U577" i="5"/>
  <c r="S577" i="5"/>
  <c r="E577" i="5"/>
  <c r="D577" i="5"/>
  <c r="C577" i="5"/>
  <c r="B577" i="5"/>
  <c r="A577" i="5"/>
  <c r="K576" i="5"/>
  <c r="J576" i="5"/>
  <c r="Z576" i="5"/>
  <c r="Y576" i="5"/>
  <c r="W576" i="5"/>
  <c r="H576" i="5"/>
  <c r="X576" i="5" s="1"/>
  <c r="F576" i="5"/>
  <c r="V576" i="5"/>
  <c r="T576" i="5"/>
  <c r="U576" i="5"/>
  <c r="S576" i="5"/>
  <c r="E576" i="5"/>
  <c r="D576" i="5"/>
  <c r="C576" i="5"/>
  <c r="B576" i="5"/>
  <c r="A576" i="5"/>
  <c r="K575" i="5"/>
  <c r="J575" i="5"/>
  <c r="Z575" i="5"/>
  <c r="Y575" i="5"/>
  <c r="W575" i="5"/>
  <c r="H575" i="5"/>
  <c r="X575" i="5" s="1"/>
  <c r="F575" i="5"/>
  <c r="V575" i="5"/>
  <c r="T575" i="5"/>
  <c r="U575" i="5"/>
  <c r="S575" i="5"/>
  <c r="E575" i="5"/>
  <c r="D575" i="5"/>
  <c r="C575" i="5"/>
  <c r="B575" i="5"/>
  <c r="A575" i="5"/>
  <c r="L574" i="5"/>
  <c r="G574" i="5"/>
  <c r="E574" i="5"/>
  <c r="J573" i="5"/>
  <c r="E573" i="5"/>
  <c r="J572" i="5"/>
  <c r="E572" i="5"/>
  <c r="K571" i="5"/>
  <c r="J571" i="5"/>
  <c r="H571" i="5"/>
  <c r="G571" i="5"/>
  <c r="F571" i="5"/>
  <c r="K570" i="5"/>
  <c r="J570" i="5"/>
  <c r="H570" i="5"/>
  <c r="G570" i="5"/>
  <c r="F570" i="5"/>
  <c r="K569" i="5"/>
  <c r="J569" i="5"/>
  <c r="H569" i="5"/>
  <c r="R569" i="5" s="1"/>
  <c r="G569" i="5"/>
  <c r="F569" i="5"/>
  <c r="V568" i="5"/>
  <c r="T568" i="5"/>
  <c r="U568" i="5"/>
  <c r="S568" i="5"/>
  <c r="F568" i="5"/>
  <c r="E568" i="5"/>
  <c r="D568" i="5"/>
  <c r="I568" i="5"/>
  <c r="C568" i="5"/>
  <c r="B568" i="5"/>
  <c r="A568" i="5"/>
  <c r="L567" i="5"/>
  <c r="Q567" i="5" s="1"/>
  <c r="Z567" i="5"/>
  <c r="Y567" i="5"/>
  <c r="W567" i="5"/>
  <c r="K566" i="5"/>
  <c r="J566" i="5"/>
  <c r="Z566" i="5"/>
  <c r="Y566" i="5"/>
  <c r="W566" i="5"/>
  <c r="H566" i="5"/>
  <c r="X566" i="5" s="1"/>
  <c r="F566" i="5"/>
  <c r="V566" i="5"/>
  <c r="T566" i="5"/>
  <c r="U566" i="5"/>
  <c r="S566" i="5"/>
  <c r="E566" i="5"/>
  <c r="D566" i="5"/>
  <c r="C566" i="5"/>
  <c r="B566" i="5"/>
  <c r="A566" i="5"/>
  <c r="L565" i="5"/>
  <c r="G565" i="5"/>
  <c r="E565" i="5"/>
  <c r="J564" i="5"/>
  <c r="E564" i="5"/>
  <c r="J563" i="5"/>
  <c r="E563" i="5"/>
  <c r="K562" i="5"/>
  <c r="J562" i="5"/>
  <c r="H562" i="5"/>
  <c r="G562" i="5"/>
  <c r="F562" i="5"/>
  <c r="K561" i="5"/>
  <c r="J561" i="5"/>
  <c r="H561" i="5"/>
  <c r="R561" i="5" s="1"/>
  <c r="G561" i="5"/>
  <c r="F561" i="5"/>
  <c r="K560" i="5"/>
  <c r="J560" i="5"/>
  <c r="H560" i="5"/>
  <c r="G560" i="5"/>
  <c r="F560" i="5"/>
  <c r="K559" i="5"/>
  <c r="J559" i="5"/>
  <c r="H559" i="5"/>
  <c r="G559" i="5"/>
  <c r="F559" i="5"/>
  <c r="V558" i="5"/>
  <c r="T558" i="5"/>
  <c r="K563" i="5" s="1"/>
  <c r="U558" i="5"/>
  <c r="H564" i="5" s="1"/>
  <c r="S558" i="5"/>
  <c r="F558" i="5"/>
  <c r="E558" i="5"/>
  <c r="D558" i="5"/>
  <c r="I558" i="5"/>
  <c r="C558" i="5"/>
  <c r="B558" i="5"/>
  <c r="A558" i="5"/>
  <c r="L557" i="5"/>
  <c r="Q557" i="5" s="1"/>
  <c r="Z557" i="5"/>
  <c r="Y557" i="5"/>
  <c r="W557" i="5"/>
  <c r="K556" i="5"/>
  <c r="J556" i="5"/>
  <c r="Z556" i="5"/>
  <c r="Y556" i="5"/>
  <c r="W556" i="5"/>
  <c r="H556" i="5"/>
  <c r="X556" i="5" s="1"/>
  <c r="F556" i="5"/>
  <c r="V556" i="5"/>
  <c r="T556" i="5"/>
  <c r="U556" i="5"/>
  <c r="S556" i="5"/>
  <c r="E556" i="5"/>
  <c r="D556" i="5"/>
  <c r="C556" i="5"/>
  <c r="B556" i="5"/>
  <c r="A556" i="5"/>
  <c r="K555" i="5"/>
  <c r="J555" i="5"/>
  <c r="Z555" i="5"/>
  <c r="Y555" i="5"/>
  <c r="W555" i="5"/>
  <c r="H555" i="5"/>
  <c r="X555" i="5" s="1"/>
  <c r="F555" i="5"/>
  <c r="V555" i="5"/>
  <c r="T555" i="5"/>
  <c r="U555" i="5"/>
  <c r="S555" i="5"/>
  <c r="E555" i="5"/>
  <c r="D555" i="5"/>
  <c r="C555" i="5"/>
  <c r="B555" i="5"/>
  <c r="A555" i="5"/>
  <c r="L554" i="5"/>
  <c r="G554" i="5"/>
  <c r="E554" i="5"/>
  <c r="J553" i="5"/>
  <c r="E553" i="5"/>
  <c r="J552" i="5"/>
  <c r="E552" i="5"/>
  <c r="K551" i="5"/>
  <c r="J551" i="5"/>
  <c r="H551" i="5"/>
  <c r="G551" i="5"/>
  <c r="F551" i="5"/>
  <c r="K550" i="5"/>
  <c r="J550" i="5"/>
  <c r="H550" i="5"/>
  <c r="R550" i="5" s="1"/>
  <c r="G550" i="5"/>
  <c r="F550" i="5"/>
  <c r="K549" i="5"/>
  <c r="J549" i="5"/>
  <c r="H549" i="5"/>
  <c r="G549" i="5"/>
  <c r="F549" i="5"/>
  <c r="K548" i="5"/>
  <c r="J548" i="5"/>
  <c r="H548" i="5"/>
  <c r="G548" i="5"/>
  <c r="F548" i="5"/>
  <c r="C547" i="5"/>
  <c r="V546" i="5"/>
  <c r="T546" i="5"/>
  <c r="U546" i="5"/>
  <c r="S546" i="5"/>
  <c r="F546" i="5"/>
  <c r="E546" i="5"/>
  <c r="D546" i="5"/>
  <c r="I546" i="5"/>
  <c r="C546" i="5"/>
  <c r="B546" i="5"/>
  <c r="A546" i="5"/>
  <c r="L545" i="5"/>
  <c r="Q545" i="5" s="1"/>
  <c r="Z545" i="5"/>
  <c r="Y545" i="5"/>
  <c r="W545" i="5"/>
  <c r="K544" i="5"/>
  <c r="J544" i="5"/>
  <c r="Z544" i="5"/>
  <c r="Y544" i="5"/>
  <c r="W544" i="5"/>
  <c r="H544" i="5"/>
  <c r="X544" i="5" s="1"/>
  <c r="F544" i="5"/>
  <c r="V544" i="5"/>
  <c r="T544" i="5"/>
  <c r="U544" i="5"/>
  <c r="S544" i="5"/>
  <c r="E544" i="5"/>
  <c r="D544" i="5"/>
  <c r="C544" i="5"/>
  <c r="B544" i="5"/>
  <c r="A544" i="5"/>
  <c r="L543" i="5"/>
  <c r="G543" i="5"/>
  <c r="E543" i="5"/>
  <c r="J542" i="5"/>
  <c r="E542" i="5"/>
  <c r="J541" i="5"/>
  <c r="E541" i="5"/>
  <c r="K540" i="5"/>
  <c r="J540" i="5"/>
  <c r="H540" i="5"/>
  <c r="G540" i="5"/>
  <c r="F540" i="5"/>
  <c r="K539" i="5"/>
  <c r="J539" i="5"/>
  <c r="H539" i="5"/>
  <c r="R539" i="5" s="1"/>
  <c r="G539" i="5"/>
  <c r="F539" i="5"/>
  <c r="K538" i="5"/>
  <c r="J538" i="5"/>
  <c r="H538" i="5"/>
  <c r="G538" i="5"/>
  <c r="F538" i="5"/>
  <c r="K537" i="5"/>
  <c r="J537" i="5"/>
  <c r="H537" i="5"/>
  <c r="G537" i="5"/>
  <c r="F537" i="5"/>
  <c r="C536" i="5"/>
  <c r="V535" i="5"/>
  <c r="T535" i="5"/>
  <c r="U535" i="5"/>
  <c r="S535" i="5"/>
  <c r="F535" i="5"/>
  <c r="E535" i="5"/>
  <c r="D535" i="5"/>
  <c r="I535" i="5"/>
  <c r="C535" i="5"/>
  <c r="B535" i="5"/>
  <c r="A535" i="5"/>
  <c r="L534" i="5"/>
  <c r="Q534" i="5" s="1"/>
  <c r="Z534" i="5"/>
  <c r="Y534" i="5"/>
  <c r="W534" i="5"/>
  <c r="K533" i="5"/>
  <c r="J533" i="5"/>
  <c r="Z533" i="5"/>
  <c r="Y533" i="5"/>
  <c r="W533" i="5"/>
  <c r="H533" i="5"/>
  <c r="X533" i="5" s="1"/>
  <c r="F533" i="5"/>
  <c r="V533" i="5"/>
  <c r="T533" i="5"/>
  <c r="U533" i="5"/>
  <c r="S533" i="5"/>
  <c r="E533" i="5"/>
  <c r="D533" i="5"/>
  <c r="C533" i="5"/>
  <c r="B533" i="5"/>
  <c r="A533" i="5"/>
  <c r="L532" i="5"/>
  <c r="G532" i="5"/>
  <c r="E532" i="5"/>
  <c r="J531" i="5"/>
  <c r="E531" i="5"/>
  <c r="J530" i="5"/>
  <c r="E530" i="5"/>
  <c r="K529" i="5"/>
  <c r="J529" i="5"/>
  <c r="H529" i="5"/>
  <c r="G529" i="5"/>
  <c r="F529" i="5"/>
  <c r="K528" i="5"/>
  <c r="J528" i="5"/>
  <c r="H528" i="5"/>
  <c r="R528" i="5" s="1"/>
  <c r="G528" i="5"/>
  <c r="F528" i="5"/>
  <c r="K527" i="5"/>
  <c r="J527" i="5"/>
  <c r="H527" i="5"/>
  <c r="G527" i="5"/>
  <c r="F527" i="5"/>
  <c r="K526" i="5"/>
  <c r="J526" i="5"/>
  <c r="H526" i="5"/>
  <c r="G526" i="5"/>
  <c r="F526" i="5"/>
  <c r="C525" i="5"/>
  <c r="V524" i="5"/>
  <c r="T524" i="5"/>
  <c r="U524" i="5"/>
  <c r="S524" i="5"/>
  <c r="F524" i="5"/>
  <c r="E524" i="5"/>
  <c r="D524" i="5"/>
  <c r="I524" i="5"/>
  <c r="C524" i="5"/>
  <c r="B524" i="5"/>
  <c r="A524" i="5"/>
  <c r="L523" i="5"/>
  <c r="Q523" i="5" s="1"/>
  <c r="Z523" i="5"/>
  <c r="Y523" i="5"/>
  <c r="W523" i="5"/>
  <c r="K522" i="5"/>
  <c r="J522" i="5"/>
  <c r="Z522" i="5"/>
  <c r="Y522" i="5"/>
  <c r="W522" i="5"/>
  <c r="H522" i="5"/>
  <c r="X522" i="5" s="1"/>
  <c r="F522" i="5"/>
  <c r="V522" i="5"/>
  <c r="T522" i="5"/>
  <c r="U522" i="5"/>
  <c r="S522" i="5"/>
  <c r="E522" i="5"/>
  <c r="D522" i="5"/>
  <c r="C522" i="5"/>
  <c r="B522" i="5"/>
  <c r="A522" i="5"/>
  <c r="L521" i="5"/>
  <c r="G521" i="5"/>
  <c r="E521" i="5"/>
  <c r="J520" i="5"/>
  <c r="E520" i="5"/>
  <c r="J519" i="5"/>
  <c r="E519" i="5"/>
  <c r="K518" i="5"/>
  <c r="J518" i="5"/>
  <c r="H518" i="5"/>
  <c r="G518" i="5"/>
  <c r="F518" i="5"/>
  <c r="K517" i="5"/>
  <c r="J517" i="5"/>
  <c r="H517" i="5"/>
  <c r="R517" i="5" s="1"/>
  <c r="G517" i="5"/>
  <c r="F517" i="5"/>
  <c r="K516" i="5"/>
  <c r="J516" i="5"/>
  <c r="H516" i="5"/>
  <c r="G516" i="5"/>
  <c r="F516" i="5"/>
  <c r="K515" i="5"/>
  <c r="J515" i="5"/>
  <c r="H515" i="5"/>
  <c r="G515" i="5"/>
  <c r="F515" i="5"/>
  <c r="C514" i="5"/>
  <c r="V513" i="5"/>
  <c r="T513" i="5"/>
  <c r="U513" i="5"/>
  <c r="S513" i="5"/>
  <c r="F513" i="5"/>
  <c r="E513" i="5"/>
  <c r="D513" i="5"/>
  <c r="I513" i="5"/>
  <c r="C513" i="5"/>
  <c r="B513" i="5"/>
  <c r="A513" i="5"/>
  <c r="L512" i="5"/>
  <c r="Q512" i="5" s="1"/>
  <c r="Z512" i="5"/>
  <c r="Y512" i="5"/>
  <c r="W512" i="5"/>
  <c r="K511" i="5"/>
  <c r="J511" i="5"/>
  <c r="Z511" i="5"/>
  <c r="Y511" i="5"/>
  <c r="W511" i="5"/>
  <c r="H511" i="5"/>
  <c r="X511" i="5" s="1"/>
  <c r="F511" i="5"/>
  <c r="V511" i="5"/>
  <c r="T511" i="5"/>
  <c r="U511" i="5"/>
  <c r="S511" i="5"/>
  <c r="E511" i="5"/>
  <c r="D511" i="5"/>
  <c r="C511" i="5"/>
  <c r="B511" i="5"/>
  <c r="A511" i="5"/>
  <c r="L510" i="5"/>
  <c r="G510" i="5"/>
  <c r="E510" i="5"/>
  <c r="J509" i="5"/>
  <c r="E509" i="5"/>
  <c r="J508" i="5"/>
  <c r="E508" i="5"/>
  <c r="K507" i="5"/>
  <c r="J507" i="5"/>
  <c r="H507" i="5"/>
  <c r="G507" i="5"/>
  <c r="F507" i="5"/>
  <c r="K506" i="5"/>
  <c r="J506" i="5"/>
  <c r="H506" i="5"/>
  <c r="R506" i="5" s="1"/>
  <c r="G506" i="5"/>
  <c r="F506" i="5"/>
  <c r="K505" i="5"/>
  <c r="J505" i="5"/>
  <c r="H505" i="5"/>
  <c r="G505" i="5"/>
  <c r="F505" i="5"/>
  <c r="K504" i="5"/>
  <c r="J504" i="5"/>
  <c r="H504" i="5"/>
  <c r="G504" i="5"/>
  <c r="F504" i="5"/>
  <c r="C503" i="5"/>
  <c r="V502" i="5"/>
  <c r="T502" i="5"/>
  <c r="U502" i="5"/>
  <c r="S502" i="5"/>
  <c r="F502" i="5"/>
  <c r="E502" i="5"/>
  <c r="D502" i="5"/>
  <c r="I502" i="5"/>
  <c r="C502" i="5"/>
  <c r="B502" i="5"/>
  <c r="A502" i="5"/>
  <c r="L501" i="5"/>
  <c r="Q501" i="5" s="1"/>
  <c r="Z501" i="5"/>
  <c r="Y501" i="5"/>
  <c r="W501" i="5"/>
  <c r="K500" i="5"/>
  <c r="J500" i="5"/>
  <c r="Z500" i="5"/>
  <c r="Y500" i="5"/>
  <c r="W500" i="5"/>
  <c r="H500" i="5"/>
  <c r="X500" i="5" s="1"/>
  <c r="F500" i="5"/>
  <c r="V500" i="5"/>
  <c r="T500" i="5"/>
  <c r="U500" i="5"/>
  <c r="S500" i="5"/>
  <c r="E500" i="5"/>
  <c r="D500" i="5"/>
  <c r="C500" i="5"/>
  <c r="B500" i="5"/>
  <c r="A500" i="5"/>
  <c r="L499" i="5"/>
  <c r="G499" i="5"/>
  <c r="E499" i="5"/>
  <c r="J498" i="5"/>
  <c r="E498" i="5"/>
  <c r="J497" i="5"/>
  <c r="E497" i="5"/>
  <c r="K496" i="5"/>
  <c r="J496" i="5"/>
  <c r="H496" i="5"/>
  <c r="G496" i="5"/>
  <c r="F496" i="5"/>
  <c r="K495" i="5"/>
  <c r="J495" i="5"/>
  <c r="H495" i="5"/>
  <c r="R495" i="5" s="1"/>
  <c r="G495" i="5"/>
  <c r="F495" i="5"/>
  <c r="C494" i="5"/>
  <c r="V493" i="5"/>
  <c r="T493" i="5"/>
  <c r="U493" i="5"/>
  <c r="H498" i="5" s="1"/>
  <c r="S493" i="5"/>
  <c r="F493" i="5"/>
  <c r="E493" i="5"/>
  <c r="D493" i="5"/>
  <c r="I493" i="5"/>
  <c r="C493" i="5"/>
  <c r="B493" i="5"/>
  <c r="A493" i="5"/>
  <c r="L492" i="5"/>
  <c r="Q492" i="5" s="1"/>
  <c r="Z492" i="5"/>
  <c r="Y492" i="5"/>
  <c r="W492" i="5"/>
  <c r="K491" i="5"/>
  <c r="J491" i="5"/>
  <c r="Z491" i="5"/>
  <c r="Y491" i="5"/>
  <c r="W491" i="5"/>
  <c r="H491" i="5"/>
  <c r="X491" i="5" s="1"/>
  <c r="F491" i="5"/>
  <c r="V491" i="5"/>
  <c r="T491" i="5"/>
  <c r="U491" i="5"/>
  <c r="S491" i="5"/>
  <c r="E491" i="5"/>
  <c r="D491" i="5"/>
  <c r="C491" i="5"/>
  <c r="B491" i="5"/>
  <c r="A491" i="5"/>
  <c r="L490" i="5"/>
  <c r="G490" i="5"/>
  <c r="E490" i="5"/>
  <c r="J489" i="5"/>
  <c r="E489" i="5"/>
  <c r="J488" i="5"/>
  <c r="E488" i="5"/>
  <c r="K487" i="5"/>
  <c r="J487" i="5"/>
  <c r="H487" i="5"/>
  <c r="G487" i="5"/>
  <c r="F487" i="5"/>
  <c r="K486" i="5"/>
  <c r="J486" i="5"/>
  <c r="H486" i="5"/>
  <c r="R486" i="5" s="1"/>
  <c r="G486" i="5"/>
  <c r="F486" i="5"/>
  <c r="K485" i="5"/>
  <c r="J485" i="5"/>
  <c r="H485" i="5"/>
  <c r="G485" i="5"/>
  <c r="F485" i="5"/>
  <c r="K484" i="5"/>
  <c r="J484" i="5"/>
  <c r="H484" i="5"/>
  <c r="R484" i="5" s="1"/>
  <c r="G484" i="5"/>
  <c r="F484" i="5"/>
  <c r="C483" i="5"/>
  <c r="V482" i="5"/>
  <c r="T482" i="5"/>
  <c r="U482" i="5"/>
  <c r="H489" i="5" s="1"/>
  <c r="S482" i="5"/>
  <c r="F482" i="5"/>
  <c r="E482" i="5"/>
  <c r="D482" i="5"/>
  <c r="I482" i="5"/>
  <c r="C482" i="5"/>
  <c r="B482" i="5"/>
  <c r="A482" i="5"/>
  <c r="L481" i="5"/>
  <c r="Q481" i="5" s="1"/>
  <c r="Z481" i="5"/>
  <c r="Y481" i="5"/>
  <c r="W481" i="5"/>
  <c r="K480" i="5"/>
  <c r="J480" i="5"/>
  <c r="Z480" i="5"/>
  <c r="Y480" i="5"/>
  <c r="W480" i="5"/>
  <c r="H480" i="5"/>
  <c r="X480" i="5" s="1"/>
  <c r="F480" i="5"/>
  <c r="V480" i="5"/>
  <c r="T480" i="5"/>
  <c r="U480" i="5"/>
  <c r="S480" i="5"/>
  <c r="E480" i="5"/>
  <c r="D480" i="5"/>
  <c r="C480" i="5"/>
  <c r="B480" i="5"/>
  <c r="A480" i="5"/>
  <c r="L479" i="5"/>
  <c r="G479" i="5"/>
  <c r="E479" i="5"/>
  <c r="J478" i="5"/>
  <c r="E478" i="5"/>
  <c r="J477" i="5"/>
  <c r="E477" i="5"/>
  <c r="K476" i="5"/>
  <c r="J476" i="5"/>
  <c r="H476" i="5"/>
  <c r="G476" i="5"/>
  <c r="F476" i="5"/>
  <c r="K475" i="5"/>
  <c r="J475" i="5"/>
  <c r="H475" i="5"/>
  <c r="R475" i="5" s="1"/>
  <c r="G475" i="5"/>
  <c r="F475" i="5"/>
  <c r="V474" i="5"/>
  <c r="T474" i="5"/>
  <c r="U474" i="5"/>
  <c r="S474" i="5"/>
  <c r="F474" i="5"/>
  <c r="E474" i="5"/>
  <c r="D474" i="5"/>
  <c r="I474" i="5"/>
  <c r="C474" i="5"/>
  <c r="B474" i="5"/>
  <c r="A474" i="5"/>
  <c r="L473" i="5"/>
  <c r="Q473" i="5" s="1"/>
  <c r="Z473" i="5"/>
  <c r="Y473" i="5"/>
  <c r="W473" i="5"/>
  <c r="K472" i="5"/>
  <c r="J472" i="5"/>
  <c r="Z472" i="5"/>
  <c r="Y472" i="5"/>
  <c r="W472" i="5"/>
  <c r="H472" i="5"/>
  <c r="X472" i="5" s="1"/>
  <c r="F472" i="5"/>
  <c r="V472" i="5"/>
  <c r="T472" i="5"/>
  <c r="U472" i="5"/>
  <c r="S472" i="5"/>
  <c r="E472" i="5"/>
  <c r="D472" i="5"/>
  <c r="C472" i="5"/>
  <c r="B472" i="5"/>
  <c r="A472" i="5"/>
  <c r="L471" i="5"/>
  <c r="G471" i="5"/>
  <c r="E471" i="5"/>
  <c r="J470" i="5"/>
  <c r="E470" i="5"/>
  <c r="J469" i="5"/>
  <c r="E469" i="5"/>
  <c r="K468" i="5"/>
  <c r="J468" i="5"/>
  <c r="H468" i="5"/>
  <c r="G468" i="5"/>
  <c r="F468" i="5"/>
  <c r="K467" i="5"/>
  <c r="J467" i="5"/>
  <c r="H467" i="5"/>
  <c r="R467" i="5" s="1"/>
  <c r="G467" i="5"/>
  <c r="F467" i="5"/>
  <c r="K466" i="5"/>
  <c r="J466" i="5"/>
  <c r="H466" i="5"/>
  <c r="G466" i="5"/>
  <c r="F466" i="5"/>
  <c r="K465" i="5"/>
  <c r="J465" i="5"/>
  <c r="H465" i="5"/>
  <c r="G465" i="5"/>
  <c r="F465" i="5"/>
  <c r="C464" i="5"/>
  <c r="V463" i="5"/>
  <c r="T463" i="5"/>
  <c r="U463" i="5"/>
  <c r="H470" i="5" s="1"/>
  <c r="S463" i="5"/>
  <c r="F463" i="5"/>
  <c r="E463" i="5"/>
  <c r="D463" i="5"/>
  <c r="I463" i="5"/>
  <c r="C463" i="5"/>
  <c r="B463" i="5"/>
  <c r="A463" i="5"/>
  <c r="L462" i="5"/>
  <c r="Q462" i="5" s="1"/>
  <c r="Z462" i="5"/>
  <c r="Y462" i="5"/>
  <c r="X462" i="5"/>
  <c r="L461" i="5"/>
  <c r="G461" i="5"/>
  <c r="E461" i="5"/>
  <c r="J460" i="5"/>
  <c r="E460" i="5"/>
  <c r="J459" i="5"/>
  <c r="E459" i="5"/>
  <c r="K458" i="5"/>
  <c r="J458" i="5"/>
  <c r="H458" i="5"/>
  <c r="R458" i="5" s="1"/>
  <c r="G458" i="5"/>
  <c r="F458" i="5"/>
  <c r="C457" i="5"/>
  <c r="V456" i="5"/>
  <c r="K460" i="5" s="1"/>
  <c r="T456" i="5"/>
  <c r="K459" i="5" s="1"/>
  <c r="U456" i="5"/>
  <c r="H460" i="5" s="1"/>
  <c r="S456" i="5"/>
  <c r="H459" i="5" s="1"/>
  <c r="F456" i="5"/>
  <c r="E456" i="5"/>
  <c r="D456" i="5"/>
  <c r="I456" i="5"/>
  <c r="C456" i="5"/>
  <c r="B456" i="5"/>
  <c r="A456" i="5"/>
  <c r="L455" i="5"/>
  <c r="Q455" i="5" s="1"/>
  <c r="Z455" i="5"/>
  <c r="Y455" i="5"/>
  <c r="X455" i="5"/>
  <c r="L454" i="5"/>
  <c r="G454" i="5"/>
  <c r="E454" i="5"/>
  <c r="J453" i="5"/>
  <c r="E453" i="5"/>
  <c r="J452" i="5"/>
  <c r="E452" i="5"/>
  <c r="K451" i="5"/>
  <c r="J451" i="5"/>
  <c r="H451" i="5"/>
  <c r="R451" i="5" s="1"/>
  <c r="G451" i="5"/>
  <c r="F451" i="5"/>
  <c r="C450" i="5"/>
  <c r="V449" i="5"/>
  <c r="K453" i="5" s="1"/>
  <c r="T449" i="5"/>
  <c r="K452" i="5" s="1"/>
  <c r="U449" i="5"/>
  <c r="H453" i="5" s="1"/>
  <c r="S449" i="5"/>
  <c r="H452" i="5" s="1"/>
  <c r="F449" i="5"/>
  <c r="E449" i="5"/>
  <c r="D449" i="5"/>
  <c r="I449" i="5"/>
  <c r="C449" i="5"/>
  <c r="B449" i="5"/>
  <c r="A449" i="5"/>
  <c r="L448" i="5"/>
  <c r="Q448" i="5" s="1"/>
  <c r="Z448" i="5"/>
  <c r="Y448" i="5"/>
  <c r="W448" i="5"/>
  <c r="L447" i="5"/>
  <c r="G447" i="5"/>
  <c r="E447" i="5"/>
  <c r="J446" i="5"/>
  <c r="E446" i="5"/>
  <c r="J445" i="5"/>
  <c r="E445" i="5"/>
  <c r="K444" i="5"/>
  <c r="J444" i="5"/>
  <c r="H444" i="5"/>
  <c r="G444" i="5"/>
  <c r="F444" i="5"/>
  <c r="K443" i="5"/>
  <c r="J443" i="5"/>
  <c r="H443" i="5"/>
  <c r="G443" i="5"/>
  <c r="F443" i="5"/>
  <c r="K442" i="5"/>
  <c r="J442" i="5"/>
  <c r="H442" i="5"/>
  <c r="R442" i="5" s="1"/>
  <c r="G442" i="5"/>
  <c r="F442" i="5"/>
  <c r="V441" i="5"/>
  <c r="K446" i="5" s="1"/>
  <c r="T441" i="5"/>
  <c r="K445" i="5" s="1"/>
  <c r="U441" i="5"/>
  <c r="H446" i="5" s="1"/>
  <c r="S441" i="5"/>
  <c r="H445" i="5" s="1"/>
  <c r="F441" i="5"/>
  <c r="E441" i="5"/>
  <c r="D441" i="5"/>
  <c r="I441" i="5"/>
  <c r="C441" i="5"/>
  <c r="B441" i="5"/>
  <c r="A441" i="5"/>
  <c r="L440" i="5"/>
  <c r="Q440" i="5" s="1"/>
  <c r="Z440" i="5"/>
  <c r="Y440" i="5"/>
  <c r="W440" i="5"/>
  <c r="L439" i="5"/>
  <c r="G439" i="5"/>
  <c r="E439" i="5"/>
  <c r="J438" i="5"/>
  <c r="E438" i="5"/>
  <c r="J437" i="5"/>
  <c r="E437" i="5"/>
  <c r="K436" i="5"/>
  <c r="J436" i="5"/>
  <c r="H436" i="5"/>
  <c r="G436" i="5"/>
  <c r="F436" i="5"/>
  <c r="K435" i="5"/>
  <c r="J435" i="5"/>
  <c r="H435" i="5"/>
  <c r="G435" i="5"/>
  <c r="F435" i="5"/>
  <c r="V434" i="5"/>
  <c r="K438" i="5" s="1"/>
  <c r="T434" i="5"/>
  <c r="K437" i="5" s="1"/>
  <c r="U434" i="5"/>
  <c r="H438" i="5" s="1"/>
  <c r="S434" i="5"/>
  <c r="H437" i="5" s="1"/>
  <c r="F434" i="5"/>
  <c r="E434" i="5"/>
  <c r="D434" i="5"/>
  <c r="I434" i="5"/>
  <c r="C434" i="5"/>
  <c r="B434" i="5"/>
  <c r="A434" i="5"/>
  <c r="L433" i="5"/>
  <c r="Q433" i="5" s="1"/>
  <c r="Z433" i="5"/>
  <c r="Y433" i="5"/>
  <c r="W433" i="5"/>
  <c r="L432" i="5"/>
  <c r="G432" i="5"/>
  <c r="E432" i="5"/>
  <c r="J431" i="5"/>
  <c r="E431" i="5"/>
  <c r="J430" i="5"/>
  <c r="E430" i="5"/>
  <c r="K429" i="5"/>
  <c r="J429" i="5"/>
  <c r="H429" i="5"/>
  <c r="R429" i="5" s="1"/>
  <c r="G429" i="5"/>
  <c r="F429" i="5"/>
  <c r="K428" i="5"/>
  <c r="J428" i="5"/>
  <c r="H428" i="5"/>
  <c r="G428" i="5"/>
  <c r="F428" i="5"/>
  <c r="K427" i="5"/>
  <c r="J427" i="5"/>
  <c r="H427" i="5"/>
  <c r="R427" i="5" s="1"/>
  <c r="G427" i="5"/>
  <c r="F427" i="5"/>
  <c r="C426" i="5"/>
  <c r="V425" i="5"/>
  <c r="K431" i="5" s="1"/>
  <c r="T425" i="5"/>
  <c r="K430" i="5" s="1"/>
  <c r="U425" i="5"/>
  <c r="H431" i="5" s="1"/>
  <c r="S425" i="5"/>
  <c r="H430" i="5" s="1"/>
  <c r="F425" i="5"/>
  <c r="E425" i="5"/>
  <c r="D425" i="5"/>
  <c r="I425" i="5"/>
  <c r="C425" i="5"/>
  <c r="B425" i="5"/>
  <c r="A425" i="5"/>
  <c r="L424" i="5"/>
  <c r="Q424" i="5" s="1"/>
  <c r="Z424" i="5"/>
  <c r="Y424" i="5"/>
  <c r="W424" i="5"/>
  <c r="L423" i="5"/>
  <c r="G423" i="5"/>
  <c r="E423" i="5"/>
  <c r="J422" i="5"/>
  <c r="E422" i="5"/>
  <c r="J421" i="5"/>
  <c r="E421" i="5"/>
  <c r="K420" i="5"/>
  <c r="J420" i="5"/>
  <c r="H420" i="5"/>
  <c r="R420" i="5" s="1"/>
  <c r="G420" i="5"/>
  <c r="F420" i="5"/>
  <c r="K419" i="5"/>
  <c r="J419" i="5"/>
  <c r="H419" i="5"/>
  <c r="G419" i="5"/>
  <c r="F419" i="5"/>
  <c r="K418" i="5"/>
  <c r="J418" i="5"/>
  <c r="H418" i="5"/>
  <c r="G418" i="5"/>
  <c r="F418" i="5"/>
  <c r="C417" i="5"/>
  <c r="V416" i="5"/>
  <c r="K422" i="5" s="1"/>
  <c r="T416" i="5"/>
  <c r="K421" i="5" s="1"/>
  <c r="U416" i="5"/>
  <c r="H422" i="5" s="1"/>
  <c r="S416" i="5"/>
  <c r="H421" i="5" s="1"/>
  <c r="F416" i="5"/>
  <c r="E416" i="5"/>
  <c r="D416" i="5"/>
  <c r="I416" i="5"/>
  <c r="C416" i="5"/>
  <c r="B416" i="5"/>
  <c r="A416" i="5"/>
  <c r="L415" i="5"/>
  <c r="Q415" i="5" s="1"/>
  <c r="Z415" i="5"/>
  <c r="Y415" i="5"/>
  <c r="X415" i="5"/>
  <c r="L414" i="5"/>
  <c r="G414" i="5"/>
  <c r="E414" i="5"/>
  <c r="J413" i="5"/>
  <c r="E413" i="5"/>
  <c r="J412" i="5"/>
  <c r="E412" i="5"/>
  <c r="K411" i="5"/>
  <c r="J411" i="5"/>
  <c r="H411" i="5"/>
  <c r="R411" i="5" s="1"/>
  <c r="G411" i="5"/>
  <c r="F411" i="5"/>
  <c r="K410" i="5"/>
  <c r="J410" i="5"/>
  <c r="H410" i="5"/>
  <c r="G410" i="5"/>
  <c r="F410" i="5"/>
  <c r="K409" i="5"/>
  <c r="J409" i="5"/>
  <c r="H409" i="5"/>
  <c r="R409" i="5" s="1"/>
  <c r="G409" i="5"/>
  <c r="F409" i="5"/>
  <c r="C408" i="5"/>
  <c r="V407" i="5"/>
  <c r="K413" i="5" s="1"/>
  <c r="T407" i="5"/>
  <c r="K412" i="5" s="1"/>
  <c r="U407" i="5"/>
  <c r="H413" i="5" s="1"/>
  <c r="S407" i="5"/>
  <c r="H412" i="5" s="1"/>
  <c r="F407" i="5"/>
  <c r="E407" i="5"/>
  <c r="D407" i="5"/>
  <c r="I407" i="5"/>
  <c r="C407" i="5"/>
  <c r="B407" i="5"/>
  <c r="A407" i="5"/>
  <c r="A406" i="5"/>
  <c r="A405" i="5"/>
  <c r="L403" i="5"/>
  <c r="Q403" i="5" s="1"/>
  <c r="Z403" i="5"/>
  <c r="Y403" i="5"/>
  <c r="X403" i="5"/>
  <c r="L402" i="5"/>
  <c r="G402" i="5"/>
  <c r="E402" i="5"/>
  <c r="J401" i="5"/>
  <c r="E401" i="5"/>
  <c r="J400" i="5"/>
  <c r="E400" i="5"/>
  <c r="K399" i="5"/>
  <c r="J399" i="5"/>
  <c r="H399" i="5"/>
  <c r="R399" i="5" s="1"/>
  <c r="G399" i="5"/>
  <c r="F399" i="5"/>
  <c r="C398" i="5"/>
  <c r="V397" i="5"/>
  <c r="K401" i="5" s="1"/>
  <c r="T397" i="5"/>
  <c r="K400" i="5" s="1"/>
  <c r="U397" i="5"/>
  <c r="H401" i="5" s="1"/>
  <c r="S397" i="5"/>
  <c r="H400" i="5" s="1"/>
  <c r="F397" i="5"/>
  <c r="E397" i="5"/>
  <c r="D397" i="5"/>
  <c r="I397" i="5"/>
  <c r="C397" i="5"/>
  <c r="B397" i="5"/>
  <c r="A397" i="5"/>
  <c r="L396" i="5"/>
  <c r="Q396" i="5" s="1"/>
  <c r="Z396" i="5"/>
  <c r="Y396" i="5"/>
  <c r="X396" i="5"/>
  <c r="K395" i="5"/>
  <c r="J395" i="5"/>
  <c r="Z395" i="5"/>
  <c r="Y395" i="5"/>
  <c r="X395" i="5"/>
  <c r="H395" i="5"/>
  <c r="W395" i="5" s="1"/>
  <c r="F395" i="5"/>
  <c r="V395" i="5"/>
  <c r="T395" i="5"/>
  <c r="U395" i="5"/>
  <c r="S395" i="5"/>
  <c r="E395" i="5"/>
  <c r="D395" i="5"/>
  <c r="C395" i="5"/>
  <c r="B395" i="5"/>
  <c r="A395" i="5"/>
  <c r="K394" i="5"/>
  <c r="J394" i="5"/>
  <c r="Z394" i="5"/>
  <c r="Y394" i="5"/>
  <c r="X394" i="5"/>
  <c r="H394" i="5"/>
  <c r="W394" i="5" s="1"/>
  <c r="F394" i="5"/>
  <c r="V394" i="5"/>
  <c r="T394" i="5"/>
  <c r="U394" i="5"/>
  <c r="S394" i="5"/>
  <c r="E394" i="5"/>
  <c r="D394" i="5"/>
  <c r="C394" i="5"/>
  <c r="B394" i="5"/>
  <c r="A394" i="5"/>
  <c r="L393" i="5"/>
  <c r="G393" i="5"/>
  <c r="E393" i="5"/>
  <c r="J392" i="5"/>
  <c r="F392" i="5"/>
  <c r="E392" i="5"/>
  <c r="J391" i="5"/>
  <c r="F391" i="5"/>
  <c r="E391" i="5"/>
  <c r="K390" i="5"/>
  <c r="J390" i="5"/>
  <c r="H390" i="5"/>
  <c r="G390" i="5"/>
  <c r="F390" i="5"/>
  <c r="K389" i="5"/>
  <c r="J389" i="5"/>
  <c r="H389" i="5"/>
  <c r="R389" i="5" s="1"/>
  <c r="G389" i="5"/>
  <c r="F389" i="5"/>
  <c r="K388" i="5"/>
  <c r="J388" i="5"/>
  <c r="H388" i="5"/>
  <c r="G388" i="5"/>
  <c r="F388" i="5"/>
  <c r="K387" i="5"/>
  <c r="J387" i="5"/>
  <c r="H387" i="5"/>
  <c r="R387" i="5" s="1"/>
  <c r="G387" i="5"/>
  <c r="F387" i="5"/>
  <c r="C386" i="5"/>
  <c r="V385" i="5"/>
  <c r="T385" i="5"/>
  <c r="U385" i="5"/>
  <c r="S385" i="5"/>
  <c r="F385" i="5"/>
  <c r="E385" i="5"/>
  <c r="D385" i="5"/>
  <c r="I385" i="5"/>
  <c r="C385" i="5"/>
  <c r="B385" i="5"/>
  <c r="A385" i="5"/>
  <c r="L384" i="5"/>
  <c r="Q384" i="5" s="1"/>
  <c r="Z384" i="5"/>
  <c r="Y384" i="5"/>
  <c r="X384" i="5"/>
  <c r="K383" i="5"/>
  <c r="J383" i="5"/>
  <c r="Z383" i="5"/>
  <c r="Y383" i="5"/>
  <c r="X383" i="5"/>
  <c r="H383" i="5"/>
  <c r="W383" i="5" s="1"/>
  <c r="F383" i="5"/>
  <c r="V383" i="5"/>
  <c r="T383" i="5"/>
  <c r="U383" i="5"/>
  <c r="S383" i="5"/>
  <c r="E383" i="5"/>
  <c r="D383" i="5"/>
  <c r="C383" i="5"/>
  <c r="B383" i="5"/>
  <c r="A383" i="5"/>
  <c r="L382" i="5"/>
  <c r="G382" i="5"/>
  <c r="E382" i="5"/>
  <c r="J381" i="5"/>
  <c r="F381" i="5"/>
  <c r="E381" i="5"/>
  <c r="J380" i="5"/>
  <c r="F380" i="5"/>
  <c r="E380" i="5"/>
  <c r="K379" i="5"/>
  <c r="J379" i="5"/>
  <c r="H379" i="5"/>
  <c r="G379" i="5"/>
  <c r="F379" i="5"/>
  <c r="K378" i="5"/>
  <c r="J378" i="5"/>
  <c r="H378" i="5"/>
  <c r="R378" i="5" s="1"/>
  <c r="G378" i="5"/>
  <c r="F378" i="5"/>
  <c r="K377" i="5"/>
  <c r="J377" i="5"/>
  <c r="H377" i="5"/>
  <c r="G377" i="5"/>
  <c r="F377" i="5"/>
  <c r="K376" i="5"/>
  <c r="J376" i="5"/>
  <c r="H376" i="5"/>
  <c r="G376" i="5"/>
  <c r="F376" i="5"/>
  <c r="V375" i="5"/>
  <c r="K381" i="5" s="1"/>
  <c r="T375" i="5"/>
  <c r="U375" i="5"/>
  <c r="S375" i="5"/>
  <c r="F375" i="5"/>
  <c r="E375" i="5"/>
  <c r="D375" i="5"/>
  <c r="I375" i="5"/>
  <c r="C375" i="5"/>
  <c r="B375" i="5"/>
  <c r="A375" i="5"/>
  <c r="L374" i="5"/>
  <c r="Q374" i="5" s="1"/>
  <c r="Z374" i="5"/>
  <c r="Y374" i="5"/>
  <c r="X374" i="5"/>
  <c r="K373" i="5"/>
  <c r="J373" i="5"/>
  <c r="Z373" i="5"/>
  <c r="Y373" i="5"/>
  <c r="X373" i="5"/>
  <c r="H373" i="5"/>
  <c r="W373" i="5" s="1"/>
  <c r="F373" i="5"/>
  <c r="V373" i="5"/>
  <c r="T373" i="5"/>
  <c r="U373" i="5"/>
  <c r="S373" i="5"/>
  <c r="E373" i="5"/>
  <c r="D373" i="5"/>
  <c r="C373" i="5"/>
  <c r="B373" i="5"/>
  <c r="A373" i="5"/>
  <c r="K372" i="5"/>
  <c r="J372" i="5"/>
  <c r="Z372" i="5"/>
  <c r="Y372" i="5"/>
  <c r="X372" i="5"/>
  <c r="H372" i="5"/>
  <c r="W372" i="5" s="1"/>
  <c r="F372" i="5"/>
  <c r="V372" i="5"/>
  <c r="T372" i="5"/>
  <c r="U372" i="5"/>
  <c r="S372" i="5"/>
  <c r="E372" i="5"/>
  <c r="D372" i="5"/>
  <c r="C372" i="5"/>
  <c r="B372" i="5"/>
  <c r="A372" i="5"/>
  <c r="L371" i="5"/>
  <c r="G371" i="5"/>
  <c r="E371" i="5"/>
  <c r="J370" i="5"/>
  <c r="F370" i="5"/>
  <c r="E370" i="5"/>
  <c r="J369" i="5"/>
  <c r="F369" i="5"/>
  <c r="E369" i="5"/>
  <c r="K368" i="5"/>
  <c r="J368" i="5"/>
  <c r="H368" i="5"/>
  <c r="G368" i="5"/>
  <c r="F368" i="5"/>
  <c r="K367" i="5"/>
  <c r="J367" i="5"/>
  <c r="H367" i="5"/>
  <c r="R367" i="5" s="1"/>
  <c r="G367" i="5"/>
  <c r="F367" i="5"/>
  <c r="K366" i="5"/>
  <c r="J366" i="5"/>
  <c r="H366" i="5"/>
  <c r="G366" i="5"/>
  <c r="F366" i="5"/>
  <c r="K365" i="5"/>
  <c r="J365" i="5"/>
  <c r="H365" i="5"/>
  <c r="R365" i="5" s="1"/>
  <c r="G365" i="5"/>
  <c r="F365" i="5"/>
  <c r="C364" i="5"/>
  <c r="V363" i="5"/>
  <c r="T363" i="5"/>
  <c r="U363" i="5"/>
  <c r="S363" i="5"/>
  <c r="F363" i="5"/>
  <c r="E363" i="5"/>
  <c r="D363" i="5"/>
  <c r="I363" i="5"/>
  <c r="C363" i="5"/>
  <c r="B363" i="5"/>
  <c r="A363" i="5"/>
  <c r="L362" i="5"/>
  <c r="Q362" i="5" s="1"/>
  <c r="Z362" i="5"/>
  <c r="Y362" i="5"/>
  <c r="X362" i="5"/>
  <c r="L361" i="5"/>
  <c r="G361" i="5"/>
  <c r="E361" i="5"/>
  <c r="J360" i="5"/>
  <c r="E360" i="5"/>
  <c r="J359" i="5"/>
  <c r="E359" i="5"/>
  <c r="K358" i="5"/>
  <c r="J358" i="5"/>
  <c r="H358" i="5"/>
  <c r="R358" i="5" s="1"/>
  <c r="G358" i="5"/>
  <c r="F358" i="5"/>
  <c r="K357" i="5"/>
  <c r="J357" i="5"/>
  <c r="H357" i="5"/>
  <c r="G357" i="5"/>
  <c r="F357" i="5"/>
  <c r="K356" i="5"/>
  <c r="J356" i="5"/>
  <c r="H356" i="5"/>
  <c r="G356" i="5"/>
  <c r="F356" i="5"/>
  <c r="C355" i="5"/>
  <c r="V354" i="5"/>
  <c r="K360" i="5" s="1"/>
  <c r="T354" i="5"/>
  <c r="K359" i="5" s="1"/>
  <c r="U354" i="5"/>
  <c r="H360" i="5" s="1"/>
  <c r="S354" i="5"/>
  <c r="H359" i="5" s="1"/>
  <c r="F354" i="5"/>
  <c r="E354" i="5"/>
  <c r="D354" i="5"/>
  <c r="I354" i="5"/>
  <c r="C354" i="5"/>
  <c r="B354" i="5"/>
  <c r="A354" i="5"/>
  <c r="A353" i="5"/>
  <c r="A352" i="5"/>
  <c r="L350" i="5"/>
  <c r="Q350" i="5" s="1"/>
  <c r="Z350" i="5"/>
  <c r="Y350" i="5"/>
  <c r="X350" i="5"/>
  <c r="K349" i="5"/>
  <c r="J350" i="5" s="1"/>
  <c r="P350" i="5" s="1"/>
  <c r="H349" i="5"/>
  <c r="G350" i="5" s="1"/>
  <c r="O350" i="5" s="1"/>
  <c r="J349" i="5"/>
  <c r="G349" i="5"/>
  <c r="F349" i="5"/>
  <c r="V349" i="5"/>
  <c r="T349" i="5"/>
  <c r="U349" i="5"/>
  <c r="S349" i="5"/>
  <c r="E349" i="5"/>
  <c r="D349" i="5"/>
  <c r="I349" i="5"/>
  <c r="C349" i="5"/>
  <c r="B349" i="5"/>
  <c r="A349" i="5"/>
  <c r="L348" i="5"/>
  <c r="Q348" i="5" s="1"/>
  <c r="Z348" i="5"/>
  <c r="Y348" i="5"/>
  <c r="X348" i="5"/>
  <c r="K347" i="5"/>
  <c r="J348" i="5" s="1"/>
  <c r="P348" i="5" s="1"/>
  <c r="H347" i="5"/>
  <c r="G348" i="5" s="1"/>
  <c r="O348" i="5" s="1"/>
  <c r="J347" i="5"/>
  <c r="G347" i="5"/>
  <c r="F347" i="5"/>
  <c r="V347" i="5"/>
  <c r="T347" i="5"/>
  <c r="U347" i="5"/>
  <c r="S347" i="5"/>
  <c r="E347" i="5"/>
  <c r="D347" i="5"/>
  <c r="I347" i="5"/>
  <c r="C347" i="5"/>
  <c r="B347" i="5"/>
  <c r="A347" i="5"/>
  <c r="L346" i="5"/>
  <c r="Q346" i="5" s="1"/>
  <c r="Z346" i="5"/>
  <c r="Y346" i="5"/>
  <c r="X346" i="5"/>
  <c r="L345" i="5"/>
  <c r="G345" i="5"/>
  <c r="E345" i="5"/>
  <c r="J344" i="5"/>
  <c r="E344" i="5"/>
  <c r="J343" i="5"/>
  <c r="E343" i="5"/>
  <c r="K342" i="5"/>
  <c r="J342" i="5"/>
  <c r="H342" i="5"/>
  <c r="G342" i="5"/>
  <c r="F342" i="5"/>
  <c r="K341" i="5"/>
  <c r="J341" i="5"/>
  <c r="H341" i="5"/>
  <c r="R341" i="5" s="1"/>
  <c r="G341" i="5"/>
  <c r="F341" i="5"/>
  <c r="V340" i="5"/>
  <c r="K344" i="5" s="1"/>
  <c r="T340" i="5"/>
  <c r="K343" i="5" s="1"/>
  <c r="U340" i="5"/>
  <c r="H344" i="5" s="1"/>
  <c r="S340" i="5"/>
  <c r="H343" i="5" s="1"/>
  <c r="F340" i="5"/>
  <c r="E340" i="5"/>
  <c r="D340" i="5"/>
  <c r="I340" i="5"/>
  <c r="C340" i="5"/>
  <c r="B340" i="5"/>
  <c r="A340" i="5"/>
  <c r="L339" i="5"/>
  <c r="Q339" i="5" s="1"/>
  <c r="Z339" i="5"/>
  <c r="Y339" i="5"/>
  <c r="X339" i="5"/>
  <c r="K338" i="5"/>
  <c r="J338" i="5"/>
  <c r="Z338" i="5"/>
  <c r="Y338" i="5"/>
  <c r="X338" i="5"/>
  <c r="H338" i="5"/>
  <c r="W338" i="5" s="1"/>
  <c r="F338" i="5"/>
  <c r="V338" i="5"/>
  <c r="T338" i="5"/>
  <c r="U338" i="5"/>
  <c r="S338" i="5"/>
  <c r="E338" i="5"/>
  <c r="D338" i="5"/>
  <c r="C338" i="5"/>
  <c r="B338" i="5"/>
  <c r="A338" i="5"/>
  <c r="L337" i="5"/>
  <c r="G337" i="5"/>
  <c r="E337" i="5"/>
  <c r="J336" i="5"/>
  <c r="E336" i="5"/>
  <c r="J335" i="5"/>
  <c r="E335" i="5"/>
  <c r="K334" i="5"/>
  <c r="J334" i="5"/>
  <c r="H334" i="5"/>
  <c r="G334" i="5"/>
  <c r="F334" i="5"/>
  <c r="K333" i="5"/>
  <c r="J333" i="5"/>
  <c r="H333" i="5"/>
  <c r="R333" i="5" s="1"/>
  <c r="G333" i="5"/>
  <c r="F333" i="5"/>
  <c r="K332" i="5"/>
  <c r="J332" i="5"/>
  <c r="H332" i="5"/>
  <c r="G332" i="5"/>
  <c r="F332" i="5"/>
  <c r="K331" i="5"/>
  <c r="J331" i="5"/>
  <c r="H331" i="5"/>
  <c r="R331" i="5" s="1"/>
  <c r="G331" i="5"/>
  <c r="F331" i="5"/>
  <c r="C330" i="5"/>
  <c r="V329" i="5"/>
  <c r="T329" i="5"/>
  <c r="U329" i="5"/>
  <c r="S329" i="5"/>
  <c r="H335" i="5" s="1"/>
  <c r="F329" i="5"/>
  <c r="E329" i="5"/>
  <c r="D329" i="5"/>
  <c r="I329" i="5"/>
  <c r="C329" i="5"/>
  <c r="B329" i="5"/>
  <c r="A329" i="5"/>
  <c r="L328" i="5"/>
  <c r="Q328" i="5" s="1"/>
  <c r="Z328" i="5"/>
  <c r="Y328" i="5"/>
  <c r="X328" i="5"/>
  <c r="L327" i="5"/>
  <c r="G327" i="5"/>
  <c r="E327" i="5"/>
  <c r="J326" i="5"/>
  <c r="F326" i="5"/>
  <c r="E326" i="5"/>
  <c r="J325" i="5"/>
  <c r="F325" i="5"/>
  <c r="E325" i="5"/>
  <c r="K324" i="5"/>
  <c r="J324" i="5"/>
  <c r="H324" i="5"/>
  <c r="G324" i="5"/>
  <c r="F324" i="5"/>
  <c r="K323" i="5"/>
  <c r="J323" i="5"/>
  <c r="H323" i="5"/>
  <c r="R323" i="5" s="1"/>
  <c r="G323" i="5"/>
  <c r="F323" i="5"/>
  <c r="K322" i="5"/>
  <c r="J322" i="5"/>
  <c r="H322" i="5"/>
  <c r="G322" i="5"/>
  <c r="F322" i="5"/>
  <c r="K321" i="5"/>
  <c r="J321" i="5"/>
  <c r="H321" i="5"/>
  <c r="R321" i="5" s="1"/>
  <c r="G321" i="5"/>
  <c r="F321" i="5"/>
  <c r="C320" i="5"/>
  <c r="V319" i="5"/>
  <c r="K326" i="5" s="1"/>
  <c r="T319" i="5"/>
  <c r="K325" i="5" s="1"/>
  <c r="U319" i="5"/>
  <c r="H326" i="5" s="1"/>
  <c r="S319" i="5"/>
  <c r="H325" i="5" s="1"/>
  <c r="F319" i="5"/>
  <c r="E319" i="5"/>
  <c r="D319" i="5"/>
  <c r="I319" i="5"/>
  <c r="C319" i="5"/>
  <c r="B319" i="5"/>
  <c r="A319" i="5"/>
  <c r="L318" i="5"/>
  <c r="Q318" i="5" s="1"/>
  <c r="Z318" i="5"/>
  <c r="Y318" i="5"/>
  <c r="X318" i="5"/>
  <c r="K317" i="5"/>
  <c r="J317" i="5"/>
  <c r="Z317" i="5"/>
  <c r="Y317" i="5"/>
  <c r="X317" i="5"/>
  <c r="H317" i="5"/>
  <c r="W317" i="5" s="1"/>
  <c r="F317" i="5"/>
  <c r="V317" i="5"/>
  <c r="T317" i="5"/>
  <c r="U317" i="5"/>
  <c r="S317" i="5"/>
  <c r="E317" i="5"/>
  <c r="D317" i="5"/>
  <c r="C317" i="5"/>
  <c r="B317" i="5"/>
  <c r="A317" i="5"/>
  <c r="K316" i="5"/>
  <c r="J316" i="5"/>
  <c r="Z316" i="5"/>
  <c r="Y316" i="5"/>
  <c r="X316" i="5"/>
  <c r="H316" i="5"/>
  <c r="W316" i="5" s="1"/>
  <c r="F316" i="5"/>
  <c r="V316" i="5"/>
  <c r="T316" i="5"/>
  <c r="U316" i="5"/>
  <c r="S316" i="5"/>
  <c r="E316" i="5"/>
  <c r="D316" i="5"/>
  <c r="C316" i="5"/>
  <c r="B316" i="5"/>
  <c r="A316" i="5"/>
  <c r="L315" i="5"/>
  <c r="G315" i="5"/>
  <c r="E315" i="5"/>
  <c r="J314" i="5"/>
  <c r="F314" i="5"/>
  <c r="E314" i="5"/>
  <c r="J313" i="5"/>
  <c r="F313" i="5"/>
  <c r="E313" i="5"/>
  <c r="K312" i="5"/>
  <c r="J312" i="5"/>
  <c r="H312" i="5"/>
  <c r="G312" i="5"/>
  <c r="F312" i="5"/>
  <c r="K311" i="5"/>
  <c r="J311" i="5"/>
  <c r="H311" i="5"/>
  <c r="R311" i="5" s="1"/>
  <c r="G311" i="5"/>
  <c r="F311" i="5"/>
  <c r="K310" i="5"/>
  <c r="J310" i="5"/>
  <c r="H310" i="5"/>
  <c r="G310" i="5"/>
  <c r="F310" i="5"/>
  <c r="K309" i="5"/>
  <c r="J309" i="5"/>
  <c r="H309" i="5"/>
  <c r="R309" i="5" s="1"/>
  <c r="G309" i="5"/>
  <c r="F309" i="5"/>
  <c r="C308" i="5"/>
  <c r="V307" i="5"/>
  <c r="T307" i="5"/>
  <c r="U307" i="5"/>
  <c r="S307" i="5"/>
  <c r="F307" i="5"/>
  <c r="E307" i="5"/>
  <c r="D307" i="5"/>
  <c r="I307" i="5"/>
  <c r="C307" i="5"/>
  <c r="B307" i="5"/>
  <c r="A307" i="5"/>
  <c r="L306" i="5"/>
  <c r="Q306" i="5" s="1"/>
  <c r="Z306" i="5"/>
  <c r="Y306" i="5"/>
  <c r="X306" i="5"/>
  <c r="K305" i="5"/>
  <c r="J305" i="5"/>
  <c r="Z305" i="5"/>
  <c r="Y305" i="5"/>
  <c r="X305" i="5"/>
  <c r="H305" i="5"/>
  <c r="W305" i="5" s="1"/>
  <c r="F305" i="5"/>
  <c r="V305" i="5"/>
  <c r="T305" i="5"/>
  <c r="U305" i="5"/>
  <c r="S305" i="5"/>
  <c r="E305" i="5"/>
  <c r="D305" i="5"/>
  <c r="C305" i="5"/>
  <c r="B305" i="5"/>
  <c r="A305" i="5"/>
  <c r="K304" i="5"/>
  <c r="J304" i="5"/>
  <c r="Z304" i="5"/>
  <c r="Y304" i="5"/>
  <c r="X304" i="5"/>
  <c r="H304" i="5"/>
  <c r="W304" i="5" s="1"/>
  <c r="F304" i="5"/>
  <c r="V304" i="5"/>
  <c r="T304" i="5"/>
  <c r="U304" i="5"/>
  <c r="S304" i="5"/>
  <c r="E304" i="5"/>
  <c r="D304" i="5"/>
  <c r="C304" i="5"/>
  <c r="B304" i="5"/>
  <c r="A304" i="5"/>
  <c r="L303" i="5"/>
  <c r="G303" i="5"/>
  <c r="E303" i="5"/>
  <c r="J302" i="5"/>
  <c r="F302" i="5"/>
  <c r="E302" i="5"/>
  <c r="J301" i="5"/>
  <c r="F301" i="5"/>
  <c r="E301" i="5"/>
  <c r="K300" i="5"/>
  <c r="J300" i="5"/>
  <c r="H300" i="5"/>
  <c r="R300" i="5" s="1"/>
  <c r="G300" i="5"/>
  <c r="F300" i="5"/>
  <c r="C299" i="5"/>
  <c r="V298" i="5"/>
  <c r="K302" i="5" s="1"/>
  <c r="T298" i="5"/>
  <c r="K301" i="5" s="1"/>
  <c r="U298" i="5"/>
  <c r="S298" i="5"/>
  <c r="H301" i="5" s="1"/>
  <c r="F298" i="5"/>
  <c r="E298" i="5"/>
  <c r="D298" i="5"/>
  <c r="I298" i="5"/>
  <c r="C298" i="5"/>
  <c r="B298" i="5"/>
  <c r="A298" i="5"/>
  <c r="L297" i="5"/>
  <c r="Q297" i="5" s="1"/>
  <c r="Z297" i="5"/>
  <c r="Y297" i="5"/>
  <c r="X297" i="5"/>
  <c r="K296" i="5"/>
  <c r="J296" i="5"/>
  <c r="Z296" i="5"/>
  <c r="Y296" i="5"/>
  <c r="X296" i="5"/>
  <c r="H296" i="5"/>
  <c r="W296" i="5" s="1"/>
  <c r="F296" i="5"/>
  <c r="V296" i="5"/>
  <c r="T296" i="5"/>
  <c r="U296" i="5"/>
  <c r="S296" i="5"/>
  <c r="E296" i="5"/>
  <c r="D296" i="5"/>
  <c r="C296" i="5"/>
  <c r="B296" i="5"/>
  <c r="A296" i="5"/>
  <c r="K295" i="5"/>
  <c r="J295" i="5"/>
  <c r="Z295" i="5"/>
  <c r="Y295" i="5"/>
  <c r="X295" i="5"/>
  <c r="H295" i="5"/>
  <c r="W295" i="5" s="1"/>
  <c r="F295" i="5"/>
  <c r="V295" i="5"/>
  <c r="T295" i="5"/>
  <c r="U295" i="5"/>
  <c r="S295" i="5"/>
  <c r="E295" i="5"/>
  <c r="D295" i="5"/>
  <c r="C295" i="5"/>
  <c r="B295" i="5"/>
  <c r="A295" i="5"/>
  <c r="L294" i="5"/>
  <c r="G294" i="5"/>
  <c r="E294" i="5"/>
  <c r="J293" i="5"/>
  <c r="F293" i="5"/>
  <c r="E293" i="5"/>
  <c r="J292" i="5"/>
  <c r="F292" i="5"/>
  <c r="E292" i="5"/>
  <c r="K291" i="5"/>
  <c r="J291" i="5"/>
  <c r="H291" i="5"/>
  <c r="G291" i="5"/>
  <c r="F291" i="5"/>
  <c r="K290" i="5"/>
  <c r="J290" i="5"/>
  <c r="H290" i="5"/>
  <c r="R290" i="5" s="1"/>
  <c r="G290" i="5"/>
  <c r="F290" i="5"/>
  <c r="K289" i="5"/>
  <c r="J289" i="5"/>
  <c r="H289" i="5"/>
  <c r="G289" i="5"/>
  <c r="F289" i="5"/>
  <c r="K288" i="5"/>
  <c r="J288" i="5"/>
  <c r="H288" i="5"/>
  <c r="G288" i="5"/>
  <c r="F288" i="5"/>
  <c r="C287" i="5"/>
  <c r="V286" i="5"/>
  <c r="T286" i="5"/>
  <c r="U286" i="5"/>
  <c r="S286" i="5"/>
  <c r="F286" i="5"/>
  <c r="E286" i="5"/>
  <c r="D286" i="5"/>
  <c r="I286" i="5"/>
  <c r="C286" i="5"/>
  <c r="B286" i="5"/>
  <c r="A286" i="5"/>
  <c r="L285" i="5"/>
  <c r="Q285" i="5" s="1"/>
  <c r="Z285" i="5"/>
  <c r="Y285" i="5"/>
  <c r="X285" i="5"/>
  <c r="K284" i="5"/>
  <c r="J284" i="5"/>
  <c r="Z284" i="5"/>
  <c r="Y284" i="5"/>
  <c r="X284" i="5"/>
  <c r="H284" i="5"/>
  <c r="W284" i="5" s="1"/>
  <c r="F284" i="5"/>
  <c r="V284" i="5"/>
  <c r="T284" i="5"/>
  <c r="U284" i="5"/>
  <c r="S284" i="5"/>
  <c r="E284" i="5"/>
  <c r="D284" i="5"/>
  <c r="C284" i="5"/>
  <c r="B284" i="5"/>
  <c r="A284" i="5"/>
  <c r="K283" i="5"/>
  <c r="J283" i="5"/>
  <c r="Z283" i="5"/>
  <c r="Y283" i="5"/>
  <c r="X283" i="5"/>
  <c r="H283" i="5"/>
  <c r="W283" i="5" s="1"/>
  <c r="F283" i="5"/>
  <c r="V283" i="5"/>
  <c r="T283" i="5"/>
  <c r="U283" i="5"/>
  <c r="S283" i="5"/>
  <c r="E283" i="5"/>
  <c r="D283" i="5"/>
  <c r="C283" i="5"/>
  <c r="B283" i="5"/>
  <c r="A283" i="5"/>
  <c r="L282" i="5"/>
  <c r="G282" i="5"/>
  <c r="E282" i="5"/>
  <c r="J281" i="5"/>
  <c r="F281" i="5"/>
  <c r="E281" i="5"/>
  <c r="J280" i="5"/>
  <c r="F280" i="5"/>
  <c r="E280" i="5"/>
  <c r="K279" i="5"/>
  <c r="J279" i="5"/>
  <c r="H279" i="5"/>
  <c r="G279" i="5"/>
  <c r="F279" i="5"/>
  <c r="K278" i="5"/>
  <c r="J278" i="5"/>
  <c r="H278" i="5"/>
  <c r="R278" i="5" s="1"/>
  <c r="G278" i="5"/>
  <c r="F278" i="5"/>
  <c r="K277" i="5"/>
  <c r="J277" i="5"/>
  <c r="H277" i="5"/>
  <c r="G277" i="5"/>
  <c r="F277" i="5"/>
  <c r="K276" i="5"/>
  <c r="J276" i="5"/>
  <c r="H276" i="5"/>
  <c r="R276" i="5" s="1"/>
  <c r="G276" i="5"/>
  <c r="F276" i="5"/>
  <c r="C275" i="5"/>
  <c r="V274" i="5"/>
  <c r="T274" i="5"/>
  <c r="U274" i="5"/>
  <c r="H281" i="5" s="1"/>
  <c r="S274" i="5"/>
  <c r="F274" i="5"/>
  <c r="E274" i="5"/>
  <c r="D274" i="5"/>
  <c r="I274" i="5"/>
  <c r="C274" i="5"/>
  <c r="B274" i="5"/>
  <c r="A274" i="5"/>
  <c r="L273" i="5"/>
  <c r="Q273" i="5" s="1"/>
  <c r="Z273" i="5"/>
  <c r="Y273" i="5"/>
  <c r="X273" i="5"/>
  <c r="K272" i="5"/>
  <c r="J272" i="5"/>
  <c r="Z272" i="5"/>
  <c r="Y272" i="5"/>
  <c r="X272" i="5"/>
  <c r="H272" i="5"/>
  <c r="W272" i="5" s="1"/>
  <c r="F272" i="5"/>
  <c r="V272" i="5"/>
  <c r="T272" i="5"/>
  <c r="U272" i="5"/>
  <c r="S272" i="5"/>
  <c r="E272" i="5"/>
  <c r="D272" i="5"/>
  <c r="C272" i="5"/>
  <c r="B272" i="5"/>
  <c r="A272" i="5"/>
  <c r="K271" i="5"/>
  <c r="J271" i="5"/>
  <c r="Z271" i="5"/>
  <c r="Y271" i="5"/>
  <c r="X271" i="5"/>
  <c r="H271" i="5"/>
  <c r="W271" i="5" s="1"/>
  <c r="F271" i="5"/>
  <c r="V271" i="5"/>
  <c r="T271" i="5"/>
  <c r="U271" i="5"/>
  <c r="S271" i="5"/>
  <c r="E271" i="5"/>
  <c r="D271" i="5"/>
  <c r="C271" i="5"/>
  <c r="B271" i="5"/>
  <c r="A271" i="5"/>
  <c r="L270" i="5"/>
  <c r="G270" i="5"/>
  <c r="E270" i="5"/>
  <c r="J269" i="5"/>
  <c r="F269" i="5"/>
  <c r="E269" i="5"/>
  <c r="J268" i="5"/>
  <c r="F268" i="5"/>
  <c r="E268" i="5"/>
  <c r="K267" i="5"/>
  <c r="J267" i="5"/>
  <c r="H267" i="5"/>
  <c r="G267" i="5"/>
  <c r="F267" i="5"/>
  <c r="K266" i="5"/>
  <c r="J266" i="5"/>
  <c r="H266" i="5"/>
  <c r="R266" i="5" s="1"/>
  <c r="G266" i="5"/>
  <c r="F266" i="5"/>
  <c r="K265" i="5"/>
  <c r="J265" i="5"/>
  <c r="H265" i="5"/>
  <c r="G265" i="5"/>
  <c r="F265" i="5"/>
  <c r="K264" i="5"/>
  <c r="J264" i="5"/>
  <c r="H264" i="5"/>
  <c r="R264" i="5" s="1"/>
  <c r="G264" i="5"/>
  <c r="F264" i="5"/>
  <c r="C263" i="5"/>
  <c r="V262" i="5"/>
  <c r="K269" i="5" s="1"/>
  <c r="T262" i="5"/>
  <c r="U262" i="5"/>
  <c r="S262" i="5"/>
  <c r="F262" i="5"/>
  <c r="E262" i="5"/>
  <c r="D262" i="5"/>
  <c r="I262" i="5"/>
  <c r="C262" i="5"/>
  <c r="B262" i="5"/>
  <c r="A262" i="5"/>
  <c r="L261" i="5"/>
  <c r="Q261" i="5" s="1"/>
  <c r="Z261" i="5"/>
  <c r="Y261" i="5"/>
  <c r="X261" i="5"/>
  <c r="K260" i="5"/>
  <c r="J260" i="5"/>
  <c r="Z260" i="5"/>
  <c r="Y260" i="5"/>
  <c r="X260" i="5"/>
  <c r="H260" i="5"/>
  <c r="W260" i="5" s="1"/>
  <c r="F260" i="5"/>
  <c r="V260" i="5"/>
  <c r="T260" i="5"/>
  <c r="U260" i="5"/>
  <c r="S260" i="5"/>
  <c r="E260" i="5"/>
  <c r="D260" i="5"/>
  <c r="C260" i="5"/>
  <c r="B260" i="5"/>
  <c r="A260" i="5"/>
  <c r="K259" i="5"/>
  <c r="J259" i="5"/>
  <c r="Z259" i="5"/>
  <c r="Y259" i="5"/>
  <c r="X259" i="5"/>
  <c r="H259" i="5"/>
  <c r="W259" i="5" s="1"/>
  <c r="F259" i="5"/>
  <c r="V259" i="5"/>
  <c r="T259" i="5"/>
  <c r="U259" i="5"/>
  <c r="S259" i="5"/>
  <c r="E259" i="5"/>
  <c r="D259" i="5"/>
  <c r="C259" i="5"/>
  <c r="B259" i="5"/>
  <c r="A259" i="5"/>
  <c r="L258" i="5"/>
  <c r="G258" i="5"/>
  <c r="E258" i="5"/>
  <c r="J257" i="5"/>
  <c r="E257" i="5"/>
  <c r="J256" i="5"/>
  <c r="E256" i="5"/>
  <c r="K255" i="5"/>
  <c r="J255" i="5"/>
  <c r="H255" i="5"/>
  <c r="G255" i="5"/>
  <c r="F255" i="5"/>
  <c r="K254" i="5"/>
  <c r="J254" i="5"/>
  <c r="H254" i="5"/>
  <c r="R254" i="5" s="1"/>
  <c r="G254" i="5"/>
  <c r="F254" i="5"/>
  <c r="K253" i="5"/>
  <c r="J253" i="5"/>
  <c r="H253" i="5"/>
  <c r="G253" i="5"/>
  <c r="F253" i="5"/>
  <c r="K252" i="5"/>
  <c r="J252" i="5"/>
  <c r="H252" i="5"/>
  <c r="R252" i="5" s="1"/>
  <c r="G252" i="5"/>
  <c r="F252" i="5"/>
  <c r="C251" i="5"/>
  <c r="V250" i="5"/>
  <c r="K257" i="5" s="1"/>
  <c r="T250" i="5"/>
  <c r="U250" i="5"/>
  <c r="S250" i="5"/>
  <c r="F250" i="5"/>
  <c r="E250" i="5"/>
  <c r="D250" i="5"/>
  <c r="I250" i="5"/>
  <c r="C250" i="5"/>
  <c r="B250" i="5"/>
  <c r="A250" i="5"/>
  <c r="L249" i="5"/>
  <c r="Q249" i="5" s="1"/>
  <c r="Z249" i="5"/>
  <c r="Y249" i="5"/>
  <c r="X249" i="5"/>
  <c r="K248" i="5"/>
  <c r="J248" i="5"/>
  <c r="Z248" i="5"/>
  <c r="Y248" i="5"/>
  <c r="X248" i="5"/>
  <c r="H248" i="5"/>
  <c r="W248" i="5" s="1"/>
  <c r="F248" i="5"/>
  <c r="V248" i="5"/>
  <c r="T248" i="5"/>
  <c r="U248" i="5"/>
  <c r="S248" i="5"/>
  <c r="E248" i="5"/>
  <c r="D248" i="5"/>
  <c r="C248" i="5"/>
  <c r="B248" i="5"/>
  <c r="A248" i="5"/>
  <c r="K247" i="5"/>
  <c r="J247" i="5"/>
  <c r="Z247" i="5"/>
  <c r="Y247" i="5"/>
  <c r="X247" i="5"/>
  <c r="H247" i="5"/>
  <c r="W247" i="5" s="1"/>
  <c r="F247" i="5"/>
  <c r="V247" i="5"/>
  <c r="T247" i="5"/>
  <c r="U247" i="5"/>
  <c r="S247" i="5"/>
  <c r="E247" i="5"/>
  <c r="D247" i="5"/>
  <c r="C247" i="5"/>
  <c r="B247" i="5"/>
  <c r="A247" i="5"/>
  <c r="K246" i="5"/>
  <c r="J246" i="5"/>
  <c r="Z246" i="5"/>
  <c r="Y246" i="5"/>
  <c r="X246" i="5"/>
  <c r="H246" i="5"/>
  <c r="W246" i="5" s="1"/>
  <c r="F246" i="5"/>
  <c r="V246" i="5"/>
  <c r="T246" i="5"/>
  <c r="U246" i="5"/>
  <c r="S246" i="5"/>
  <c r="E246" i="5"/>
  <c r="D246" i="5"/>
  <c r="C246" i="5"/>
  <c r="B246" i="5"/>
  <c r="A246" i="5"/>
  <c r="K245" i="5"/>
  <c r="J245" i="5"/>
  <c r="Z245" i="5"/>
  <c r="Y245" i="5"/>
  <c r="X245" i="5"/>
  <c r="H245" i="5"/>
  <c r="W245" i="5" s="1"/>
  <c r="F245" i="5"/>
  <c r="V245" i="5"/>
  <c r="T245" i="5"/>
  <c r="U245" i="5"/>
  <c r="S245" i="5"/>
  <c r="E245" i="5"/>
  <c r="D245" i="5"/>
  <c r="C245" i="5"/>
  <c r="B245" i="5"/>
  <c r="A245" i="5"/>
  <c r="K244" i="5"/>
  <c r="J244" i="5"/>
  <c r="Z244" i="5"/>
  <c r="Y244" i="5"/>
  <c r="X244" i="5"/>
  <c r="H244" i="5"/>
  <c r="W244" i="5" s="1"/>
  <c r="F244" i="5"/>
  <c r="V244" i="5"/>
  <c r="T244" i="5"/>
  <c r="U244" i="5"/>
  <c r="S244" i="5"/>
  <c r="E244" i="5"/>
  <c r="D244" i="5"/>
  <c r="C244" i="5"/>
  <c r="B244" i="5"/>
  <c r="A244" i="5"/>
  <c r="K243" i="5"/>
  <c r="J243" i="5"/>
  <c r="Z243" i="5"/>
  <c r="Y243" i="5"/>
  <c r="X243" i="5"/>
  <c r="H243" i="5"/>
  <c r="W243" i="5" s="1"/>
  <c r="F243" i="5"/>
  <c r="V243" i="5"/>
  <c r="T243" i="5"/>
  <c r="U243" i="5"/>
  <c r="S243" i="5"/>
  <c r="E243" i="5"/>
  <c r="D243" i="5"/>
  <c r="C243" i="5"/>
  <c r="B243" i="5"/>
  <c r="A243" i="5"/>
  <c r="K242" i="5"/>
  <c r="J242" i="5"/>
  <c r="Z242" i="5"/>
  <c r="Y242" i="5"/>
  <c r="X242" i="5"/>
  <c r="H242" i="5"/>
  <c r="W242" i="5" s="1"/>
  <c r="F242" i="5"/>
  <c r="V242" i="5"/>
  <c r="T242" i="5"/>
  <c r="U242" i="5"/>
  <c r="S242" i="5"/>
  <c r="E242" i="5"/>
  <c r="D242" i="5"/>
  <c r="C242" i="5"/>
  <c r="B242" i="5"/>
  <c r="A242" i="5"/>
  <c r="K241" i="5"/>
  <c r="J241" i="5"/>
  <c r="Z241" i="5"/>
  <c r="Y241" i="5"/>
  <c r="X241" i="5"/>
  <c r="H241" i="5"/>
  <c r="W241" i="5" s="1"/>
  <c r="F241" i="5"/>
  <c r="V241" i="5"/>
  <c r="T241" i="5"/>
  <c r="U241" i="5"/>
  <c r="S241" i="5"/>
  <c r="E241" i="5"/>
  <c r="D241" i="5"/>
  <c r="C241" i="5"/>
  <c r="B241" i="5"/>
  <c r="A241" i="5"/>
  <c r="L240" i="5"/>
  <c r="G240" i="5"/>
  <c r="E240" i="5"/>
  <c r="J239" i="5"/>
  <c r="F239" i="5"/>
  <c r="E239" i="5"/>
  <c r="J238" i="5"/>
  <c r="F238" i="5"/>
  <c r="E238" i="5"/>
  <c r="K237" i="5"/>
  <c r="J237" i="5"/>
  <c r="H237" i="5"/>
  <c r="G237" i="5"/>
  <c r="F237" i="5"/>
  <c r="K236" i="5"/>
  <c r="J236" i="5"/>
  <c r="H236" i="5"/>
  <c r="G236" i="5"/>
  <c r="F236" i="5"/>
  <c r="K235" i="5"/>
  <c r="J235" i="5"/>
  <c r="H235" i="5"/>
  <c r="R235" i="5" s="1"/>
  <c r="G235" i="5"/>
  <c r="F235" i="5"/>
  <c r="C234" i="5"/>
  <c r="V233" i="5"/>
  <c r="T233" i="5"/>
  <c r="U233" i="5"/>
  <c r="S233" i="5"/>
  <c r="F233" i="5"/>
  <c r="E233" i="5"/>
  <c r="D233" i="5"/>
  <c r="I233" i="5"/>
  <c r="C233" i="5"/>
  <c r="B233" i="5"/>
  <c r="A233" i="5"/>
  <c r="L232" i="5"/>
  <c r="Q232" i="5" s="1"/>
  <c r="Z232" i="5"/>
  <c r="Y232" i="5"/>
  <c r="X232" i="5"/>
  <c r="L231" i="5"/>
  <c r="G231" i="5"/>
  <c r="E231" i="5"/>
  <c r="J230" i="5"/>
  <c r="F230" i="5"/>
  <c r="E230" i="5"/>
  <c r="J229" i="5"/>
  <c r="F229" i="5"/>
  <c r="E229" i="5"/>
  <c r="K228" i="5"/>
  <c r="J228" i="5"/>
  <c r="H228" i="5"/>
  <c r="G228" i="5"/>
  <c r="F228" i="5"/>
  <c r="K227" i="5"/>
  <c r="J227" i="5"/>
  <c r="H227" i="5"/>
  <c r="R227" i="5" s="1"/>
  <c r="G227" i="5"/>
  <c r="F227" i="5"/>
  <c r="K226" i="5"/>
  <c r="J226" i="5"/>
  <c r="H226" i="5"/>
  <c r="G226" i="5"/>
  <c r="F226" i="5"/>
  <c r="K225" i="5"/>
  <c r="J225" i="5"/>
  <c r="H225" i="5"/>
  <c r="R225" i="5" s="1"/>
  <c r="G225" i="5"/>
  <c r="F225" i="5"/>
  <c r="C224" i="5"/>
  <c r="V223" i="5"/>
  <c r="K230" i="5" s="1"/>
  <c r="T223" i="5"/>
  <c r="K229" i="5" s="1"/>
  <c r="U223" i="5"/>
  <c r="H230" i="5" s="1"/>
  <c r="S223" i="5"/>
  <c r="H229" i="5" s="1"/>
  <c r="F223" i="5"/>
  <c r="E223" i="5"/>
  <c r="D223" i="5"/>
  <c r="I223" i="5"/>
  <c r="C223" i="5"/>
  <c r="B223" i="5"/>
  <c r="A223" i="5"/>
  <c r="L222" i="5"/>
  <c r="Q222" i="5" s="1"/>
  <c r="Z222" i="5"/>
  <c r="Y222" i="5"/>
  <c r="X222" i="5"/>
  <c r="K221" i="5"/>
  <c r="J221" i="5"/>
  <c r="Z221" i="5"/>
  <c r="Y221" i="5"/>
  <c r="X221" i="5"/>
  <c r="H221" i="5"/>
  <c r="W221" i="5" s="1"/>
  <c r="F221" i="5"/>
  <c r="V221" i="5"/>
  <c r="T221" i="5"/>
  <c r="U221" i="5"/>
  <c r="S221" i="5"/>
  <c r="E221" i="5"/>
  <c r="D221" i="5"/>
  <c r="C221" i="5"/>
  <c r="B221" i="5"/>
  <c r="A221" i="5"/>
  <c r="K220" i="5"/>
  <c r="J220" i="5"/>
  <c r="Z220" i="5"/>
  <c r="Y220" i="5"/>
  <c r="X220" i="5"/>
  <c r="H220" i="5"/>
  <c r="W220" i="5" s="1"/>
  <c r="F220" i="5"/>
  <c r="V220" i="5"/>
  <c r="T220" i="5"/>
  <c r="U220" i="5"/>
  <c r="S220" i="5"/>
  <c r="E220" i="5"/>
  <c r="D220" i="5"/>
  <c r="C220" i="5"/>
  <c r="B220" i="5"/>
  <c r="A220" i="5"/>
  <c r="K219" i="5"/>
  <c r="J219" i="5"/>
  <c r="Z219" i="5"/>
  <c r="Y219" i="5"/>
  <c r="X219" i="5"/>
  <c r="H219" i="5"/>
  <c r="W219" i="5" s="1"/>
  <c r="F219" i="5"/>
  <c r="V219" i="5"/>
  <c r="T219" i="5"/>
  <c r="U219" i="5"/>
  <c r="S219" i="5"/>
  <c r="E219" i="5"/>
  <c r="D219" i="5"/>
  <c r="C219" i="5"/>
  <c r="B219" i="5"/>
  <c r="A219" i="5"/>
  <c r="L218" i="5"/>
  <c r="G218" i="5"/>
  <c r="E218" i="5"/>
  <c r="J217" i="5"/>
  <c r="F217" i="5"/>
  <c r="E217" i="5"/>
  <c r="J216" i="5"/>
  <c r="F216" i="5"/>
  <c r="E216" i="5"/>
  <c r="K215" i="5"/>
  <c r="J215" i="5"/>
  <c r="H215" i="5"/>
  <c r="G215" i="5"/>
  <c r="F215" i="5"/>
  <c r="K214" i="5"/>
  <c r="J214" i="5"/>
  <c r="H214" i="5"/>
  <c r="G214" i="5"/>
  <c r="F214" i="5"/>
  <c r="C213" i="5"/>
  <c r="V212" i="5"/>
  <c r="T212" i="5"/>
  <c r="U212" i="5"/>
  <c r="S212" i="5"/>
  <c r="F212" i="5"/>
  <c r="E212" i="5"/>
  <c r="D212" i="5"/>
  <c r="I212" i="5"/>
  <c r="C212" i="5"/>
  <c r="B212" i="5"/>
  <c r="A212" i="5"/>
  <c r="L211" i="5"/>
  <c r="Q211" i="5" s="1"/>
  <c r="Z211" i="5"/>
  <c r="Y211" i="5"/>
  <c r="X211" i="5"/>
  <c r="K210" i="5"/>
  <c r="J210" i="5"/>
  <c r="Z210" i="5"/>
  <c r="Y210" i="5"/>
  <c r="X210" i="5"/>
  <c r="H210" i="5"/>
  <c r="W210" i="5" s="1"/>
  <c r="F210" i="5"/>
  <c r="V210" i="5"/>
  <c r="T210" i="5"/>
  <c r="U210" i="5"/>
  <c r="S210" i="5"/>
  <c r="E210" i="5"/>
  <c r="D210" i="5"/>
  <c r="C210" i="5"/>
  <c r="B210" i="5"/>
  <c r="A210" i="5"/>
  <c r="K209" i="5"/>
  <c r="J209" i="5"/>
  <c r="Z209" i="5"/>
  <c r="Y209" i="5"/>
  <c r="X209" i="5"/>
  <c r="H209" i="5"/>
  <c r="W209" i="5" s="1"/>
  <c r="F209" i="5"/>
  <c r="V209" i="5"/>
  <c r="T209" i="5"/>
  <c r="U209" i="5"/>
  <c r="S209" i="5"/>
  <c r="E209" i="5"/>
  <c r="D209" i="5"/>
  <c r="C209" i="5"/>
  <c r="B209" i="5"/>
  <c r="A209" i="5"/>
  <c r="K208" i="5"/>
  <c r="J208" i="5"/>
  <c r="Z208" i="5"/>
  <c r="Y208" i="5"/>
  <c r="X208" i="5"/>
  <c r="H208" i="5"/>
  <c r="W208" i="5" s="1"/>
  <c r="F208" i="5"/>
  <c r="V208" i="5"/>
  <c r="T208" i="5"/>
  <c r="U208" i="5"/>
  <c r="S208" i="5"/>
  <c r="E208" i="5"/>
  <c r="D208" i="5"/>
  <c r="C208" i="5"/>
  <c r="B208" i="5"/>
  <c r="A208" i="5"/>
  <c r="K207" i="5"/>
  <c r="J207" i="5"/>
  <c r="Z207" i="5"/>
  <c r="Y207" i="5"/>
  <c r="X207" i="5"/>
  <c r="H207" i="5"/>
  <c r="W207" i="5" s="1"/>
  <c r="F207" i="5"/>
  <c r="V207" i="5"/>
  <c r="T207" i="5"/>
  <c r="U207" i="5"/>
  <c r="S207" i="5"/>
  <c r="E207" i="5"/>
  <c r="D207" i="5"/>
  <c r="C207" i="5"/>
  <c r="B207" i="5"/>
  <c r="A207" i="5"/>
  <c r="K206" i="5"/>
  <c r="J206" i="5"/>
  <c r="Z206" i="5"/>
  <c r="Y206" i="5"/>
  <c r="X206" i="5"/>
  <c r="H206" i="5"/>
  <c r="W206" i="5" s="1"/>
  <c r="F206" i="5"/>
  <c r="V206" i="5"/>
  <c r="T206" i="5"/>
  <c r="U206" i="5"/>
  <c r="S206" i="5"/>
  <c r="E206" i="5"/>
  <c r="D206" i="5"/>
  <c r="C206" i="5"/>
  <c r="B206" i="5"/>
  <c r="A206" i="5"/>
  <c r="K205" i="5"/>
  <c r="J205" i="5"/>
  <c r="Z205" i="5"/>
  <c r="Y205" i="5"/>
  <c r="X205" i="5"/>
  <c r="H205" i="5"/>
  <c r="W205" i="5" s="1"/>
  <c r="F205" i="5"/>
  <c r="V205" i="5"/>
  <c r="T205" i="5"/>
  <c r="U205" i="5"/>
  <c r="S205" i="5"/>
  <c r="E205" i="5"/>
  <c r="D205" i="5"/>
  <c r="C205" i="5"/>
  <c r="B205" i="5"/>
  <c r="A205" i="5"/>
  <c r="K204" i="5"/>
  <c r="J204" i="5"/>
  <c r="Z204" i="5"/>
  <c r="Y204" i="5"/>
  <c r="X204" i="5"/>
  <c r="H204" i="5"/>
  <c r="W204" i="5" s="1"/>
  <c r="F204" i="5"/>
  <c r="V204" i="5"/>
  <c r="T204" i="5"/>
  <c r="U204" i="5"/>
  <c r="S204" i="5"/>
  <c r="E204" i="5"/>
  <c r="D204" i="5"/>
  <c r="C204" i="5"/>
  <c r="B204" i="5"/>
  <c r="A204" i="5"/>
  <c r="K203" i="5"/>
  <c r="J203" i="5"/>
  <c r="Z203" i="5"/>
  <c r="Y203" i="5"/>
  <c r="X203" i="5"/>
  <c r="H203" i="5"/>
  <c r="W203" i="5" s="1"/>
  <c r="F203" i="5"/>
  <c r="V203" i="5"/>
  <c r="T203" i="5"/>
  <c r="U203" i="5"/>
  <c r="S203" i="5"/>
  <c r="E203" i="5"/>
  <c r="D203" i="5"/>
  <c r="C203" i="5"/>
  <c r="B203" i="5"/>
  <c r="A203" i="5"/>
  <c r="K202" i="5"/>
  <c r="J202" i="5"/>
  <c r="Z202" i="5"/>
  <c r="Y202" i="5"/>
  <c r="X202" i="5"/>
  <c r="H202" i="5"/>
  <c r="W202" i="5" s="1"/>
  <c r="F202" i="5"/>
  <c r="V202" i="5"/>
  <c r="T202" i="5"/>
  <c r="U202" i="5"/>
  <c r="S202" i="5"/>
  <c r="E202" i="5"/>
  <c r="D202" i="5"/>
  <c r="C202" i="5"/>
  <c r="B202" i="5"/>
  <c r="A202" i="5"/>
  <c r="K201" i="5"/>
  <c r="J201" i="5"/>
  <c r="Z201" i="5"/>
  <c r="Y201" i="5"/>
  <c r="X201" i="5"/>
  <c r="H201" i="5"/>
  <c r="W201" i="5" s="1"/>
  <c r="F201" i="5"/>
  <c r="V201" i="5"/>
  <c r="T201" i="5"/>
  <c r="U201" i="5"/>
  <c r="S201" i="5"/>
  <c r="E201" i="5"/>
  <c r="D201" i="5"/>
  <c r="C201" i="5"/>
  <c r="B201" i="5"/>
  <c r="A201" i="5"/>
  <c r="K200" i="5"/>
  <c r="J200" i="5"/>
  <c r="Z200" i="5"/>
  <c r="Y200" i="5"/>
  <c r="X200" i="5"/>
  <c r="H200" i="5"/>
  <c r="W200" i="5" s="1"/>
  <c r="F200" i="5"/>
  <c r="V200" i="5"/>
  <c r="T200" i="5"/>
  <c r="U200" i="5"/>
  <c r="S200" i="5"/>
  <c r="E200" i="5"/>
  <c r="D200" i="5"/>
  <c r="C200" i="5"/>
  <c r="B200" i="5"/>
  <c r="A200" i="5"/>
  <c r="K199" i="5"/>
  <c r="J199" i="5"/>
  <c r="Z199" i="5"/>
  <c r="Y199" i="5"/>
  <c r="X199" i="5"/>
  <c r="H199" i="5"/>
  <c r="W199" i="5" s="1"/>
  <c r="F199" i="5"/>
  <c r="V199" i="5"/>
  <c r="T199" i="5"/>
  <c r="U199" i="5"/>
  <c r="S199" i="5"/>
  <c r="E199" i="5"/>
  <c r="D199" i="5"/>
  <c r="C199" i="5"/>
  <c r="B199" i="5"/>
  <c r="A199" i="5"/>
  <c r="L198" i="5"/>
  <c r="G198" i="5"/>
  <c r="E198" i="5"/>
  <c r="J197" i="5"/>
  <c r="F197" i="5"/>
  <c r="E197" i="5"/>
  <c r="J196" i="5"/>
  <c r="F196" i="5"/>
  <c r="E196" i="5"/>
  <c r="K195" i="5"/>
  <c r="J195" i="5"/>
  <c r="H195" i="5"/>
  <c r="G195" i="5"/>
  <c r="F195" i="5"/>
  <c r="K194" i="5"/>
  <c r="J194" i="5"/>
  <c r="H194" i="5"/>
  <c r="R194" i="5" s="1"/>
  <c r="G194" i="5"/>
  <c r="F194" i="5"/>
  <c r="K193" i="5"/>
  <c r="J193" i="5"/>
  <c r="H193" i="5"/>
  <c r="G193" i="5"/>
  <c r="F193" i="5"/>
  <c r="K192" i="5"/>
  <c r="J192" i="5"/>
  <c r="H192" i="5"/>
  <c r="R192" i="5" s="1"/>
  <c r="G192" i="5"/>
  <c r="F192" i="5"/>
  <c r="C191" i="5"/>
  <c r="V190" i="5"/>
  <c r="K197" i="5" s="1"/>
  <c r="T190" i="5"/>
  <c r="U190" i="5"/>
  <c r="S190" i="5"/>
  <c r="F190" i="5"/>
  <c r="E190" i="5"/>
  <c r="D190" i="5"/>
  <c r="I190" i="5"/>
  <c r="C190" i="5"/>
  <c r="B190" i="5"/>
  <c r="A190" i="5"/>
  <c r="L189" i="5"/>
  <c r="Q189" i="5" s="1"/>
  <c r="Z189" i="5"/>
  <c r="Y189" i="5"/>
  <c r="X189" i="5"/>
  <c r="K188" i="5"/>
  <c r="J188" i="5"/>
  <c r="Z188" i="5"/>
  <c r="Y188" i="5"/>
  <c r="X188" i="5"/>
  <c r="H188" i="5"/>
  <c r="W188" i="5" s="1"/>
  <c r="F188" i="5"/>
  <c r="V188" i="5"/>
  <c r="T188" i="5"/>
  <c r="U188" i="5"/>
  <c r="S188" i="5"/>
  <c r="E188" i="5"/>
  <c r="D188" i="5"/>
  <c r="C188" i="5"/>
  <c r="B188" i="5"/>
  <c r="A188" i="5"/>
  <c r="K187" i="5"/>
  <c r="J187" i="5"/>
  <c r="Z187" i="5"/>
  <c r="Y187" i="5"/>
  <c r="X187" i="5"/>
  <c r="H187" i="5"/>
  <c r="W187" i="5" s="1"/>
  <c r="F187" i="5"/>
  <c r="V187" i="5"/>
  <c r="T187" i="5"/>
  <c r="U187" i="5"/>
  <c r="S187" i="5"/>
  <c r="E187" i="5"/>
  <c r="D187" i="5"/>
  <c r="C187" i="5"/>
  <c r="B187" i="5"/>
  <c r="A187" i="5"/>
  <c r="L186" i="5"/>
  <c r="G186" i="5"/>
  <c r="E186" i="5"/>
  <c r="J185" i="5"/>
  <c r="F185" i="5"/>
  <c r="E185" i="5"/>
  <c r="J184" i="5"/>
  <c r="F184" i="5"/>
  <c r="E184" i="5"/>
  <c r="K183" i="5"/>
  <c r="J183" i="5"/>
  <c r="H183" i="5"/>
  <c r="G183" i="5"/>
  <c r="F183" i="5"/>
  <c r="K182" i="5"/>
  <c r="J182" i="5"/>
  <c r="H182" i="5"/>
  <c r="R182" i="5" s="1"/>
  <c r="G182" i="5"/>
  <c r="F182" i="5"/>
  <c r="K181" i="5"/>
  <c r="J181" i="5"/>
  <c r="H181" i="5"/>
  <c r="G181" i="5"/>
  <c r="F181" i="5"/>
  <c r="K180" i="5"/>
  <c r="J180" i="5"/>
  <c r="H180" i="5"/>
  <c r="R180" i="5" s="1"/>
  <c r="G180" i="5"/>
  <c r="F180" i="5"/>
  <c r="C179" i="5"/>
  <c r="V178" i="5"/>
  <c r="T178" i="5"/>
  <c r="U178" i="5"/>
  <c r="S178" i="5"/>
  <c r="H184" i="5" s="1"/>
  <c r="F178" i="5"/>
  <c r="E178" i="5"/>
  <c r="D178" i="5"/>
  <c r="I178" i="5"/>
  <c r="C178" i="5"/>
  <c r="B178" i="5"/>
  <c r="A178" i="5"/>
  <c r="L177" i="5"/>
  <c r="Q177" i="5" s="1"/>
  <c r="Z177" i="5"/>
  <c r="Y177" i="5"/>
  <c r="X177" i="5"/>
  <c r="L176" i="5"/>
  <c r="G176" i="5"/>
  <c r="E176" i="5"/>
  <c r="J175" i="5"/>
  <c r="F175" i="5"/>
  <c r="E175" i="5"/>
  <c r="J174" i="5"/>
  <c r="F174" i="5"/>
  <c r="E174" i="5"/>
  <c r="K173" i="5"/>
  <c r="J173" i="5"/>
  <c r="H173" i="5"/>
  <c r="G173" i="5"/>
  <c r="F173" i="5"/>
  <c r="K172" i="5"/>
  <c r="J172" i="5"/>
  <c r="H172" i="5"/>
  <c r="R172" i="5" s="1"/>
  <c r="G172" i="5"/>
  <c r="F172" i="5"/>
  <c r="K171" i="5"/>
  <c r="J171" i="5"/>
  <c r="H171" i="5"/>
  <c r="G171" i="5"/>
  <c r="F171" i="5"/>
  <c r="K170" i="5"/>
  <c r="J170" i="5"/>
  <c r="H170" i="5"/>
  <c r="R170" i="5" s="1"/>
  <c r="G170" i="5"/>
  <c r="F170" i="5"/>
  <c r="C169" i="5"/>
  <c r="V168" i="5"/>
  <c r="K175" i="5" s="1"/>
  <c r="T168" i="5"/>
  <c r="K174" i="5" s="1"/>
  <c r="U168" i="5"/>
  <c r="H175" i="5" s="1"/>
  <c r="S168" i="5"/>
  <c r="H174" i="5" s="1"/>
  <c r="F168" i="5"/>
  <c r="E168" i="5"/>
  <c r="D168" i="5"/>
  <c r="I168" i="5"/>
  <c r="C168" i="5"/>
  <c r="B168" i="5"/>
  <c r="A168" i="5"/>
  <c r="L167" i="5"/>
  <c r="Q167" i="5" s="1"/>
  <c r="Z167" i="5"/>
  <c r="Y167" i="5"/>
  <c r="X167" i="5"/>
  <c r="L166" i="5"/>
  <c r="G166" i="5"/>
  <c r="E166" i="5"/>
  <c r="J165" i="5"/>
  <c r="F165" i="5"/>
  <c r="E165" i="5"/>
  <c r="J164" i="5"/>
  <c r="F164" i="5"/>
  <c r="E164" i="5"/>
  <c r="K163" i="5"/>
  <c r="J163" i="5"/>
  <c r="H163" i="5"/>
  <c r="G163" i="5"/>
  <c r="F163" i="5"/>
  <c r="K162" i="5"/>
  <c r="J162" i="5"/>
  <c r="H162" i="5"/>
  <c r="R162" i="5" s="1"/>
  <c r="G162" i="5"/>
  <c r="F162" i="5"/>
  <c r="K161" i="5"/>
  <c r="J161" i="5"/>
  <c r="H161" i="5"/>
  <c r="G161" i="5"/>
  <c r="F161" i="5"/>
  <c r="K160" i="5"/>
  <c r="J160" i="5"/>
  <c r="H160" i="5"/>
  <c r="G160" i="5"/>
  <c r="F160" i="5"/>
  <c r="C159" i="5"/>
  <c r="V158" i="5"/>
  <c r="K165" i="5" s="1"/>
  <c r="T158" i="5"/>
  <c r="K164" i="5" s="1"/>
  <c r="U158" i="5"/>
  <c r="H165" i="5" s="1"/>
  <c r="S158" i="5"/>
  <c r="H164" i="5" s="1"/>
  <c r="F158" i="5"/>
  <c r="E158" i="5"/>
  <c r="D158" i="5"/>
  <c r="I158" i="5"/>
  <c r="C158" i="5"/>
  <c r="B158" i="5"/>
  <c r="A158" i="5"/>
  <c r="L157" i="5"/>
  <c r="Q157" i="5" s="1"/>
  <c r="Z157" i="5"/>
  <c r="Y157" i="5"/>
  <c r="X157" i="5"/>
  <c r="K156" i="5"/>
  <c r="J156" i="5"/>
  <c r="Z156" i="5"/>
  <c r="Y156" i="5"/>
  <c r="X156" i="5"/>
  <c r="H156" i="5"/>
  <c r="W156" i="5" s="1"/>
  <c r="F156" i="5"/>
  <c r="V156" i="5"/>
  <c r="T156" i="5"/>
  <c r="U156" i="5"/>
  <c r="S156" i="5"/>
  <c r="E156" i="5"/>
  <c r="D156" i="5"/>
  <c r="C156" i="5"/>
  <c r="B156" i="5"/>
  <c r="A156" i="5"/>
  <c r="K155" i="5"/>
  <c r="J155" i="5"/>
  <c r="Z155" i="5"/>
  <c r="Y155" i="5"/>
  <c r="X155" i="5"/>
  <c r="H155" i="5"/>
  <c r="W155" i="5" s="1"/>
  <c r="F155" i="5"/>
  <c r="V155" i="5"/>
  <c r="T155" i="5"/>
  <c r="U155" i="5"/>
  <c r="S155" i="5"/>
  <c r="E155" i="5"/>
  <c r="D155" i="5"/>
  <c r="C155" i="5"/>
  <c r="B155" i="5"/>
  <c r="A155" i="5"/>
  <c r="L154" i="5"/>
  <c r="G154" i="5"/>
  <c r="E154" i="5"/>
  <c r="J153" i="5"/>
  <c r="E153" i="5"/>
  <c r="J152" i="5"/>
  <c r="E152" i="5"/>
  <c r="K151" i="5"/>
  <c r="J151" i="5"/>
  <c r="H151" i="5"/>
  <c r="G151" i="5"/>
  <c r="F151" i="5"/>
  <c r="K150" i="5"/>
  <c r="J150" i="5"/>
  <c r="H150" i="5"/>
  <c r="G150" i="5"/>
  <c r="F150" i="5"/>
  <c r="K149" i="5"/>
  <c r="J149" i="5"/>
  <c r="H149" i="5"/>
  <c r="R149" i="5" s="1"/>
  <c r="G149" i="5"/>
  <c r="F149" i="5"/>
  <c r="C148" i="5"/>
  <c r="V147" i="5"/>
  <c r="T147" i="5"/>
  <c r="U147" i="5"/>
  <c r="H153" i="5" s="1"/>
  <c r="S147" i="5"/>
  <c r="H152" i="5" s="1"/>
  <c r="F147" i="5"/>
  <c r="E147" i="5"/>
  <c r="D147" i="5"/>
  <c r="I147" i="5"/>
  <c r="C147" i="5"/>
  <c r="B147" i="5"/>
  <c r="A147" i="5"/>
  <c r="L146" i="5"/>
  <c r="Q146" i="5" s="1"/>
  <c r="Z146" i="5"/>
  <c r="Y146" i="5"/>
  <c r="X146" i="5"/>
  <c r="K145" i="5"/>
  <c r="J145" i="5"/>
  <c r="Z145" i="5"/>
  <c r="Y145" i="5"/>
  <c r="X145" i="5"/>
  <c r="H145" i="5"/>
  <c r="W145" i="5" s="1"/>
  <c r="F145" i="5"/>
  <c r="V145" i="5"/>
  <c r="T145" i="5"/>
  <c r="U145" i="5"/>
  <c r="S145" i="5"/>
  <c r="E145" i="5"/>
  <c r="D145" i="5"/>
  <c r="C145" i="5"/>
  <c r="B145" i="5"/>
  <c r="A145" i="5"/>
  <c r="K144" i="5"/>
  <c r="J144" i="5"/>
  <c r="Z144" i="5"/>
  <c r="Y144" i="5"/>
  <c r="X144" i="5"/>
  <c r="H144" i="5"/>
  <c r="W144" i="5" s="1"/>
  <c r="F144" i="5"/>
  <c r="V144" i="5"/>
  <c r="T144" i="5"/>
  <c r="U144" i="5"/>
  <c r="S144" i="5"/>
  <c r="E144" i="5"/>
  <c r="D144" i="5"/>
  <c r="C144" i="5"/>
  <c r="B144" i="5"/>
  <c r="A144" i="5"/>
  <c r="L143" i="5"/>
  <c r="G143" i="5"/>
  <c r="E143" i="5"/>
  <c r="J142" i="5"/>
  <c r="F142" i="5"/>
  <c r="E142" i="5"/>
  <c r="J141" i="5"/>
  <c r="F141" i="5"/>
  <c r="E141" i="5"/>
  <c r="K140" i="5"/>
  <c r="J140" i="5"/>
  <c r="H140" i="5"/>
  <c r="G140" i="5"/>
  <c r="F140" i="5"/>
  <c r="K139" i="5"/>
  <c r="J139" i="5"/>
  <c r="H139" i="5"/>
  <c r="R139" i="5" s="1"/>
  <c r="G139" i="5"/>
  <c r="F139" i="5"/>
  <c r="K138" i="5"/>
  <c r="J138" i="5"/>
  <c r="H138" i="5"/>
  <c r="G138" i="5"/>
  <c r="F138" i="5"/>
  <c r="K137" i="5"/>
  <c r="J137" i="5"/>
  <c r="H137" i="5"/>
  <c r="R137" i="5" s="1"/>
  <c r="G137" i="5"/>
  <c r="F137" i="5"/>
  <c r="C136" i="5"/>
  <c r="V135" i="5"/>
  <c r="T135" i="5"/>
  <c r="U135" i="5"/>
  <c r="H142" i="5" s="1"/>
  <c r="S135" i="5"/>
  <c r="F135" i="5"/>
  <c r="E135" i="5"/>
  <c r="D135" i="5"/>
  <c r="I135" i="5"/>
  <c r="C135" i="5"/>
  <c r="B135" i="5"/>
  <c r="A135" i="5"/>
  <c r="L134" i="5"/>
  <c r="Q134" i="5" s="1"/>
  <c r="Z134" i="5"/>
  <c r="Y134" i="5"/>
  <c r="X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K132" i="5"/>
  <c r="J132" i="5"/>
  <c r="Z132" i="5"/>
  <c r="Y132" i="5"/>
  <c r="X132" i="5"/>
  <c r="H132" i="5"/>
  <c r="W132" i="5" s="1"/>
  <c r="F132" i="5"/>
  <c r="V132" i="5"/>
  <c r="T132" i="5"/>
  <c r="U132" i="5"/>
  <c r="S132" i="5"/>
  <c r="E132" i="5"/>
  <c r="D132" i="5"/>
  <c r="C132" i="5"/>
  <c r="B132" i="5"/>
  <c r="A132" i="5"/>
  <c r="K131" i="5"/>
  <c r="J131" i="5"/>
  <c r="Z131" i="5"/>
  <c r="Y131" i="5"/>
  <c r="X131" i="5"/>
  <c r="H131" i="5"/>
  <c r="W131" i="5" s="1"/>
  <c r="F131" i="5"/>
  <c r="V131" i="5"/>
  <c r="T131" i="5"/>
  <c r="U131" i="5"/>
  <c r="S131" i="5"/>
  <c r="E131" i="5"/>
  <c r="D131" i="5"/>
  <c r="C131" i="5"/>
  <c r="B131" i="5"/>
  <c r="A131" i="5"/>
  <c r="L130" i="5"/>
  <c r="G130" i="5"/>
  <c r="E130" i="5"/>
  <c r="J129" i="5"/>
  <c r="F129" i="5"/>
  <c r="E129" i="5"/>
  <c r="J128" i="5"/>
  <c r="F128" i="5"/>
  <c r="E128" i="5"/>
  <c r="K127" i="5"/>
  <c r="J127" i="5"/>
  <c r="H127" i="5"/>
  <c r="G127" i="5"/>
  <c r="F127" i="5"/>
  <c r="K126" i="5"/>
  <c r="J126" i="5"/>
  <c r="H126" i="5"/>
  <c r="R126" i="5" s="1"/>
  <c r="G126" i="5"/>
  <c r="F126" i="5"/>
  <c r="K125" i="5"/>
  <c r="J125" i="5"/>
  <c r="H125" i="5"/>
  <c r="G125" i="5"/>
  <c r="F125" i="5"/>
  <c r="K124" i="5"/>
  <c r="J124" i="5"/>
  <c r="H124" i="5"/>
  <c r="R124" i="5" s="1"/>
  <c r="G124" i="5"/>
  <c r="F124" i="5"/>
  <c r="V123" i="5"/>
  <c r="T123" i="5"/>
  <c r="U123" i="5"/>
  <c r="S123" i="5"/>
  <c r="F123" i="5"/>
  <c r="E123" i="5"/>
  <c r="D123" i="5"/>
  <c r="I123" i="5"/>
  <c r="C123" i="5"/>
  <c r="B123" i="5"/>
  <c r="A123" i="5"/>
  <c r="L122" i="5"/>
  <c r="Q122" i="5" s="1"/>
  <c r="Z122" i="5"/>
  <c r="Y122" i="5"/>
  <c r="X122" i="5"/>
  <c r="K121" i="5"/>
  <c r="J121" i="5"/>
  <c r="Z121" i="5"/>
  <c r="Y121" i="5"/>
  <c r="X121" i="5"/>
  <c r="H121" i="5"/>
  <c r="W121" i="5" s="1"/>
  <c r="F121" i="5"/>
  <c r="V121" i="5"/>
  <c r="T121" i="5"/>
  <c r="U121" i="5"/>
  <c r="S121" i="5"/>
  <c r="E121" i="5"/>
  <c r="D121" i="5"/>
  <c r="C121" i="5"/>
  <c r="B121" i="5"/>
  <c r="A121" i="5"/>
  <c r="L120" i="5"/>
  <c r="G120" i="5"/>
  <c r="E120" i="5"/>
  <c r="J119" i="5"/>
  <c r="F119" i="5"/>
  <c r="E119" i="5"/>
  <c r="J118" i="5"/>
  <c r="F118" i="5"/>
  <c r="E118" i="5"/>
  <c r="K117" i="5"/>
  <c r="J117" i="5"/>
  <c r="H117" i="5"/>
  <c r="G117" i="5"/>
  <c r="F117" i="5"/>
  <c r="K116" i="5"/>
  <c r="J116" i="5"/>
  <c r="H116" i="5"/>
  <c r="G116" i="5"/>
  <c r="F116" i="5"/>
  <c r="C115" i="5"/>
  <c r="V114" i="5"/>
  <c r="T114" i="5"/>
  <c r="K118" i="5" s="1"/>
  <c r="U114" i="5"/>
  <c r="S114" i="5"/>
  <c r="F114" i="5"/>
  <c r="E114" i="5"/>
  <c r="D114" i="5"/>
  <c r="I114" i="5"/>
  <c r="C114" i="5"/>
  <c r="B114" i="5"/>
  <c r="A114" i="5"/>
  <c r="L113" i="5"/>
  <c r="Q113" i="5" s="1"/>
  <c r="Z113" i="5"/>
  <c r="Y113" i="5"/>
  <c r="X113" i="5"/>
  <c r="L112" i="5"/>
  <c r="G112" i="5"/>
  <c r="E112" i="5"/>
  <c r="J111" i="5"/>
  <c r="F111" i="5"/>
  <c r="E111" i="5"/>
  <c r="J110" i="5"/>
  <c r="F110" i="5"/>
  <c r="E110" i="5"/>
  <c r="K109" i="5"/>
  <c r="J109" i="5"/>
  <c r="H109" i="5"/>
  <c r="G109" i="5"/>
  <c r="F109" i="5"/>
  <c r="C108" i="5"/>
  <c r="V107" i="5"/>
  <c r="K111" i="5" s="1"/>
  <c r="T107" i="5"/>
  <c r="K110" i="5" s="1"/>
  <c r="U107" i="5"/>
  <c r="H111" i="5" s="1"/>
  <c r="S107" i="5"/>
  <c r="H110" i="5" s="1"/>
  <c r="F107" i="5"/>
  <c r="E107" i="5"/>
  <c r="D107" i="5"/>
  <c r="I107" i="5"/>
  <c r="C107" i="5"/>
  <c r="B107" i="5"/>
  <c r="A107" i="5"/>
  <c r="L106" i="5"/>
  <c r="Q106" i="5" s="1"/>
  <c r="Z106" i="5"/>
  <c r="Y106" i="5"/>
  <c r="X106" i="5"/>
  <c r="L105" i="5"/>
  <c r="G105" i="5"/>
  <c r="E105" i="5"/>
  <c r="J104" i="5"/>
  <c r="F104" i="5"/>
  <c r="E104" i="5"/>
  <c r="J103" i="5"/>
  <c r="F103" i="5"/>
  <c r="E103" i="5"/>
  <c r="K102" i="5"/>
  <c r="J102" i="5"/>
  <c r="H102" i="5"/>
  <c r="R102" i="5" s="1"/>
  <c r="G102" i="5"/>
  <c r="F102" i="5"/>
  <c r="K101" i="5"/>
  <c r="J101" i="5"/>
  <c r="H101" i="5"/>
  <c r="G101" i="5"/>
  <c r="F101" i="5"/>
  <c r="K100" i="5"/>
  <c r="J100" i="5"/>
  <c r="H100" i="5"/>
  <c r="R100" i="5" s="1"/>
  <c r="G100" i="5"/>
  <c r="F100" i="5"/>
  <c r="C99" i="5"/>
  <c r="V98" i="5"/>
  <c r="K104" i="5" s="1"/>
  <c r="T98" i="5"/>
  <c r="K103" i="5" s="1"/>
  <c r="U98" i="5"/>
  <c r="H104" i="5" s="1"/>
  <c r="S98" i="5"/>
  <c r="H103" i="5" s="1"/>
  <c r="F98" i="5"/>
  <c r="E98" i="5"/>
  <c r="D98" i="5"/>
  <c r="I98" i="5"/>
  <c r="C98" i="5"/>
  <c r="B98" i="5"/>
  <c r="A98" i="5"/>
  <c r="L97" i="5"/>
  <c r="Q97" i="5" s="1"/>
  <c r="Z97" i="5"/>
  <c r="Y97" i="5"/>
  <c r="X97" i="5"/>
  <c r="L96" i="5"/>
  <c r="G96" i="5"/>
  <c r="E96" i="5"/>
  <c r="J95" i="5"/>
  <c r="F95" i="5"/>
  <c r="E95" i="5"/>
  <c r="J94" i="5"/>
  <c r="F94" i="5"/>
  <c r="E94" i="5"/>
  <c r="K93" i="5"/>
  <c r="J93" i="5"/>
  <c r="H93" i="5"/>
  <c r="R93" i="5" s="1"/>
  <c r="G93" i="5"/>
  <c r="F93" i="5"/>
  <c r="K92" i="5"/>
  <c r="J92" i="5"/>
  <c r="H92" i="5"/>
  <c r="G92" i="5"/>
  <c r="F92" i="5"/>
  <c r="K91" i="5"/>
  <c r="J91" i="5"/>
  <c r="H91" i="5"/>
  <c r="R91" i="5" s="1"/>
  <c r="G91" i="5"/>
  <c r="F91" i="5"/>
  <c r="C90" i="5"/>
  <c r="V89" i="5"/>
  <c r="K95" i="5" s="1"/>
  <c r="T89" i="5"/>
  <c r="K94" i="5" s="1"/>
  <c r="U89" i="5"/>
  <c r="H95" i="5" s="1"/>
  <c r="S89" i="5"/>
  <c r="H94" i="5" s="1"/>
  <c r="F89" i="5"/>
  <c r="E89" i="5"/>
  <c r="D89" i="5"/>
  <c r="I89" i="5"/>
  <c r="C89" i="5"/>
  <c r="B89" i="5"/>
  <c r="A89" i="5"/>
  <c r="L88" i="5"/>
  <c r="Q88" i="5" s="1"/>
  <c r="Z88" i="5"/>
  <c r="Y88" i="5"/>
  <c r="X88" i="5"/>
  <c r="K85" i="5"/>
  <c r="L87" i="5"/>
  <c r="G87" i="5"/>
  <c r="E87" i="5"/>
  <c r="J86" i="5"/>
  <c r="F86" i="5"/>
  <c r="E86" i="5"/>
  <c r="J85" i="5"/>
  <c r="F85" i="5"/>
  <c r="E85" i="5"/>
  <c r="K84" i="5"/>
  <c r="J84" i="5"/>
  <c r="H84" i="5"/>
  <c r="G84" i="5"/>
  <c r="F84" i="5"/>
  <c r="C83" i="5"/>
  <c r="V82" i="5"/>
  <c r="K86" i="5" s="1"/>
  <c r="T82" i="5"/>
  <c r="U82" i="5"/>
  <c r="H86" i="5" s="1"/>
  <c r="S82" i="5"/>
  <c r="H85" i="5" s="1"/>
  <c r="F82" i="5"/>
  <c r="E82" i="5"/>
  <c r="D82" i="5"/>
  <c r="I82" i="5"/>
  <c r="C82" i="5"/>
  <c r="B82" i="5"/>
  <c r="A82" i="5"/>
  <c r="L81" i="5"/>
  <c r="Q81" i="5" s="1"/>
  <c r="Z81" i="5"/>
  <c r="Y81" i="5"/>
  <c r="X81" i="5"/>
  <c r="K80" i="5"/>
  <c r="J80" i="5"/>
  <c r="Z80" i="5"/>
  <c r="Y80" i="5"/>
  <c r="X80" i="5"/>
  <c r="H80" i="5"/>
  <c r="W80" i="5" s="1"/>
  <c r="F80" i="5"/>
  <c r="V80" i="5"/>
  <c r="T80" i="5"/>
  <c r="U80" i="5"/>
  <c r="S80" i="5"/>
  <c r="E80" i="5"/>
  <c r="D80" i="5"/>
  <c r="C80" i="5"/>
  <c r="B80" i="5"/>
  <c r="A80" i="5"/>
  <c r="L79" i="5"/>
  <c r="G79" i="5"/>
  <c r="E79" i="5"/>
  <c r="J78" i="5"/>
  <c r="E78" i="5"/>
  <c r="J77" i="5"/>
  <c r="E77" i="5"/>
  <c r="K76" i="5"/>
  <c r="J76" i="5"/>
  <c r="H76" i="5"/>
  <c r="G76" i="5"/>
  <c r="F76" i="5"/>
  <c r="K75" i="5"/>
  <c r="J75" i="5"/>
  <c r="H75" i="5"/>
  <c r="R75" i="5" s="1"/>
  <c r="G75" i="5"/>
  <c r="F75" i="5"/>
  <c r="K74" i="5"/>
  <c r="J74" i="5"/>
  <c r="H74" i="5"/>
  <c r="G74" i="5"/>
  <c r="F74" i="5"/>
  <c r="K73" i="5"/>
  <c r="J73" i="5"/>
  <c r="H73" i="5"/>
  <c r="R73" i="5" s="1"/>
  <c r="G73" i="5"/>
  <c r="F73" i="5"/>
  <c r="C72" i="5"/>
  <c r="V71" i="5"/>
  <c r="K78" i="5" s="1"/>
  <c r="T71" i="5"/>
  <c r="U71" i="5"/>
  <c r="S71" i="5"/>
  <c r="F71" i="5"/>
  <c r="E71" i="5"/>
  <c r="D71" i="5"/>
  <c r="I71" i="5"/>
  <c r="C71" i="5"/>
  <c r="B71" i="5"/>
  <c r="A71" i="5"/>
  <c r="L70" i="5"/>
  <c r="Q70" i="5" s="1"/>
  <c r="Z70" i="5"/>
  <c r="Y70" i="5"/>
  <c r="X70" i="5"/>
  <c r="L69" i="5"/>
  <c r="G69" i="5"/>
  <c r="E69" i="5"/>
  <c r="J68" i="5"/>
  <c r="F68" i="5"/>
  <c r="E68" i="5"/>
  <c r="J67" i="5"/>
  <c r="F67" i="5"/>
  <c r="E67" i="5"/>
  <c r="K66" i="5"/>
  <c r="J66" i="5"/>
  <c r="H66" i="5"/>
  <c r="R66" i="5" s="1"/>
  <c r="G66" i="5"/>
  <c r="F66" i="5"/>
  <c r="K65" i="5"/>
  <c r="J65" i="5"/>
  <c r="H65" i="5"/>
  <c r="G65" i="5"/>
  <c r="F65" i="5"/>
  <c r="K64" i="5"/>
  <c r="J64" i="5"/>
  <c r="H64" i="5"/>
  <c r="R64" i="5" s="1"/>
  <c r="G64" i="5"/>
  <c r="F64" i="5"/>
  <c r="C63" i="5"/>
  <c r="V62" i="5"/>
  <c r="K68" i="5" s="1"/>
  <c r="T62" i="5"/>
  <c r="K67" i="5" s="1"/>
  <c r="U62" i="5"/>
  <c r="H68" i="5" s="1"/>
  <c r="S62" i="5"/>
  <c r="H67" i="5" s="1"/>
  <c r="F62" i="5"/>
  <c r="E62" i="5"/>
  <c r="D62" i="5"/>
  <c r="I62" i="5"/>
  <c r="C62" i="5"/>
  <c r="B62" i="5"/>
  <c r="A62" i="5"/>
  <c r="L61" i="5"/>
  <c r="Q61" i="5" s="1"/>
  <c r="Z61" i="5"/>
  <c r="Y61" i="5"/>
  <c r="X61" i="5"/>
  <c r="L60" i="5"/>
  <c r="G60" i="5"/>
  <c r="E60" i="5"/>
  <c r="J59" i="5"/>
  <c r="E59" i="5"/>
  <c r="J58" i="5"/>
  <c r="E58" i="5"/>
  <c r="K57" i="5"/>
  <c r="J57" i="5"/>
  <c r="H57" i="5"/>
  <c r="R57" i="5" s="1"/>
  <c r="G57" i="5"/>
  <c r="F57" i="5"/>
  <c r="K56" i="5"/>
  <c r="J56" i="5"/>
  <c r="H56" i="5"/>
  <c r="G56" i="5"/>
  <c r="F56" i="5"/>
  <c r="K55" i="5"/>
  <c r="J55" i="5"/>
  <c r="H55" i="5"/>
  <c r="R55" i="5" s="1"/>
  <c r="G55" i="5"/>
  <c r="F55" i="5"/>
  <c r="C54" i="5"/>
  <c r="V53" i="5"/>
  <c r="K59" i="5" s="1"/>
  <c r="T53" i="5"/>
  <c r="K58" i="5" s="1"/>
  <c r="U53" i="5"/>
  <c r="H59" i="5" s="1"/>
  <c r="S53" i="5"/>
  <c r="H58" i="5" s="1"/>
  <c r="F53" i="5"/>
  <c r="E53" i="5"/>
  <c r="D53" i="5"/>
  <c r="I53" i="5"/>
  <c r="C53" i="5"/>
  <c r="B53" i="5"/>
  <c r="A53" i="5"/>
  <c r="L52" i="5"/>
  <c r="Q52" i="5" s="1"/>
  <c r="Z52" i="5"/>
  <c r="Y52" i="5"/>
  <c r="X52" i="5"/>
  <c r="L51" i="5"/>
  <c r="G51" i="5"/>
  <c r="E51" i="5"/>
  <c r="J50" i="5"/>
  <c r="E50" i="5"/>
  <c r="J49" i="5"/>
  <c r="E49" i="5"/>
  <c r="K48" i="5"/>
  <c r="J48" i="5"/>
  <c r="H48" i="5"/>
  <c r="R48" i="5" s="1"/>
  <c r="G48" i="5"/>
  <c r="F48" i="5"/>
  <c r="C47" i="5"/>
  <c r="V46" i="5"/>
  <c r="K50" i="5" s="1"/>
  <c r="T46" i="5"/>
  <c r="K49" i="5" s="1"/>
  <c r="U46" i="5"/>
  <c r="H50" i="5" s="1"/>
  <c r="S46" i="5"/>
  <c r="H49" i="5" s="1"/>
  <c r="F46" i="5"/>
  <c r="E46" i="5"/>
  <c r="D46" i="5"/>
  <c r="I46" i="5"/>
  <c r="C46" i="5"/>
  <c r="B46" i="5"/>
  <c r="A46" i="5"/>
  <c r="L45" i="5"/>
  <c r="Q45" i="5" s="1"/>
  <c r="Z45" i="5"/>
  <c r="Y45" i="5"/>
  <c r="X45" i="5"/>
  <c r="L44" i="5"/>
  <c r="G44" i="5"/>
  <c r="E44" i="5"/>
  <c r="J43" i="5"/>
  <c r="F43" i="5"/>
  <c r="E43" i="5"/>
  <c r="J42" i="5"/>
  <c r="F42" i="5"/>
  <c r="E42" i="5"/>
  <c r="K41" i="5"/>
  <c r="J41" i="5"/>
  <c r="H41" i="5"/>
  <c r="R41" i="5" s="1"/>
  <c r="G41" i="5"/>
  <c r="F41" i="5"/>
  <c r="K40" i="5"/>
  <c r="J40" i="5"/>
  <c r="H40" i="5"/>
  <c r="G40" i="5"/>
  <c r="F40" i="5"/>
  <c r="K39" i="5"/>
  <c r="J39" i="5"/>
  <c r="H39" i="5"/>
  <c r="R39" i="5" s="1"/>
  <c r="G39" i="5"/>
  <c r="F39" i="5"/>
  <c r="V38" i="5"/>
  <c r="K43" i="5" s="1"/>
  <c r="T38" i="5"/>
  <c r="K42" i="5" s="1"/>
  <c r="U38" i="5"/>
  <c r="H43" i="5" s="1"/>
  <c r="S38" i="5"/>
  <c r="H42" i="5" s="1"/>
  <c r="F38" i="5"/>
  <c r="E38" i="5"/>
  <c r="D38" i="5"/>
  <c r="I38" i="5"/>
  <c r="C38" i="5"/>
  <c r="B38" i="5"/>
  <c r="A38" i="5"/>
  <c r="L37" i="5"/>
  <c r="Q37" i="5" s="1"/>
  <c r="Z37" i="5"/>
  <c r="Y37" i="5"/>
  <c r="X37" i="5"/>
  <c r="L36" i="5"/>
  <c r="G36" i="5"/>
  <c r="E36" i="5"/>
  <c r="J35" i="5"/>
  <c r="F35" i="5"/>
  <c r="E35" i="5"/>
  <c r="J34" i="5"/>
  <c r="F34" i="5"/>
  <c r="E34" i="5"/>
  <c r="K33" i="5"/>
  <c r="J33" i="5"/>
  <c r="H33" i="5"/>
  <c r="R33" i="5" s="1"/>
  <c r="G33" i="5"/>
  <c r="F33" i="5"/>
  <c r="K32" i="5"/>
  <c r="J32" i="5"/>
  <c r="H32" i="5"/>
  <c r="G32" i="5"/>
  <c r="F32" i="5"/>
  <c r="K31" i="5"/>
  <c r="J31" i="5"/>
  <c r="H31" i="5"/>
  <c r="G31" i="5"/>
  <c r="F31" i="5"/>
  <c r="C30" i="5"/>
  <c r="V29" i="5"/>
  <c r="K35" i="5" s="1"/>
  <c r="T29" i="5"/>
  <c r="K34" i="5" s="1"/>
  <c r="U29" i="5"/>
  <c r="H35" i="5" s="1"/>
  <c r="S29" i="5"/>
  <c r="H34" i="5" s="1"/>
  <c r="F29" i="5"/>
  <c r="E29" i="5"/>
  <c r="D29" i="5"/>
  <c r="I29" i="5"/>
  <c r="C29" i="5"/>
  <c r="B29" i="5"/>
  <c r="A29" i="5"/>
  <c r="A28" i="5"/>
  <c r="A12" i="5"/>
  <c r="B9" i="5"/>
  <c r="B7" i="5"/>
  <c r="A1" i="5"/>
  <c r="H141" i="5" l="1"/>
  <c r="H370" i="5"/>
  <c r="H380" i="5"/>
  <c r="W384" i="5" s="1"/>
  <c r="H642" i="5"/>
  <c r="K392" i="5"/>
  <c r="H683" i="5"/>
  <c r="H119" i="5"/>
  <c r="H217" i="5"/>
  <c r="H185" i="5"/>
  <c r="K292" i="5"/>
  <c r="K129" i="5"/>
  <c r="H269" i="5"/>
  <c r="W273" i="5" s="1"/>
  <c r="H280" i="5"/>
  <c r="K498" i="5"/>
  <c r="K641" i="5"/>
  <c r="K714" i="5"/>
  <c r="K725" i="5"/>
  <c r="H238" i="5"/>
  <c r="K314" i="5"/>
  <c r="H391" i="5"/>
  <c r="G396" i="5" s="1"/>
  <c r="O396" i="5" s="1"/>
  <c r="G706" i="5"/>
  <c r="O706" i="5" s="1"/>
  <c r="H128" i="5"/>
  <c r="H257" i="5"/>
  <c r="G261" i="5" s="1"/>
  <c r="O261" i="5" s="1"/>
  <c r="H662" i="5"/>
  <c r="X665" i="5" s="1"/>
  <c r="K695" i="5"/>
  <c r="K142" i="5"/>
  <c r="K293" i="5"/>
  <c r="J297" i="5" s="1"/>
  <c r="P297" i="5" s="1"/>
  <c r="H336" i="5"/>
  <c r="W339" i="5" s="1"/>
  <c r="K370" i="5"/>
  <c r="H381" i="5"/>
  <c r="H392" i="5"/>
  <c r="H509" i="5"/>
  <c r="G512" i="5" s="1"/>
  <c r="O512" i="5" s="1"/>
  <c r="K531" i="5"/>
  <c r="H553" i="5"/>
  <c r="H572" i="5"/>
  <c r="X582" i="5" s="1"/>
  <c r="K589" i="5"/>
  <c r="K185" i="5"/>
  <c r="K478" i="5"/>
  <c r="K489" i="5"/>
  <c r="H78" i="5"/>
  <c r="K336" i="5"/>
  <c r="H488" i="5"/>
  <c r="K509" i="5"/>
  <c r="H519" i="5"/>
  <c r="X523" i="5" s="1"/>
  <c r="K553" i="5"/>
  <c r="H590" i="5"/>
  <c r="H314" i="5"/>
  <c r="H369" i="5"/>
  <c r="W374" i="5" s="1"/>
  <c r="K380" i="5"/>
  <c r="G403" i="5"/>
  <c r="O403" i="5" s="1"/>
  <c r="K469" i="5"/>
  <c r="K477" i="5"/>
  <c r="J481" i="5" s="1"/>
  <c r="P481" i="5" s="1"/>
  <c r="K497" i="5"/>
  <c r="H632" i="5"/>
  <c r="H641" i="5"/>
  <c r="K650" i="5"/>
  <c r="J654" i="5" s="1"/>
  <c r="P654" i="5" s="1"/>
  <c r="H661" i="5"/>
  <c r="K683" i="5"/>
  <c r="H714" i="5"/>
  <c r="H633" i="5"/>
  <c r="G636" i="5" s="1"/>
  <c r="O636" i="5" s="1"/>
  <c r="K552" i="5"/>
  <c r="K153" i="5"/>
  <c r="H196" i="5"/>
  <c r="W211" i="5" s="1"/>
  <c r="H239" i="5"/>
  <c r="G249" i="5" s="1"/>
  <c r="O249" i="5" s="1"/>
  <c r="H256" i="5"/>
  <c r="H268" i="5"/>
  <c r="K280" i="5"/>
  <c r="J285" i="5" s="1"/>
  <c r="P285" i="5" s="1"/>
  <c r="H293" i="5"/>
  <c r="H478" i="5"/>
  <c r="H497" i="5"/>
  <c r="K519" i="5"/>
  <c r="H542" i="5"/>
  <c r="G545" i="5" s="1"/>
  <c r="O545" i="5" s="1"/>
  <c r="K573" i="5"/>
  <c r="K651" i="5"/>
  <c r="K662" i="5"/>
  <c r="K684" i="5"/>
  <c r="J687" i="5" s="1"/>
  <c r="P687" i="5" s="1"/>
  <c r="K77" i="5"/>
  <c r="J81" i="5" s="1"/>
  <c r="P81" i="5" s="1"/>
  <c r="H197" i="5"/>
  <c r="K470" i="5"/>
  <c r="K508" i="5"/>
  <c r="J512" i="5" s="1"/>
  <c r="P512" i="5" s="1"/>
  <c r="K152" i="5"/>
  <c r="G167" i="5"/>
  <c r="O167" i="5" s="1"/>
  <c r="K196" i="5"/>
  <c r="J211" i="5" s="1"/>
  <c r="P211" i="5" s="1"/>
  <c r="K216" i="5"/>
  <c r="K239" i="5"/>
  <c r="K256" i="5"/>
  <c r="H313" i="5"/>
  <c r="W318" i="5" s="1"/>
  <c r="W348" i="5"/>
  <c r="K488" i="5"/>
  <c r="H508" i="5"/>
  <c r="H520" i="5"/>
  <c r="K542" i="5"/>
  <c r="J545" i="5" s="1"/>
  <c r="P545" i="5" s="1"/>
  <c r="H552" i="5"/>
  <c r="G557" i="5" s="1"/>
  <c r="O557" i="5" s="1"/>
  <c r="H573" i="5"/>
  <c r="H589" i="5"/>
  <c r="G593" i="5" s="1"/>
  <c r="O593" i="5" s="1"/>
  <c r="K590" i="5"/>
  <c r="G606" i="5"/>
  <c r="O606" i="5" s="1"/>
  <c r="J612" i="5"/>
  <c r="P612" i="5" s="1"/>
  <c r="K642" i="5"/>
  <c r="J645" i="5" s="1"/>
  <c r="P645" i="5" s="1"/>
  <c r="H684" i="5"/>
  <c r="X687" i="5" s="1"/>
  <c r="K335" i="5"/>
  <c r="J339" i="5" s="1"/>
  <c r="P339" i="5" s="1"/>
  <c r="K633" i="5"/>
  <c r="K661" i="5"/>
  <c r="J665" i="5" s="1"/>
  <c r="P665" i="5" s="1"/>
  <c r="G462" i="5"/>
  <c r="O462" i="5" s="1"/>
  <c r="G37" i="5"/>
  <c r="O37" i="5" s="1"/>
  <c r="K128" i="5"/>
  <c r="K281" i="5"/>
  <c r="K313" i="5"/>
  <c r="J318" i="5" s="1"/>
  <c r="P318" i="5" s="1"/>
  <c r="W350" i="5"/>
  <c r="G362" i="5"/>
  <c r="O362" i="5" s="1"/>
  <c r="K520" i="5"/>
  <c r="J523" i="5" s="1"/>
  <c r="P523" i="5" s="1"/>
  <c r="K530" i="5"/>
  <c r="J534" i="5" s="1"/>
  <c r="P534" i="5" s="1"/>
  <c r="H530" i="5"/>
  <c r="K541" i="5"/>
  <c r="H541" i="5"/>
  <c r="J599" i="5"/>
  <c r="P599" i="5" s="1"/>
  <c r="H724" i="5"/>
  <c r="H77" i="5"/>
  <c r="G177" i="5"/>
  <c r="O177" i="5" s="1"/>
  <c r="K238" i="5"/>
  <c r="J249" i="5" s="1"/>
  <c r="P249" i="5" s="1"/>
  <c r="L405" i="5"/>
  <c r="K391" i="5"/>
  <c r="J396" i="5" s="1"/>
  <c r="P396" i="5" s="1"/>
  <c r="X424" i="5"/>
  <c r="H477" i="5"/>
  <c r="G481" i="5" s="1"/>
  <c r="O481" i="5" s="1"/>
  <c r="K564" i="5"/>
  <c r="J567" i="5" s="1"/>
  <c r="P567" i="5" s="1"/>
  <c r="K572" i="5"/>
  <c r="G612" i="5"/>
  <c r="O612" i="5" s="1"/>
  <c r="J628" i="5"/>
  <c r="P628" i="5" s="1"/>
  <c r="L674" i="5"/>
  <c r="X672" i="5"/>
  <c r="K119" i="5"/>
  <c r="J122" i="5" s="1"/>
  <c r="P122" i="5" s="1"/>
  <c r="K184" i="5"/>
  <c r="J189" i="5" s="1"/>
  <c r="P189" i="5" s="1"/>
  <c r="R418" i="5"/>
  <c r="H563" i="5"/>
  <c r="X567" i="5" s="1"/>
  <c r="Z599" i="5"/>
  <c r="Z612" i="5"/>
  <c r="H650" i="5"/>
  <c r="R681" i="5"/>
  <c r="H694" i="5"/>
  <c r="K694" i="5"/>
  <c r="J699" i="5" s="1"/>
  <c r="P699" i="5" s="1"/>
  <c r="J37" i="5"/>
  <c r="P37" i="5" s="1"/>
  <c r="H118" i="5"/>
  <c r="H129" i="5"/>
  <c r="G134" i="5" s="1"/>
  <c r="O134" i="5" s="1"/>
  <c r="K141" i="5"/>
  <c r="J146" i="5" s="1"/>
  <c r="P146" i="5" s="1"/>
  <c r="K217" i="5"/>
  <c r="K268" i="5"/>
  <c r="J273" i="5" s="1"/>
  <c r="P273" i="5" s="1"/>
  <c r="H292" i="5"/>
  <c r="J306" i="5"/>
  <c r="P306" i="5" s="1"/>
  <c r="H302" i="5"/>
  <c r="W306" i="5" s="1"/>
  <c r="K369" i="5"/>
  <c r="J374" i="5" s="1"/>
  <c r="P374" i="5" s="1"/>
  <c r="X440" i="5"/>
  <c r="J448" i="5"/>
  <c r="P448" i="5" s="1"/>
  <c r="J455" i="5"/>
  <c r="P455" i="5" s="1"/>
  <c r="H469" i="5"/>
  <c r="X473" i="5" s="1"/>
  <c r="H531" i="5"/>
  <c r="X534" i="5" s="1"/>
  <c r="G567" i="5"/>
  <c r="O567" i="5" s="1"/>
  <c r="R608" i="5"/>
  <c r="K632" i="5"/>
  <c r="J636" i="5" s="1"/>
  <c r="P636" i="5" s="1"/>
  <c r="H651" i="5"/>
  <c r="H695" i="5"/>
  <c r="K713" i="5"/>
  <c r="H713" i="5"/>
  <c r="G717" i="5" s="1"/>
  <c r="O717" i="5" s="1"/>
  <c r="H725" i="5"/>
  <c r="G728" i="5" s="1"/>
  <c r="O728" i="5" s="1"/>
  <c r="J167" i="5"/>
  <c r="P167" i="5" s="1"/>
  <c r="J45" i="5"/>
  <c r="P45" i="5" s="1"/>
  <c r="J52" i="5"/>
  <c r="P52" i="5" s="1"/>
  <c r="G61" i="5"/>
  <c r="O61" i="5" s="1"/>
  <c r="G88" i="5"/>
  <c r="O88" i="5" s="1"/>
  <c r="J88" i="5"/>
  <c r="P88" i="5" s="1"/>
  <c r="J106" i="5"/>
  <c r="P106" i="5" s="1"/>
  <c r="G113" i="5"/>
  <c r="O113" i="5" s="1"/>
  <c r="G157" i="5"/>
  <c r="O157" i="5" s="1"/>
  <c r="G45" i="5"/>
  <c r="O45" i="5" s="1"/>
  <c r="J61" i="5"/>
  <c r="P61" i="5" s="1"/>
  <c r="J157" i="5"/>
  <c r="P157" i="5" s="1"/>
  <c r="G52" i="5"/>
  <c r="O52" i="5" s="1"/>
  <c r="W52" i="5"/>
  <c r="J70" i="5"/>
  <c r="P70" i="5" s="1"/>
  <c r="J97" i="5"/>
  <c r="P97" i="5" s="1"/>
  <c r="J113" i="5"/>
  <c r="P113" i="5" s="1"/>
  <c r="J177" i="5"/>
  <c r="P177" i="5" s="1"/>
  <c r="W37" i="5"/>
  <c r="R31" i="5"/>
  <c r="W45" i="5"/>
  <c r="R116" i="5"/>
  <c r="W146" i="5"/>
  <c r="G146" i="5"/>
  <c r="O146" i="5" s="1"/>
  <c r="R160" i="5"/>
  <c r="W167" i="5"/>
  <c r="W189" i="5"/>
  <c r="G189" i="5"/>
  <c r="O189" i="5" s="1"/>
  <c r="G232" i="5"/>
  <c r="O232" i="5" s="1"/>
  <c r="W232" i="5"/>
  <c r="J261" i="5"/>
  <c r="P261" i="5" s="1"/>
  <c r="G285" i="5"/>
  <c r="O285" i="5" s="1"/>
  <c r="J362" i="5"/>
  <c r="P362" i="5" s="1"/>
  <c r="G415" i="5"/>
  <c r="O415" i="5" s="1"/>
  <c r="J433" i="5"/>
  <c r="P433" i="5" s="1"/>
  <c r="J440" i="5"/>
  <c r="P440" i="5" s="1"/>
  <c r="X448" i="5"/>
  <c r="G501" i="5"/>
  <c r="O501" i="5" s="1"/>
  <c r="W61" i="5"/>
  <c r="W70" i="5"/>
  <c r="G70" i="5"/>
  <c r="O70" i="5" s="1"/>
  <c r="W177" i="5"/>
  <c r="R214" i="5"/>
  <c r="G328" i="5"/>
  <c r="O328" i="5" s="1"/>
  <c r="G384" i="5"/>
  <c r="O384" i="5" s="1"/>
  <c r="J415" i="5"/>
  <c r="P415" i="5" s="1"/>
  <c r="G448" i="5"/>
  <c r="O448" i="5" s="1"/>
  <c r="J462" i="5"/>
  <c r="P462" i="5" s="1"/>
  <c r="X501" i="5"/>
  <c r="R84" i="5"/>
  <c r="W88" i="5"/>
  <c r="W97" i="5"/>
  <c r="G97" i="5"/>
  <c r="O97" i="5" s="1"/>
  <c r="W106" i="5"/>
  <c r="G106" i="5"/>
  <c r="O106" i="5" s="1"/>
  <c r="H216" i="5"/>
  <c r="J232" i="5"/>
  <c r="P232" i="5" s="1"/>
  <c r="J328" i="5"/>
  <c r="P328" i="5" s="1"/>
  <c r="G346" i="5"/>
  <c r="O346" i="5" s="1"/>
  <c r="J346" i="5"/>
  <c r="P346" i="5" s="1"/>
  <c r="J424" i="5"/>
  <c r="P424" i="5" s="1"/>
  <c r="X433" i="5"/>
  <c r="G473" i="5"/>
  <c r="O473" i="5" s="1"/>
  <c r="J501" i="5"/>
  <c r="P501" i="5" s="1"/>
  <c r="L731" i="5"/>
  <c r="L352" i="5"/>
  <c r="G19" i="5"/>
  <c r="R109" i="5"/>
  <c r="W113" i="5"/>
  <c r="W157" i="5"/>
  <c r="J384" i="5"/>
  <c r="P384" i="5" s="1"/>
  <c r="J403" i="5"/>
  <c r="P403" i="5" s="1"/>
  <c r="G433" i="5"/>
  <c r="O433" i="5" s="1"/>
  <c r="R288" i="5"/>
  <c r="W346" i="5"/>
  <c r="R356" i="5"/>
  <c r="R376" i="5"/>
  <c r="G424" i="5"/>
  <c r="O424" i="5" s="1"/>
  <c r="W455" i="5"/>
  <c r="G455" i="5"/>
  <c r="O455" i="5" s="1"/>
  <c r="R465" i="5"/>
  <c r="R526" i="5"/>
  <c r="J606" i="5"/>
  <c r="P606" i="5" s="1"/>
  <c r="L730" i="5"/>
  <c r="W261" i="5"/>
  <c r="G306" i="5"/>
  <c r="O306" i="5" s="1"/>
  <c r="W328" i="5"/>
  <c r="W362" i="5"/>
  <c r="G440" i="5"/>
  <c r="O440" i="5" s="1"/>
  <c r="R515" i="5"/>
  <c r="J618" i="5"/>
  <c r="P618" i="5" s="1"/>
  <c r="G618" i="5"/>
  <c r="O618" i="5" s="1"/>
  <c r="J706" i="5"/>
  <c r="P706" i="5" s="1"/>
  <c r="J728" i="5"/>
  <c r="P728" i="5" s="1"/>
  <c r="W415" i="5"/>
  <c r="R435" i="5"/>
  <c r="X512" i="5"/>
  <c r="R504" i="5"/>
  <c r="J557" i="5"/>
  <c r="P557" i="5" s="1"/>
  <c r="G582" i="5"/>
  <c r="O582" i="5" s="1"/>
  <c r="J672" i="5"/>
  <c r="P672" i="5" s="1"/>
  <c r="W285" i="5"/>
  <c r="W403" i="5"/>
  <c r="L620" i="5"/>
  <c r="W462" i="5"/>
  <c r="G492" i="5"/>
  <c r="O492" i="5" s="1"/>
  <c r="X492" i="5"/>
  <c r="J582" i="5"/>
  <c r="P582" i="5" s="1"/>
  <c r="R537" i="5"/>
  <c r="R548" i="5"/>
  <c r="R559" i="5"/>
  <c r="G599" i="5"/>
  <c r="O599" i="5" s="1"/>
  <c r="G628" i="5"/>
  <c r="O628" i="5" s="1"/>
  <c r="R630" i="5"/>
  <c r="R690" i="5"/>
  <c r="R709" i="5"/>
  <c r="R720" i="5"/>
  <c r="X628" i="5"/>
  <c r="G672" i="5"/>
  <c r="O672" i="5" s="1"/>
  <c r="Z606" i="5"/>
  <c r="Z618" i="5"/>
  <c r="R648" i="5"/>
  <c r="R667" i="5"/>
  <c r="W706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1" i="3"/>
  <c r="CY1" i="3"/>
  <c r="CZ1" i="3"/>
  <c r="DA1" i="3"/>
  <c r="DB1" i="3"/>
  <c r="DC1" i="3"/>
  <c r="A2" i="3"/>
  <c r="CY2" i="3"/>
  <c r="CZ2" i="3"/>
  <c r="DA2" i="3"/>
  <c r="DB2" i="3"/>
  <c r="DC2" i="3"/>
  <c r="A3" i="3"/>
  <c r="CY3" i="3"/>
  <c r="CZ3" i="3"/>
  <c r="DB3" i="3" s="1"/>
  <c r="DA3" i="3"/>
  <c r="DC3" i="3"/>
  <c r="A4" i="3"/>
  <c r="CX4" i="3"/>
  <c r="CY4" i="3"/>
  <c r="CZ4" i="3"/>
  <c r="DB4" i="3" s="1"/>
  <c r="DA4" i="3"/>
  <c r="DC4" i="3"/>
  <c r="A5" i="3"/>
  <c r="CX5" i="3"/>
  <c r="CY5" i="3"/>
  <c r="CZ5" i="3"/>
  <c r="DA5" i="3"/>
  <c r="DB5" i="3"/>
  <c r="DC5" i="3"/>
  <c r="A6" i="3"/>
  <c r="CX6" i="3"/>
  <c r="CY6" i="3"/>
  <c r="CZ6" i="3"/>
  <c r="DA6" i="3"/>
  <c r="DB6" i="3"/>
  <c r="DC6" i="3"/>
  <c r="A7" i="3"/>
  <c r="CX7" i="3"/>
  <c r="CY7" i="3"/>
  <c r="CZ7" i="3"/>
  <c r="DB7" i="3" s="1"/>
  <c r="DA7" i="3"/>
  <c r="DC7" i="3"/>
  <c r="A8" i="3"/>
  <c r="CX8" i="3"/>
  <c r="CY8" i="3"/>
  <c r="CZ8" i="3"/>
  <c r="DB8" i="3" s="1"/>
  <c r="DA8" i="3"/>
  <c r="DC8" i="3"/>
  <c r="A9" i="3"/>
  <c r="CX9" i="3"/>
  <c r="CY9" i="3"/>
  <c r="CZ9" i="3"/>
  <c r="DA9" i="3"/>
  <c r="DB9" i="3"/>
  <c r="DC9" i="3"/>
  <c r="A10" i="3"/>
  <c r="CX10" i="3"/>
  <c r="CY10" i="3"/>
  <c r="CZ10" i="3"/>
  <c r="DA10" i="3"/>
  <c r="DB10" i="3"/>
  <c r="DC10" i="3"/>
  <c r="A11" i="3"/>
  <c r="CY11" i="3"/>
  <c r="CZ11" i="3"/>
  <c r="DB11" i="3" s="1"/>
  <c r="DA11" i="3"/>
  <c r="DC11" i="3"/>
  <c r="A12" i="3"/>
  <c r="CY12" i="3"/>
  <c r="CZ12" i="3"/>
  <c r="DB12" i="3" s="1"/>
  <c r="DA12" i="3"/>
  <c r="DC12" i="3"/>
  <c r="A13" i="3"/>
  <c r="CY13" i="3"/>
  <c r="CZ13" i="3"/>
  <c r="DA13" i="3"/>
  <c r="DB13" i="3"/>
  <c r="DC13" i="3"/>
  <c r="A14" i="3"/>
  <c r="CY14" i="3"/>
  <c r="CZ14" i="3"/>
  <c r="DA14" i="3"/>
  <c r="DB14" i="3"/>
  <c r="DC14" i="3"/>
  <c r="A15" i="3"/>
  <c r="CY15" i="3"/>
  <c r="CZ15" i="3"/>
  <c r="DB15" i="3" s="1"/>
  <c r="DA15" i="3"/>
  <c r="DC15" i="3"/>
  <c r="A16" i="3"/>
  <c r="CY16" i="3"/>
  <c r="CZ16" i="3"/>
  <c r="DB16" i="3" s="1"/>
  <c r="DA16" i="3"/>
  <c r="DC16" i="3"/>
  <c r="A17" i="3"/>
  <c r="CY17" i="3"/>
  <c r="CZ17" i="3"/>
  <c r="DA17" i="3"/>
  <c r="DB17" i="3"/>
  <c r="DC17" i="3"/>
  <c r="A18" i="3"/>
  <c r="CY18" i="3"/>
  <c r="CZ18" i="3"/>
  <c r="DA18" i="3"/>
  <c r="DB18" i="3"/>
  <c r="DC18" i="3"/>
  <c r="A19" i="3"/>
  <c r="CY19" i="3"/>
  <c r="CZ19" i="3"/>
  <c r="DB19" i="3" s="1"/>
  <c r="DA19" i="3"/>
  <c r="DC19" i="3"/>
  <c r="A20" i="3"/>
  <c r="CY20" i="3"/>
  <c r="CZ20" i="3"/>
  <c r="DB20" i="3" s="1"/>
  <c r="DA20" i="3"/>
  <c r="DC20" i="3"/>
  <c r="A21" i="3"/>
  <c r="CY21" i="3"/>
  <c r="CZ21" i="3"/>
  <c r="DA21" i="3"/>
  <c r="DB21" i="3"/>
  <c r="DC21" i="3"/>
  <c r="A22" i="3"/>
  <c r="CY22" i="3"/>
  <c r="CZ22" i="3"/>
  <c r="DA22" i="3"/>
  <c r="DB22" i="3"/>
  <c r="DC22" i="3"/>
  <c r="A23" i="3"/>
  <c r="CY23" i="3"/>
  <c r="CZ23" i="3"/>
  <c r="DB23" i="3" s="1"/>
  <c r="DA23" i="3"/>
  <c r="DC23" i="3"/>
  <c r="A24" i="3"/>
  <c r="CY24" i="3"/>
  <c r="CZ24" i="3"/>
  <c r="DB24" i="3" s="1"/>
  <c r="DA24" i="3"/>
  <c r="DC24" i="3"/>
  <c r="A25" i="3"/>
  <c r="CY25" i="3"/>
  <c r="CZ25" i="3"/>
  <c r="DA25" i="3"/>
  <c r="DB25" i="3"/>
  <c r="DC25" i="3"/>
  <c r="A26" i="3"/>
  <c r="CY26" i="3"/>
  <c r="CZ26" i="3"/>
  <c r="DA26" i="3"/>
  <c r="DB26" i="3"/>
  <c r="DC26" i="3"/>
  <c r="A27" i="3"/>
  <c r="CY27" i="3"/>
  <c r="CZ27" i="3"/>
  <c r="DB27" i="3" s="1"/>
  <c r="DA27" i="3"/>
  <c r="DC27" i="3"/>
  <c r="A28" i="3"/>
  <c r="CY28" i="3"/>
  <c r="CZ28" i="3"/>
  <c r="DB28" i="3" s="1"/>
  <c r="DA28" i="3"/>
  <c r="DC28" i="3"/>
  <c r="A29" i="3"/>
  <c r="CY29" i="3"/>
  <c r="CZ29" i="3"/>
  <c r="DA29" i="3"/>
  <c r="DB29" i="3"/>
  <c r="DC29" i="3"/>
  <c r="A30" i="3"/>
  <c r="CY30" i="3"/>
  <c r="CZ30" i="3"/>
  <c r="DA30" i="3"/>
  <c r="DB30" i="3"/>
  <c r="DC30" i="3"/>
  <c r="A31" i="3"/>
  <c r="CY31" i="3"/>
  <c r="CZ31" i="3"/>
  <c r="DB31" i="3" s="1"/>
  <c r="DA31" i="3"/>
  <c r="DC31" i="3"/>
  <c r="A32" i="3"/>
  <c r="CY32" i="3"/>
  <c r="CZ32" i="3"/>
  <c r="DB32" i="3" s="1"/>
  <c r="DA32" i="3"/>
  <c r="DC32" i="3"/>
  <c r="A33" i="3"/>
  <c r="CY33" i="3"/>
  <c r="CZ33" i="3"/>
  <c r="DA33" i="3"/>
  <c r="DB33" i="3"/>
  <c r="DC33" i="3"/>
  <c r="A34" i="3"/>
  <c r="CY34" i="3"/>
  <c r="CZ34" i="3"/>
  <c r="DA34" i="3"/>
  <c r="DB34" i="3"/>
  <c r="DC34" i="3"/>
  <c r="A35" i="3"/>
  <c r="CY35" i="3"/>
  <c r="CZ35" i="3"/>
  <c r="DB35" i="3" s="1"/>
  <c r="DA35" i="3"/>
  <c r="DC35" i="3"/>
  <c r="A36" i="3"/>
  <c r="CY36" i="3"/>
  <c r="CZ36" i="3"/>
  <c r="DB36" i="3" s="1"/>
  <c r="DA36" i="3"/>
  <c r="DC36" i="3"/>
  <c r="A37" i="3"/>
  <c r="CY37" i="3"/>
  <c r="CZ37" i="3"/>
  <c r="DA37" i="3"/>
  <c r="DB37" i="3"/>
  <c r="DC37" i="3"/>
  <c r="A38" i="3"/>
  <c r="CY38" i="3"/>
  <c r="CZ38" i="3"/>
  <c r="DA38" i="3"/>
  <c r="DB38" i="3"/>
  <c r="DC38" i="3"/>
  <c r="A39" i="3"/>
  <c r="CY39" i="3"/>
  <c r="CZ39" i="3"/>
  <c r="DB39" i="3" s="1"/>
  <c r="DA39" i="3"/>
  <c r="DC39" i="3"/>
  <c r="A40" i="3"/>
  <c r="CY40" i="3"/>
  <c r="CZ40" i="3"/>
  <c r="DB40" i="3" s="1"/>
  <c r="DA40" i="3"/>
  <c r="DC40" i="3"/>
  <c r="A41" i="3"/>
  <c r="CY41" i="3"/>
  <c r="CZ41" i="3"/>
  <c r="DA41" i="3"/>
  <c r="DB41" i="3"/>
  <c r="DC41" i="3"/>
  <c r="A42" i="3"/>
  <c r="CY42" i="3"/>
  <c r="CZ42" i="3"/>
  <c r="DA42" i="3"/>
  <c r="DB42" i="3"/>
  <c r="DC42" i="3"/>
  <c r="A43" i="3"/>
  <c r="CY43" i="3"/>
  <c r="CZ43" i="3"/>
  <c r="DB43" i="3" s="1"/>
  <c r="DA43" i="3"/>
  <c r="DC43" i="3"/>
  <c r="A44" i="3"/>
  <c r="CY44" i="3"/>
  <c r="CZ44" i="3"/>
  <c r="DB44" i="3" s="1"/>
  <c r="DA44" i="3"/>
  <c r="DC44" i="3"/>
  <c r="A45" i="3"/>
  <c r="CX45" i="3"/>
  <c r="CY45" i="3"/>
  <c r="CZ45" i="3"/>
  <c r="DA45" i="3"/>
  <c r="DB45" i="3"/>
  <c r="DC45" i="3"/>
  <c r="A46" i="3"/>
  <c r="CX46" i="3"/>
  <c r="CY46" i="3"/>
  <c r="CZ46" i="3"/>
  <c r="DA46" i="3"/>
  <c r="DB46" i="3"/>
  <c r="DC46" i="3"/>
  <c r="A47" i="3"/>
  <c r="CX47" i="3"/>
  <c r="CY47" i="3"/>
  <c r="CZ47" i="3"/>
  <c r="DB47" i="3" s="1"/>
  <c r="DA47" i="3"/>
  <c r="DC47" i="3"/>
  <c r="A48" i="3"/>
  <c r="CX48" i="3"/>
  <c r="CY48" i="3"/>
  <c r="CZ48" i="3"/>
  <c r="DB48" i="3" s="1"/>
  <c r="DA48" i="3"/>
  <c r="DC48" i="3"/>
  <c r="A49" i="3"/>
  <c r="CX49" i="3"/>
  <c r="CY49" i="3"/>
  <c r="CZ49" i="3"/>
  <c r="DA49" i="3"/>
  <c r="DB49" i="3"/>
  <c r="DC49" i="3"/>
  <c r="A50" i="3"/>
  <c r="CX50" i="3"/>
  <c r="CY50" i="3"/>
  <c r="CZ50" i="3"/>
  <c r="DA50" i="3"/>
  <c r="DB50" i="3"/>
  <c r="DC50" i="3"/>
  <c r="A51" i="3"/>
  <c r="CX51" i="3"/>
  <c r="CY51" i="3"/>
  <c r="CZ51" i="3"/>
  <c r="DB51" i="3" s="1"/>
  <c r="DA51" i="3"/>
  <c r="DC51" i="3"/>
  <c r="A52" i="3"/>
  <c r="CX52" i="3"/>
  <c r="CY52" i="3"/>
  <c r="CZ52" i="3"/>
  <c r="DB52" i="3" s="1"/>
  <c r="DA52" i="3"/>
  <c r="DC52" i="3"/>
  <c r="A53" i="3"/>
  <c r="CX53" i="3"/>
  <c r="CY53" i="3"/>
  <c r="CZ53" i="3"/>
  <c r="DA53" i="3"/>
  <c r="DB53" i="3"/>
  <c r="DC53" i="3"/>
  <c r="A54" i="3"/>
  <c r="CX54" i="3"/>
  <c r="CY54" i="3"/>
  <c r="CZ54" i="3"/>
  <c r="DA54" i="3"/>
  <c r="DB54" i="3"/>
  <c r="DC54" i="3"/>
  <c r="A55" i="3"/>
  <c r="CY55" i="3"/>
  <c r="CZ55" i="3"/>
  <c r="DB55" i="3" s="1"/>
  <c r="DA55" i="3"/>
  <c r="DC55" i="3"/>
  <c r="A56" i="3"/>
  <c r="CY56" i="3"/>
  <c r="CZ56" i="3"/>
  <c r="DB56" i="3" s="1"/>
  <c r="DA56" i="3"/>
  <c r="DC56" i="3"/>
  <c r="A57" i="3"/>
  <c r="CY57" i="3"/>
  <c r="CZ57" i="3"/>
  <c r="DA57" i="3"/>
  <c r="DB57" i="3"/>
  <c r="DC57" i="3"/>
  <c r="A58" i="3"/>
  <c r="CY58" i="3"/>
  <c r="CZ58" i="3"/>
  <c r="DA58" i="3"/>
  <c r="DB58" i="3"/>
  <c r="DC58" i="3"/>
  <c r="A59" i="3"/>
  <c r="CY59" i="3"/>
  <c r="CZ59" i="3"/>
  <c r="DB59" i="3" s="1"/>
  <c r="DA59" i="3"/>
  <c r="DC59" i="3"/>
  <c r="A60" i="3"/>
  <c r="CY60" i="3"/>
  <c r="CZ60" i="3"/>
  <c r="DB60" i="3" s="1"/>
  <c r="DA60" i="3"/>
  <c r="DC60" i="3"/>
  <c r="A61" i="3"/>
  <c r="CY61" i="3"/>
  <c r="CZ61" i="3"/>
  <c r="DA61" i="3"/>
  <c r="DB61" i="3"/>
  <c r="DC61" i="3"/>
  <c r="A62" i="3"/>
  <c r="CY62" i="3"/>
  <c r="CZ62" i="3"/>
  <c r="DA62" i="3"/>
  <c r="DB62" i="3"/>
  <c r="DC62" i="3"/>
  <c r="A63" i="3"/>
  <c r="CY63" i="3"/>
  <c r="CZ63" i="3"/>
  <c r="DB63" i="3" s="1"/>
  <c r="DA63" i="3"/>
  <c r="DC63" i="3"/>
  <c r="A64" i="3"/>
  <c r="CY64" i="3"/>
  <c r="CZ64" i="3"/>
  <c r="DB64" i="3" s="1"/>
  <c r="DA64" i="3"/>
  <c r="DC64" i="3"/>
  <c r="A65" i="3"/>
  <c r="CY65" i="3"/>
  <c r="CZ65" i="3"/>
  <c r="DA65" i="3"/>
  <c r="DB65" i="3"/>
  <c r="DC65" i="3"/>
  <c r="A66" i="3"/>
  <c r="CY66" i="3"/>
  <c r="CZ66" i="3"/>
  <c r="DA66" i="3"/>
  <c r="DB66" i="3"/>
  <c r="DC66" i="3"/>
  <c r="A67" i="3"/>
  <c r="CY67" i="3"/>
  <c r="CZ67" i="3"/>
  <c r="DB67" i="3" s="1"/>
  <c r="DA67" i="3"/>
  <c r="DC67" i="3"/>
  <c r="A68" i="3"/>
  <c r="CY68" i="3"/>
  <c r="CZ68" i="3"/>
  <c r="DB68" i="3" s="1"/>
  <c r="DA68" i="3"/>
  <c r="DC68" i="3"/>
  <c r="A69" i="3"/>
  <c r="CY69" i="3"/>
  <c r="CZ69" i="3"/>
  <c r="DA69" i="3"/>
  <c r="DB69" i="3"/>
  <c r="DC69" i="3"/>
  <c r="A70" i="3"/>
  <c r="CY70" i="3"/>
  <c r="CZ70" i="3"/>
  <c r="DA70" i="3"/>
  <c r="DB70" i="3"/>
  <c r="DC70" i="3"/>
  <c r="A71" i="3"/>
  <c r="CY71" i="3"/>
  <c r="CZ71" i="3"/>
  <c r="DB71" i="3" s="1"/>
  <c r="DA71" i="3"/>
  <c r="DC71" i="3"/>
  <c r="A72" i="3"/>
  <c r="CY72" i="3"/>
  <c r="CZ72" i="3"/>
  <c r="DB72" i="3" s="1"/>
  <c r="DA72" i="3"/>
  <c r="DC72" i="3"/>
  <c r="A73" i="3"/>
  <c r="CY73" i="3"/>
  <c r="CZ73" i="3"/>
  <c r="DA73" i="3"/>
  <c r="DB73" i="3"/>
  <c r="DC73" i="3"/>
  <c r="A74" i="3"/>
  <c r="CY74" i="3"/>
  <c r="CZ74" i="3"/>
  <c r="DA74" i="3"/>
  <c r="DB74" i="3"/>
  <c r="DC74" i="3"/>
  <c r="A75" i="3"/>
  <c r="CY75" i="3"/>
  <c r="CZ75" i="3"/>
  <c r="DB75" i="3" s="1"/>
  <c r="DA75" i="3"/>
  <c r="DC75" i="3"/>
  <c r="A76" i="3"/>
  <c r="CY76" i="3"/>
  <c r="CZ76" i="3"/>
  <c r="DB76" i="3" s="1"/>
  <c r="DA76" i="3"/>
  <c r="DC76" i="3"/>
  <c r="A77" i="3"/>
  <c r="CY77" i="3"/>
  <c r="CZ77" i="3"/>
  <c r="DA77" i="3"/>
  <c r="DB77" i="3"/>
  <c r="DC77" i="3"/>
  <c r="A78" i="3"/>
  <c r="CY78" i="3"/>
  <c r="CZ78" i="3"/>
  <c r="DA78" i="3"/>
  <c r="DB78" i="3"/>
  <c r="DC78" i="3"/>
  <c r="A79" i="3"/>
  <c r="CY79" i="3"/>
  <c r="CZ79" i="3"/>
  <c r="DB79" i="3" s="1"/>
  <c r="DA79" i="3"/>
  <c r="DC79" i="3"/>
  <c r="A80" i="3"/>
  <c r="CY80" i="3"/>
  <c r="CZ80" i="3"/>
  <c r="DB80" i="3" s="1"/>
  <c r="DA80" i="3"/>
  <c r="DC80" i="3"/>
  <c r="A81" i="3"/>
  <c r="CY81" i="3"/>
  <c r="CZ81" i="3"/>
  <c r="DA81" i="3"/>
  <c r="DB81" i="3"/>
  <c r="DC81" i="3"/>
  <c r="A82" i="3"/>
  <c r="CY82" i="3"/>
  <c r="CZ82" i="3"/>
  <c r="DA82" i="3"/>
  <c r="DB82" i="3"/>
  <c r="DC82" i="3"/>
  <c r="A83" i="3"/>
  <c r="CY83" i="3"/>
  <c r="CZ83" i="3"/>
  <c r="DB83" i="3" s="1"/>
  <c r="DA83" i="3"/>
  <c r="DC83" i="3"/>
  <c r="A84" i="3"/>
  <c r="CY84" i="3"/>
  <c r="CZ84" i="3"/>
  <c r="DB84" i="3" s="1"/>
  <c r="DA84" i="3"/>
  <c r="DC84" i="3"/>
  <c r="A85" i="3"/>
  <c r="CY85" i="3"/>
  <c r="CZ85" i="3"/>
  <c r="DA85" i="3"/>
  <c r="DB85" i="3"/>
  <c r="DC85" i="3"/>
  <c r="A86" i="3"/>
  <c r="CY86" i="3"/>
  <c r="CZ86" i="3"/>
  <c r="DA86" i="3"/>
  <c r="DB86" i="3"/>
  <c r="DC86" i="3"/>
  <c r="A87" i="3"/>
  <c r="CY87" i="3"/>
  <c r="CZ87" i="3"/>
  <c r="DB87" i="3" s="1"/>
  <c r="DA87" i="3"/>
  <c r="DC87" i="3"/>
  <c r="A88" i="3"/>
  <c r="CY88" i="3"/>
  <c r="CZ88" i="3"/>
  <c r="DB88" i="3" s="1"/>
  <c r="DA88" i="3"/>
  <c r="DC88" i="3"/>
  <c r="A89" i="3"/>
  <c r="CY89" i="3"/>
  <c r="CZ89" i="3"/>
  <c r="DA89" i="3"/>
  <c r="DB89" i="3"/>
  <c r="DC89" i="3"/>
  <c r="A90" i="3"/>
  <c r="CY90" i="3"/>
  <c r="CZ90" i="3"/>
  <c r="DA90" i="3"/>
  <c r="DB90" i="3"/>
  <c r="DC90" i="3"/>
  <c r="A91" i="3"/>
  <c r="CY91" i="3"/>
  <c r="CZ91" i="3"/>
  <c r="DB91" i="3" s="1"/>
  <c r="DA91" i="3"/>
  <c r="DC91" i="3"/>
  <c r="A92" i="3"/>
  <c r="CY92" i="3"/>
  <c r="CZ92" i="3"/>
  <c r="DB92" i="3" s="1"/>
  <c r="DA92" i="3"/>
  <c r="DC92" i="3"/>
  <c r="A93" i="3"/>
  <c r="CY93" i="3"/>
  <c r="CZ93" i="3"/>
  <c r="DA93" i="3"/>
  <c r="DB93" i="3"/>
  <c r="DC93" i="3"/>
  <c r="A94" i="3"/>
  <c r="CY94" i="3"/>
  <c r="CZ94" i="3"/>
  <c r="DA94" i="3"/>
  <c r="DB94" i="3"/>
  <c r="DC94" i="3"/>
  <c r="A95" i="3"/>
  <c r="CY95" i="3"/>
  <c r="CZ95" i="3"/>
  <c r="DB95" i="3" s="1"/>
  <c r="DA95" i="3"/>
  <c r="DC95" i="3"/>
  <c r="A96" i="3"/>
  <c r="CY96" i="3"/>
  <c r="CZ96" i="3"/>
  <c r="DB96" i="3" s="1"/>
  <c r="DA96" i="3"/>
  <c r="DC96" i="3"/>
  <c r="A97" i="3"/>
  <c r="CY97" i="3"/>
  <c r="CZ97" i="3"/>
  <c r="DA97" i="3"/>
  <c r="DB97" i="3"/>
  <c r="DC97" i="3"/>
  <c r="A98" i="3"/>
  <c r="CY98" i="3"/>
  <c r="CZ98" i="3"/>
  <c r="DA98" i="3"/>
  <c r="DB98" i="3"/>
  <c r="DC98" i="3"/>
  <c r="A99" i="3"/>
  <c r="CY99" i="3"/>
  <c r="CZ99" i="3"/>
  <c r="DB99" i="3" s="1"/>
  <c r="DA99" i="3"/>
  <c r="DC99" i="3"/>
  <c r="A100" i="3"/>
  <c r="CY100" i="3"/>
  <c r="CZ100" i="3"/>
  <c r="DB100" i="3" s="1"/>
  <c r="DA100" i="3"/>
  <c r="DC100" i="3"/>
  <c r="A101" i="3"/>
  <c r="CY101" i="3"/>
  <c r="CZ101" i="3"/>
  <c r="DA101" i="3"/>
  <c r="DB101" i="3"/>
  <c r="DC101" i="3"/>
  <c r="A102" i="3"/>
  <c r="CY102" i="3"/>
  <c r="CZ102" i="3"/>
  <c r="DA102" i="3"/>
  <c r="DB102" i="3"/>
  <c r="DC102" i="3"/>
  <c r="A103" i="3"/>
  <c r="CY103" i="3"/>
  <c r="CZ103" i="3"/>
  <c r="DB103" i="3" s="1"/>
  <c r="DA103" i="3"/>
  <c r="DC103" i="3"/>
  <c r="A104" i="3"/>
  <c r="CY104" i="3"/>
  <c r="CZ104" i="3"/>
  <c r="DB104" i="3" s="1"/>
  <c r="DA104" i="3"/>
  <c r="DC104" i="3"/>
  <c r="A105" i="3"/>
  <c r="CY105" i="3"/>
  <c r="CZ105" i="3"/>
  <c r="DA105" i="3"/>
  <c r="DB105" i="3"/>
  <c r="DC105" i="3"/>
  <c r="A106" i="3"/>
  <c r="CY106" i="3"/>
  <c r="CZ106" i="3"/>
  <c r="DA106" i="3"/>
  <c r="DB106" i="3"/>
  <c r="DC106" i="3"/>
  <c r="A107" i="3"/>
  <c r="CY107" i="3"/>
  <c r="CZ107" i="3"/>
  <c r="DB107" i="3" s="1"/>
  <c r="DA107" i="3"/>
  <c r="DC107" i="3"/>
  <c r="A108" i="3"/>
  <c r="CY108" i="3"/>
  <c r="CZ108" i="3"/>
  <c r="DB108" i="3" s="1"/>
  <c r="DA108" i="3"/>
  <c r="DC108" i="3"/>
  <c r="A109" i="3"/>
  <c r="CY109" i="3"/>
  <c r="CZ109" i="3"/>
  <c r="DA109" i="3"/>
  <c r="DB109" i="3"/>
  <c r="DC109" i="3"/>
  <c r="A110" i="3"/>
  <c r="CY110" i="3"/>
  <c r="CZ110" i="3"/>
  <c r="DA110" i="3"/>
  <c r="DB110" i="3"/>
  <c r="DC110" i="3"/>
  <c r="A111" i="3"/>
  <c r="CY111" i="3"/>
  <c r="CZ111" i="3"/>
  <c r="DB111" i="3" s="1"/>
  <c r="DA111" i="3"/>
  <c r="DC111" i="3"/>
  <c r="A112" i="3"/>
  <c r="CY112" i="3"/>
  <c r="CZ112" i="3"/>
  <c r="DB112" i="3" s="1"/>
  <c r="DA112" i="3"/>
  <c r="DC112" i="3"/>
  <c r="A113" i="3"/>
  <c r="CY113" i="3"/>
  <c r="CZ113" i="3"/>
  <c r="DA113" i="3"/>
  <c r="DB113" i="3"/>
  <c r="DC113" i="3"/>
  <c r="A114" i="3"/>
  <c r="CY114" i="3"/>
  <c r="CZ114" i="3"/>
  <c r="DA114" i="3"/>
  <c r="DB114" i="3"/>
  <c r="DC114" i="3"/>
  <c r="A115" i="3"/>
  <c r="CY115" i="3"/>
  <c r="CZ115" i="3"/>
  <c r="DB115" i="3" s="1"/>
  <c r="DA115" i="3"/>
  <c r="DC115" i="3"/>
  <c r="A116" i="3"/>
  <c r="CY116" i="3"/>
  <c r="CZ116" i="3"/>
  <c r="DB116" i="3" s="1"/>
  <c r="DA116" i="3"/>
  <c r="DC116" i="3"/>
  <c r="A117" i="3"/>
  <c r="CY117" i="3"/>
  <c r="CZ117" i="3"/>
  <c r="DA117" i="3"/>
  <c r="DB117" i="3"/>
  <c r="DC117" i="3"/>
  <c r="A118" i="3"/>
  <c r="CY118" i="3"/>
  <c r="CZ118" i="3"/>
  <c r="DA118" i="3"/>
  <c r="DB118" i="3"/>
  <c r="DC118" i="3"/>
  <c r="A119" i="3"/>
  <c r="CY119" i="3"/>
  <c r="CZ119" i="3"/>
  <c r="DB119" i="3" s="1"/>
  <c r="DA119" i="3"/>
  <c r="DC119" i="3"/>
  <c r="A120" i="3"/>
  <c r="CY120" i="3"/>
  <c r="CZ120" i="3"/>
  <c r="DB120" i="3" s="1"/>
  <c r="DA120" i="3"/>
  <c r="DC120" i="3"/>
  <c r="A121" i="3"/>
  <c r="CY121" i="3"/>
  <c r="CZ121" i="3"/>
  <c r="DA121" i="3"/>
  <c r="DB121" i="3"/>
  <c r="DC121" i="3"/>
  <c r="A122" i="3"/>
  <c r="CY122" i="3"/>
  <c r="CZ122" i="3"/>
  <c r="DA122" i="3"/>
  <c r="DB122" i="3"/>
  <c r="DC122" i="3"/>
  <c r="A123" i="3"/>
  <c r="CY123" i="3"/>
  <c r="CZ123" i="3"/>
  <c r="DB123" i="3" s="1"/>
  <c r="DA123" i="3"/>
  <c r="DC123" i="3"/>
  <c r="A124" i="3"/>
  <c r="CY124" i="3"/>
  <c r="CZ124" i="3"/>
  <c r="DB124" i="3" s="1"/>
  <c r="DA124" i="3"/>
  <c r="DC124" i="3"/>
  <c r="A125" i="3"/>
  <c r="CY125" i="3"/>
  <c r="CZ125" i="3"/>
  <c r="DA125" i="3"/>
  <c r="DB125" i="3"/>
  <c r="DC125" i="3"/>
  <c r="A126" i="3"/>
  <c r="CY126" i="3"/>
  <c r="CZ126" i="3"/>
  <c r="DA126" i="3"/>
  <c r="DB126" i="3"/>
  <c r="DC126" i="3"/>
  <c r="A127" i="3"/>
  <c r="CY127" i="3"/>
  <c r="CZ127" i="3"/>
  <c r="DB127" i="3" s="1"/>
  <c r="DA127" i="3"/>
  <c r="DC127" i="3"/>
  <c r="A128" i="3"/>
  <c r="CY128" i="3"/>
  <c r="CZ128" i="3"/>
  <c r="DB128" i="3" s="1"/>
  <c r="DA128" i="3"/>
  <c r="DC128" i="3"/>
  <c r="A129" i="3"/>
  <c r="CY129" i="3"/>
  <c r="CZ129" i="3"/>
  <c r="DA129" i="3"/>
  <c r="DB129" i="3"/>
  <c r="DC129" i="3"/>
  <c r="A130" i="3"/>
  <c r="CY130" i="3"/>
  <c r="CZ130" i="3"/>
  <c r="DA130" i="3"/>
  <c r="DB130" i="3"/>
  <c r="DC130" i="3"/>
  <c r="A131" i="3"/>
  <c r="CY131" i="3"/>
  <c r="CZ131" i="3"/>
  <c r="DB131" i="3" s="1"/>
  <c r="DA131" i="3"/>
  <c r="DC131" i="3"/>
  <c r="A132" i="3"/>
  <c r="CY132" i="3"/>
  <c r="CZ132" i="3"/>
  <c r="DB132" i="3" s="1"/>
  <c r="DA132" i="3"/>
  <c r="DC132" i="3"/>
  <c r="A133" i="3"/>
  <c r="CY133" i="3"/>
  <c r="CZ133" i="3"/>
  <c r="DA133" i="3"/>
  <c r="DB133" i="3"/>
  <c r="DC133" i="3"/>
  <c r="A134" i="3"/>
  <c r="CY134" i="3"/>
  <c r="CZ134" i="3"/>
  <c r="DA134" i="3"/>
  <c r="DB134" i="3"/>
  <c r="DC134" i="3"/>
  <c r="A135" i="3"/>
  <c r="CY135" i="3"/>
  <c r="CZ135" i="3"/>
  <c r="DB135" i="3" s="1"/>
  <c r="DA135" i="3"/>
  <c r="DC135" i="3"/>
  <c r="A136" i="3"/>
  <c r="CY136" i="3"/>
  <c r="CZ136" i="3"/>
  <c r="DB136" i="3" s="1"/>
  <c r="DA136" i="3"/>
  <c r="DC136" i="3"/>
  <c r="A137" i="3"/>
  <c r="CY137" i="3"/>
  <c r="CZ137" i="3"/>
  <c r="DA137" i="3"/>
  <c r="DB137" i="3"/>
  <c r="DC137" i="3"/>
  <c r="A138" i="3"/>
  <c r="CY138" i="3"/>
  <c r="CZ138" i="3"/>
  <c r="DA138" i="3"/>
  <c r="DB138" i="3"/>
  <c r="DC138" i="3"/>
  <c r="A139" i="3"/>
  <c r="CY139" i="3"/>
  <c r="CZ139" i="3"/>
  <c r="DB139" i="3" s="1"/>
  <c r="DA139" i="3"/>
  <c r="DC139" i="3"/>
  <c r="A140" i="3"/>
  <c r="CY140" i="3"/>
  <c r="CZ140" i="3"/>
  <c r="DB140" i="3" s="1"/>
  <c r="DA140" i="3"/>
  <c r="DC140" i="3"/>
  <c r="A141" i="3"/>
  <c r="CY141" i="3"/>
  <c r="CZ141" i="3"/>
  <c r="DA141" i="3"/>
  <c r="DB141" i="3"/>
  <c r="DC141" i="3"/>
  <c r="A142" i="3"/>
  <c r="CY142" i="3"/>
  <c r="CZ142" i="3"/>
  <c r="DA142" i="3"/>
  <c r="DB142" i="3"/>
  <c r="DC142" i="3"/>
  <c r="A143" i="3"/>
  <c r="CY143" i="3"/>
  <c r="CZ143" i="3"/>
  <c r="DB143" i="3" s="1"/>
  <c r="DA143" i="3"/>
  <c r="DC143" i="3"/>
  <c r="A144" i="3"/>
  <c r="CY144" i="3"/>
  <c r="CZ144" i="3"/>
  <c r="DB144" i="3" s="1"/>
  <c r="DA144" i="3"/>
  <c r="DC144" i="3"/>
  <c r="A145" i="3"/>
  <c r="CY145" i="3"/>
  <c r="CZ145" i="3"/>
  <c r="DA145" i="3"/>
  <c r="DB145" i="3"/>
  <c r="DC145" i="3"/>
  <c r="A146" i="3"/>
  <c r="CY146" i="3"/>
  <c r="CZ146" i="3"/>
  <c r="DA146" i="3"/>
  <c r="DB146" i="3"/>
  <c r="DC146" i="3"/>
  <c r="A147" i="3"/>
  <c r="CY147" i="3"/>
  <c r="CZ147" i="3"/>
  <c r="DB147" i="3" s="1"/>
  <c r="DA147" i="3"/>
  <c r="DC147" i="3"/>
  <c r="A148" i="3"/>
  <c r="CY148" i="3"/>
  <c r="CZ148" i="3"/>
  <c r="DA148" i="3"/>
  <c r="DB148" i="3"/>
  <c r="DC148" i="3"/>
  <c r="A149" i="3"/>
  <c r="CY149" i="3"/>
  <c r="CZ149" i="3"/>
  <c r="DA149" i="3"/>
  <c r="DB149" i="3"/>
  <c r="DC149" i="3"/>
  <c r="A150" i="3"/>
  <c r="CY150" i="3"/>
  <c r="CZ150" i="3"/>
  <c r="DB150" i="3" s="1"/>
  <c r="DA150" i="3"/>
  <c r="DC150" i="3"/>
  <c r="A151" i="3"/>
  <c r="CY151" i="3"/>
  <c r="CZ151" i="3"/>
  <c r="DB151" i="3" s="1"/>
  <c r="DA151" i="3"/>
  <c r="DC151" i="3"/>
  <c r="A152" i="3"/>
  <c r="CY152" i="3"/>
  <c r="CZ152" i="3"/>
  <c r="DB152" i="3" s="1"/>
  <c r="DA152" i="3"/>
  <c r="DC152" i="3"/>
  <c r="A153" i="3"/>
  <c r="CY153" i="3"/>
  <c r="CZ153" i="3"/>
  <c r="DA153" i="3"/>
  <c r="DB153" i="3"/>
  <c r="DC153" i="3"/>
  <c r="A154" i="3"/>
  <c r="CY154" i="3"/>
  <c r="CZ154" i="3"/>
  <c r="DA154" i="3"/>
  <c r="DB154" i="3"/>
  <c r="DC154" i="3"/>
  <c r="A155" i="3"/>
  <c r="CY155" i="3"/>
  <c r="CZ155" i="3"/>
  <c r="DB155" i="3" s="1"/>
  <c r="DA155" i="3"/>
  <c r="DC155" i="3"/>
  <c r="A156" i="3"/>
  <c r="CY156" i="3"/>
  <c r="CZ156" i="3"/>
  <c r="DA156" i="3"/>
  <c r="DB156" i="3"/>
  <c r="DC156" i="3"/>
  <c r="A157" i="3"/>
  <c r="CY157" i="3"/>
  <c r="CZ157" i="3"/>
  <c r="DA157" i="3"/>
  <c r="DB157" i="3"/>
  <c r="DC157" i="3"/>
  <c r="A158" i="3"/>
  <c r="CY158" i="3"/>
  <c r="CZ158" i="3"/>
  <c r="DB158" i="3" s="1"/>
  <c r="DA158" i="3"/>
  <c r="DC158" i="3"/>
  <c r="A159" i="3"/>
  <c r="CY159" i="3"/>
  <c r="CZ159" i="3"/>
  <c r="DB159" i="3" s="1"/>
  <c r="DA159" i="3"/>
  <c r="DC159" i="3"/>
  <c r="A160" i="3"/>
  <c r="CY160" i="3"/>
  <c r="CZ160" i="3"/>
  <c r="DB160" i="3" s="1"/>
  <c r="DA160" i="3"/>
  <c r="DC160" i="3"/>
  <c r="A161" i="3"/>
  <c r="CY161" i="3"/>
  <c r="CZ161" i="3"/>
  <c r="DA161" i="3"/>
  <c r="DB161" i="3"/>
  <c r="DC161" i="3"/>
  <c r="A162" i="3"/>
  <c r="CY162" i="3"/>
  <c r="CZ162" i="3"/>
  <c r="DA162" i="3"/>
  <c r="DB162" i="3"/>
  <c r="DC162" i="3"/>
  <c r="A163" i="3"/>
  <c r="CY163" i="3"/>
  <c r="CZ163" i="3"/>
  <c r="DB163" i="3" s="1"/>
  <c r="DA163" i="3"/>
  <c r="DC163" i="3"/>
  <c r="A164" i="3"/>
  <c r="CY164" i="3"/>
  <c r="CZ164" i="3"/>
  <c r="DA164" i="3"/>
  <c r="DB164" i="3"/>
  <c r="DC164" i="3"/>
  <c r="A165" i="3"/>
  <c r="CY165" i="3"/>
  <c r="CZ165" i="3"/>
  <c r="DA165" i="3"/>
  <c r="DB165" i="3"/>
  <c r="DC165" i="3"/>
  <c r="A166" i="3"/>
  <c r="CY166" i="3"/>
  <c r="CZ166" i="3"/>
  <c r="DB166" i="3" s="1"/>
  <c r="DA166" i="3"/>
  <c r="DC166" i="3"/>
  <c r="A167" i="3"/>
  <c r="CY167" i="3"/>
  <c r="CZ167" i="3"/>
  <c r="DB167" i="3" s="1"/>
  <c r="DA167" i="3"/>
  <c r="DC167" i="3"/>
  <c r="A168" i="3"/>
  <c r="CY168" i="3"/>
  <c r="CZ168" i="3"/>
  <c r="DB168" i="3" s="1"/>
  <c r="DA168" i="3"/>
  <c r="DC168" i="3"/>
  <c r="A169" i="3"/>
  <c r="CY169" i="3"/>
  <c r="CZ169" i="3"/>
  <c r="DA169" i="3"/>
  <c r="DB169" i="3"/>
  <c r="DC169" i="3"/>
  <c r="A170" i="3"/>
  <c r="CY170" i="3"/>
  <c r="CZ170" i="3"/>
  <c r="DA170" i="3"/>
  <c r="DB170" i="3"/>
  <c r="DC170" i="3"/>
  <c r="A171" i="3"/>
  <c r="CY171" i="3"/>
  <c r="CZ171" i="3"/>
  <c r="DB171" i="3" s="1"/>
  <c r="DA171" i="3"/>
  <c r="DC171" i="3"/>
  <c r="A172" i="3"/>
  <c r="CY172" i="3"/>
  <c r="CZ172" i="3"/>
  <c r="DA172" i="3"/>
  <c r="DB172" i="3"/>
  <c r="DC172" i="3"/>
  <c r="A173" i="3"/>
  <c r="CY173" i="3"/>
  <c r="CZ173" i="3"/>
  <c r="DA173" i="3"/>
  <c r="DB173" i="3"/>
  <c r="DC173" i="3"/>
  <c r="A174" i="3"/>
  <c r="CY174" i="3"/>
  <c r="CZ174" i="3"/>
  <c r="DB174" i="3" s="1"/>
  <c r="DA174" i="3"/>
  <c r="DC174" i="3"/>
  <c r="A175" i="3"/>
  <c r="CY175" i="3"/>
  <c r="CZ175" i="3"/>
  <c r="DB175" i="3" s="1"/>
  <c r="DA175" i="3"/>
  <c r="DC175" i="3"/>
  <c r="A176" i="3"/>
  <c r="CY176" i="3"/>
  <c r="CZ176" i="3"/>
  <c r="DB176" i="3" s="1"/>
  <c r="DA176" i="3"/>
  <c r="DC176" i="3"/>
  <c r="A177" i="3"/>
  <c r="CY177" i="3"/>
  <c r="CZ177" i="3"/>
  <c r="DB177" i="3" s="1"/>
  <c r="DA177" i="3"/>
  <c r="DC177" i="3"/>
  <c r="A178" i="3"/>
  <c r="CY178" i="3"/>
  <c r="CZ178" i="3"/>
  <c r="DA178" i="3"/>
  <c r="DB178" i="3"/>
  <c r="DC178" i="3"/>
  <c r="A179" i="3"/>
  <c r="CY179" i="3"/>
  <c r="CZ179" i="3"/>
  <c r="DA179" i="3"/>
  <c r="DB179" i="3"/>
  <c r="DC179" i="3"/>
  <c r="A180" i="3"/>
  <c r="CY180" i="3"/>
  <c r="CZ180" i="3"/>
  <c r="DB180" i="3" s="1"/>
  <c r="DA180" i="3"/>
  <c r="DC180" i="3"/>
  <c r="A181" i="3"/>
  <c r="CY181" i="3"/>
  <c r="CZ181" i="3"/>
  <c r="DB181" i="3" s="1"/>
  <c r="DA181" i="3"/>
  <c r="DC181" i="3"/>
  <c r="A182" i="3"/>
  <c r="CY182" i="3"/>
  <c r="CZ182" i="3"/>
  <c r="DA182" i="3"/>
  <c r="DB182" i="3"/>
  <c r="DC182" i="3"/>
  <c r="A183" i="3"/>
  <c r="CY183" i="3"/>
  <c r="CZ183" i="3"/>
  <c r="DA183" i="3"/>
  <c r="DB183" i="3"/>
  <c r="DC183" i="3"/>
  <c r="A184" i="3"/>
  <c r="CY184" i="3"/>
  <c r="CZ184" i="3"/>
  <c r="DB184" i="3" s="1"/>
  <c r="DA184" i="3"/>
  <c r="DC184" i="3"/>
  <c r="A185" i="3"/>
  <c r="CY185" i="3"/>
  <c r="CZ185" i="3"/>
  <c r="DB185" i="3" s="1"/>
  <c r="DA185" i="3"/>
  <c r="DC185" i="3"/>
  <c r="A186" i="3"/>
  <c r="CY186" i="3"/>
  <c r="CZ186" i="3"/>
  <c r="DA186" i="3"/>
  <c r="DB186" i="3"/>
  <c r="DC186" i="3"/>
  <c r="A187" i="3"/>
  <c r="CY187" i="3"/>
  <c r="CZ187" i="3"/>
  <c r="DA187" i="3"/>
  <c r="DB187" i="3"/>
  <c r="DC187" i="3"/>
  <c r="A188" i="3"/>
  <c r="CY188" i="3"/>
  <c r="CZ188" i="3"/>
  <c r="DB188" i="3" s="1"/>
  <c r="DA188" i="3"/>
  <c r="DC188" i="3"/>
  <c r="A189" i="3"/>
  <c r="CY189" i="3"/>
  <c r="CZ189" i="3"/>
  <c r="DB189" i="3" s="1"/>
  <c r="DA189" i="3"/>
  <c r="DC189" i="3"/>
  <c r="A190" i="3"/>
  <c r="CY190" i="3"/>
  <c r="CZ190" i="3"/>
  <c r="DA190" i="3"/>
  <c r="DB190" i="3"/>
  <c r="DC190" i="3"/>
  <c r="A191" i="3"/>
  <c r="CY191" i="3"/>
  <c r="CZ191" i="3"/>
  <c r="DA191" i="3"/>
  <c r="DB191" i="3"/>
  <c r="DC191" i="3"/>
  <c r="A192" i="3"/>
  <c r="CY192" i="3"/>
  <c r="CZ192" i="3"/>
  <c r="DB192" i="3" s="1"/>
  <c r="DA192" i="3"/>
  <c r="DC192" i="3"/>
  <c r="A193" i="3"/>
  <c r="CY193" i="3"/>
  <c r="CZ193" i="3"/>
  <c r="DB193" i="3" s="1"/>
  <c r="DA193" i="3"/>
  <c r="DC193" i="3"/>
  <c r="A194" i="3"/>
  <c r="CY194" i="3"/>
  <c r="CZ194" i="3"/>
  <c r="DA194" i="3"/>
  <c r="DB194" i="3"/>
  <c r="DC194" i="3"/>
  <c r="A195" i="3"/>
  <c r="CY195" i="3"/>
  <c r="CZ195" i="3"/>
  <c r="DA195" i="3"/>
  <c r="DB195" i="3"/>
  <c r="DC195" i="3"/>
  <c r="A196" i="3"/>
  <c r="CY196" i="3"/>
  <c r="CZ196" i="3"/>
  <c r="DB196" i="3" s="1"/>
  <c r="DA196" i="3"/>
  <c r="DC196" i="3"/>
  <c r="A197" i="3"/>
  <c r="CY197" i="3"/>
  <c r="CZ197" i="3"/>
  <c r="DB197" i="3" s="1"/>
  <c r="DA197" i="3"/>
  <c r="DC197" i="3"/>
  <c r="A198" i="3"/>
  <c r="CY198" i="3"/>
  <c r="CZ198" i="3"/>
  <c r="DA198" i="3"/>
  <c r="DB198" i="3"/>
  <c r="DC198" i="3"/>
  <c r="A199" i="3"/>
  <c r="CY199" i="3"/>
  <c r="CZ199" i="3"/>
  <c r="DA199" i="3"/>
  <c r="DB199" i="3"/>
  <c r="DC199" i="3"/>
  <c r="A200" i="3"/>
  <c r="CX200" i="3"/>
  <c r="CY200" i="3"/>
  <c r="CZ200" i="3"/>
  <c r="DB200" i="3" s="1"/>
  <c r="DA200" i="3"/>
  <c r="DC200" i="3"/>
  <c r="A201" i="3"/>
  <c r="CX201" i="3"/>
  <c r="CY201" i="3"/>
  <c r="CZ201" i="3"/>
  <c r="DB201" i="3" s="1"/>
  <c r="DA201" i="3"/>
  <c r="DC201" i="3"/>
  <c r="A202" i="3"/>
  <c r="CY202" i="3"/>
  <c r="CZ202" i="3"/>
  <c r="DA202" i="3"/>
  <c r="DB202" i="3"/>
  <c r="DC202" i="3"/>
  <c r="A203" i="3"/>
  <c r="CY203" i="3"/>
  <c r="CZ203" i="3"/>
  <c r="DA203" i="3"/>
  <c r="DB203" i="3"/>
  <c r="DC203" i="3"/>
  <c r="A204" i="3"/>
  <c r="CY204" i="3"/>
  <c r="CZ204" i="3"/>
  <c r="DB204" i="3" s="1"/>
  <c r="DA204" i="3"/>
  <c r="DC204" i="3"/>
  <c r="A205" i="3"/>
  <c r="CY205" i="3"/>
  <c r="CZ205" i="3"/>
  <c r="DB205" i="3" s="1"/>
  <c r="DA205" i="3"/>
  <c r="DC205" i="3"/>
  <c r="A206" i="3"/>
  <c r="CY206" i="3"/>
  <c r="CZ206" i="3"/>
  <c r="DA206" i="3"/>
  <c r="DB206" i="3"/>
  <c r="DC206" i="3"/>
  <c r="A207" i="3"/>
  <c r="CY207" i="3"/>
  <c r="CZ207" i="3"/>
  <c r="DA207" i="3"/>
  <c r="DB207" i="3"/>
  <c r="DC207" i="3"/>
  <c r="A208" i="3"/>
  <c r="CY208" i="3"/>
  <c r="CZ208" i="3"/>
  <c r="DB208" i="3" s="1"/>
  <c r="DA208" i="3"/>
  <c r="DC208" i="3"/>
  <c r="A209" i="3"/>
  <c r="CY209" i="3"/>
  <c r="CZ209" i="3"/>
  <c r="DB209" i="3" s="1"/>
  <c r="DA209" i="3"/>
  <c r="DC209" i="3"/>
  <c r="A210" i="3"/>
  <c r="CY210" i="3"/>
  <c r="CZ210" i="3"/>
  <c r="DA210" i="3"/>
  <c r="DB210" i="3"/>
  <c r="DC210" i="3"/>
  <c r="A211" i="3"/>
  <c r="CY211" i="3"/>
  <c r="CZ211" i="3"/>
  <c r="DA211" i="3"/>
  <c r="DB211" i="3"/>
  <c r="DC211" i="3"/>
  <c r="A212" i="3"/>
  <c r="CY212" i="3"/>
  <c r="CZ212" i="3"/>
  <c r="DB212" i="3" s="1"/>
  <c r="DA212" i="3"/>
  <c r="DC212" i="3"/>
  <c r="A213" i="3"/>
  <c r="CY213" i="3"/>
  <c r="CZ213" i="3"/>
  <c r="DB213" i="3" s="1"/>
  <c r="DA213" i="3"/>
  <c r="DC213" i="3"/>
  <c r="A214" i="3"/>
  <c r="CY214" i="3"/>
  <c r="CZ214" i="3"/>
  <c r="DA214" i="3"/>
  <c r="DB214" i="3"/>
  <c r="DC214" i="3"/>
  <c r="A215" i="3"/>
  <c r="CY215" i="3"/>
  <c r="CZ215" i="3"/>
  <c r="DA215" i="3"/>
  <c r="DB215" i="3"/>
  <c r="DC215" i="3"/>
  <c r="A216" i="3"/>
  <c r="CX216" i="3"/>
  <c r="CY216" i="3"/>
  <c r="CZ216" i="3"/>
  <c r="DB216" i="3" s="1"/>
  <c r="DA216" i="3"/>
  <c r="DC216" i="3"/>
  <c r="A217" i="3"/>
  <c r="CX217" i="3"/>
  <c r="CY217" i="3"/>
  <c r="CZ217" i="3"/>
  <c r="DB217" i="3" s="1"/>
  <c r="DA217" i="3"/>
  <c r="DC217" i="3"/>
  <c r="A218" i="3"/>
  <c r="CX218" i="3"/>
  <c r="CY218" i="3"/>
  <c r="CZ218" i="3"/>
  <c r="DA218" i="3"/>
  <c r="DB218" i="3"/>
  <c r="DC218" i="3"/>
  <c r="A219" i="3"/>
  <c r="CX219" i="3"/>
  <c r="CY219" i="3"/>
  <c r="CZ219" i="3"/>
  <c r="DA219" i="3"/>
  <c r="DB219" i="3"/>
  <c r="DC219" i="3"/>
  <c r="A220" i="3"/>
  <c r="CX220" i="3"/>
  <c r="CY220" i="3"/>
  <c r="CZ220" i="3"/>
  <c r="DB220" i="3" s="1"/>
  <c r="DA220" i="3"/>
  <c r="DC220" i="3"/>
  <c r="A221" i="3"/>
  <c r="CX221" i="3"/>
  <c r="CY221" i="3"/>
  <c r="CZ221" i="3"/>
  <c r="DB221" i="3" s="1"/>
  <c r="DA221" i="3"/>
  <c r="DC221" i="3"/>
  <c r="A222" i="3"/>
  <c r="CX222" i="3"/>
  <c r="CY222" i="3"/>
  <c r="CZ222" i="3"/>
  <c r="DA222" i="3"/>
  <c r="DB222" i="3"/>
  <c r="DC222" i="3"/>
  <c r="A223" i="3"/>
  <c r="CX223" i="3"/>
  <c r="CY223" i="3"/>
  <c r="CZ223" i="3"/>
  <c r="DA223" i="3"/>
  <c r="DB223" i="3"/>
  <c r="DC223" i="3"/>
  <c r="A224" i="3"/>
  <c r="CY224" i="3"/>
  <c r="CZ224" i="3"/>
  <c r="DB224" i="3" s="1"/>
  <c r="DA224" i="3"/>
  <c r="DC224" i="3"/>
  <c r="A225" i="3"/>
  <c r="CY225" i="3"/>
  <c r="CZ225" i="3"/>
  <c r="DB225" i="3" s="1"/>
  <c r="DA225" i="3"/>
  <c r="DC225" i="3"/>
  <c r="A226" i="3"/>
  <c r="CY226" i="3"/>
  <c r="CZ226" i="3"/>
  <c r="DA226" i="3"/>
  <c r="DB226" i="3"/>
  <c r="DC226" i="3"/>
  <c r="A227" i="3"/>
  <c r="CY227" i="3"/>
  <c r="CZ227" i="3"/>
  <c r="DA227" i="3"/>
  <c r="DB227" i="3"/>
  <c r="DC227" i="3"/>
  <c r="A228" i="3"/>
  <c r="CY228" i="3"/>
  <c r="CZ228" i="3"/>
  <c r="DB228" i="3" s="1"/>
  <c r="DA228" i="3"/>
  <c r="DC228" i="3"/>
  <c r="A229" i="3"/>
  <c r="CY229" i="3"/>
  <c r="CZ229" i="3"/>
  <c r="DB229" i="3" s="1"/>
  <c r="DA229" i="3"/>
  <c r="DC229" i="3"/>
  <c r="A230" i="3"/>
  <c r="CY230" i="3"/>
  <c r="CZ230" i="3"/>
  <c r="DA230" i="3"/>
  <c r="DB230" i="3"/>
  <c r="DC230" i="3"/>
  <c r="A231" i="3"/>
  <c r="CY231" i="3"/>
  <c r="CZ231" i="3"/>
  <c r="DA231" i="3"/>
  <c r="DB231" i="3"/>
  <c r="DC231" i="3"/>
  <c r="A232" i="3"/>
  <c r="CY232" i="3"/>
  <c r="CZ232" i="3"/>
  <c r="DB232" i="3" s="1"/>
  <c r="DA232" i="3"/>
  <c r="DC232" i="3"/>
  <c r="A233" i="3"/>
  <c r="CY233" i="3"/>
  <c r="CZ233" i="3"/>
  <c r="DB233" i="3" s="1"/>
  <c r="DA233" i="3"/>
  <c r="DC233" i="3"/>
  <c r="A234" i="3"/>
  <c r="CY234" i="3"/>
  <c r="CZ234" i="3"/>
  <c r="DA234" i="3"/>
  <c r="DB234" i="3"/>
  <c r="DC234" i="3"/>
  <c r="A235" i="3"/>
  <c r="CY235" i="3"/>
  <c r="CZ235" i="3"/>
  <c r="DA235" i="3"/>
  <c r="DB235" i="3"/>
  <c r="DC235" i="3"/>
  <c r="A236" i="3"/>
  <c r="CY236" i="3"/>
  <c r="CZ236" i="3"/>
  <c r="DA236" i="3"/>
  <c r="DB236" i="3"/>
  <c r="DC236" i="3"/>
  <c r="A237" i="3"/>
  <c r="CY237" i="3"/>
  <c r="CZ237" i="3"/>
  <c r="DB237" i="3" s="1"/>
  <c r="DA237" i="3"/>
  <c r="DC237" i="3"/>
  <c r="A238" i="3"/>
  <c r="CY238" i="3"/>
  <c r="CZ238" i="3"/>
  <c r="DA238" i="3"/>
  <c r="DB238" i="3"/>
  <c r="DC238" i="3"/>
  <c r="A239" i="3"/>
  <c r="CY239" i="3"/>
  <c r="CZ239" i="3"/>
  <c r="DA239" i="3"/>
  <c r="DB239" i="3"/>
  <c r="DC239" i="3"/>
  <c r="A240" i="3"/>
  <c r="CY240" i="3"/>
  <c r="CZ240" i="3"/>
  <c r="DB240" i="3" s="1"/>
  <c r="DA240" i="3"/>
  <c r="DC240" i="3"/>
  <c r="A241" i="3"/>
  <c r="CY241" i="3"/>
  <c r="CZ241" i="3"/>
  <c r="DB241" i="3" s="1"/>
  <c r="DA241" i="3"/>
  <c r="DC241" i="3"/>
  <c r="A242" i="3"/>
  <c r="CY242" i="3"/>
  <c r="CZ242" i="3"/>
  <c r="DB242" i="3" s="1"/>
  <c r="DA242" i="3"/>
  <c r="DC242" i="3"/>
  <c r="A243" i="3"/>
  <c r="CY243" i="3"/>
  <c r="CZ243" i="3"/>
  <c r="DA243" i="3"/>
  <c r="DB243" i="3"/>
  <c r="DC243" i="3"/>
  <c r="A244" i="3"/>
  <c r="CY244" i="3"/>
  <c r="CZ244" i="3"/>
  <c r="DB244" i="3" s="1"/>
  <c r="DA244" i="3"/>
  <c r="DC244" i="3"/>
  <c r="A245" i="3"/>
  <c r="CY245" i="3"/>
  <c r="CZ245" i="3"/>
  <c r="DB245" i="3" s="1"/>
  <c r="DA245" i="3"/>
  <c r="DC245" i="3"/>
  <c r="A246" i="3"/>
  <c r="CX246" i="3"/>
  <c r="CY246" i="3"/>
  <c r="CZ246" i="3"/>
  <c r="DB246" i="3" s="1"/>
  <c r="DA246" i="3"/>
  <c r="DC246" i="3"/>
  <c r="A247" i="3"/>
  <c r="CX247" i="3"/>
  <c r="CY247" i="3"/>
  <c r="CZ247" i="3"/>
  <c r="DA247" i="3"/>
  <c r="DB247" i="3"/>
  <c r="DC247" i="3"/>
  <c r="A248" i="3"/>
  <c r="CX248" i="3"/>
  <c r="CY248" i="3"/>
  <c r="CZ248" i="3"/>
  <c r="DA248" i="3"/>
  <c r="DB248" i="3"/>
  <c r="DC248" i="3"/>
  <c r="A249" i="3"/>
  <c r="CX249" i="3"/>
  <c r="CY249" i="3"/>
  <c r="CZ249" i="3"/>
  <c r="DB249" i="3" s="1"/>
  <c r="DA249" i="3"/>
  <c r="DC249" i="3"/>
  <c r="A250" i="3"/>
  <c r="CX250" i="3"/>
  <c r="CY250" i="3"/>
  <c r="CZ250" i="3"/>
  <c r="DB250" i="3" s="1"/>
  <c r="DA250" i="3"/>
  <c r="DC250" i="3"/>
  <c r="A251" i="3"/>
  <c r="CX251" i="3"/>
  <c r="CY251" i="3"/>
  <c r="CZ251" i="3"/>
  <c r="DA251" i="3"/>
  <c r="DB251" i="3"/>
  <c r="DC251" i="3"/>
  <c r="A252" i="3"/>
  <c r="CX252" i="3"/>
  <c r="CY252" i="3"/>
  <c r="CZ252" i="3"/>
  <c r="DA252" i="3"/>
  <c r="DB252" i="3"/>
  <c r="DC252" i="3"/>
  <c r="A253" i="3"/>
  <c r="CX253" i="3"/>
  <c r="CY253" i="3"/>
  <c r="CZ253" i="3"/>
  <c r="DB253" i="3" s="1"/>
  <c r="DA253" i="3"/>
  <c r="DC253" i="3"/>
  <c r="A254" i="3"/>
  <c r="CX254" i="3"/>
  <c r="CY254" i="3"/>
  <c r="CZ254" i="3"/>
  <c r="DA254" i="3"/>
  <c r="DB254" i="3"/>
  <c r="DC254" i="3"/>
  <c r="A255" i="3"/>
  <c r="CX255" i="3"/>
  <c r="CY255" i="3"/>
  <c r="CZ255" i="3"/>
  <c r="DA255" i="3"/>
  <c r="DB255" i="3"/>
  <c r="DC255" i="3"/>
  <c r="A256" i="3"/>
  <c r="CX256" i="3"/>
  <c r="CY256" i="3"/>
  <c r="CZ256" i="3"/>
  <c r="DB256" i="3" s="1"/>
  <c r="DA256" i="3"/>
  <c r="DC256" i="3"/>
  <c r="A257" i="3"/>
  <c r="CX257" i="3"/>
  <c r="CY257" i="3"/>
  <c r="CZ257" i="3"/>
  <c r="DB257" i="3" s="1"/>
  <c r="DA257" i="3"/>
  <c r="DC257" i="3"/>
  <c r="A258" i="3"/>
  <c r="CX258" i="3"/>
  <c r="CY258" i="3"/>
  <c r="CZ258" i="3"/>
  <c r="DA258" i="3"/>
  <c r="DB258" i="3"/>
  <c r="DC258" i="3"/>
  <c r="A259" i="3"/>
  <c r="CX259" i="3"/>
  <c r="CY259" i="3"/>
  <c r="CZ259" i="3"/>
  <c r="DA259" i="3"/>
  <c r="DB259" i="3"/>
  <c r="DC259" i="3"/>
  <c r="A260" i="3"/>
  <c r="CX260" i="3"/>
  <c r="CY260" i="3"/>
  <c r="CZ260" i="3"/>
  <c r="DB260" i="3" s="1"/>
  <c r="DA260" i="3"/>
  <c r="DC260" i="3"/>
  <c r="A261" i="3"/>
  <c r="CX261" i="3"/>
  <c r="CY261" i="3"/>
  <c r="CZ261" i="3"/>
  <c r="DB261" i="3" s="1"/>
  <c r="DA261" i="3"/>
  <c r="DC261" i="3"/>
  <c r="A262" i="3"/>
  <c r="CX262" i="3"/>
  <c r="CY262" i="3"/>
  <c r="CZ262" i="3"/>
  <c r="DB262" i="3" s="1"/>
  <c r="DA262" i="3"/>
  <c r="DC262" i="3"/>
  <c r="A263" i="3"/>
  <c r="CX263" i="3"/>
  <c r="CY263" i="3"/>
  <c r="CZ263" i="3"/>
  <c r="DA263" i="3"/>
  <c r="DB263" i="3"/>
  <c r="DC263" i="3"/>
  <c r="A264" i="3"/>
  <c r="CX264" i="3"/>
  <c r="CY264" i="3"/>
  <c r="CZ264" i="3"/>
  <c r="DA264" i="3"/>
  <c r="DB264" i="3"/>
  <c r="DC264" i="3"/>
  <c r="A265" i="3"/>
  <c r="CX265" i="3"/>
  <c r="CY265" i="3"/>
  <c r="CZ265" i="3"/>
  <c r="DB265" i="3" s="1"/>
  <c r="DA265" i="3"/>
  <c r="DC265" i="3"/>
  <c r="A266" i="3"/>
  <c r="CX266" i="3"/>
  <c r="CY266" i="3"/>
  <c r="CZ266" i="3"/>
  <c r="DB266" i="3" s="1"/>
  <c r="DA266" i="3"/>
  <c r="DC266" i="3"/>
  <c r="A267" i="3"/>
  <c r="CX267" i="3"/>
  <c r="CY267" i="3"/>
  <c r="CZ267" i="3"/>
  <c r="DA267" i="3"/>
  <c r="DB267" i="3"/>
  <c r="DC267" i="3"/>
  <c r="A268" i="3"/>
  <c r="CX268" i="3"/>
  <c r="CY268" i="3"/>
  <c r="CZ268" i="3"/>
  <c r="DA268" i="3"/>
  <c r="DB268" i="3"/>
  <c r="DC268" i="3"/>
  <c r="A269" i="3"/>
  <c r="CX269" i="3"/>
  <c r="CY269" i="3"/>
  <c r="CZ269" i="3"/>
  <c r="DB269" i="3" s="1"/>
  <c r="DA269" i="3"/>
  <c r="DC269" i="3"/>
  <c r="A270" i="3"/>
  <c r="CX270" i="3"/>
  <c r="CY270" i="3"/>
  <c r="CZ270" i="3"/>
  <c r="DA270" i="3"/>
  <c r="DB270" i="3"/>
  <c r="DC270" i="3"/>
  <c r="A271" i="3"/>
  <c r="CX271" i="3"/>
  <c r="CY271" i="3"/>
  <c r="CZ271" i="3"/>
  <c r="DA271" i="3"/>
  <c r="DB271" i="3"/>
  <c r="DC271" i="3"/>
  <c r="A272" i="3"/>
  <c r="CX272" i="3"/>
  <c r="CY272" i="3"/>
  <c r="CZ272" i="3"/>
  <c r="DB272" i="3" s="1"/>
  <c r="DA272" i="3"/>
  <c r="DC272" i="3"/>
  <c r="A273" i="3"/>
  <c r="CX273" i="3"/>
  <c r="CY273" i="3"/>
  <c r="CZ273" i="3"/>
  <c r="DB273" i="3" s="1"/>
  <c r="DA273" i="3"/>
  <c r="DC273" i="3"/>
  <c r="A274" i="3"/>
  <c r="CX274" i="3"/>
  <c r="CY274" i="3"/>
  <c r="CZ274" i="3"/>
  <c r="DA274" i="3"/>
  <c r="DB274" i="3"/>
  <c r="DC274" i="3"/>
  <c r="A275" i="3"/>
  <c r="CX275" i="3"/>
  <c r="CY275" i="3"/>
  <c r="CZ275" i="3"/>
  <c r="DA275" i="3"/>
  <c r="DB275" i="3"/>
  <c r="DC275" i="3"/>
  <c r="A276" i="3"/>
  <c r="CY276" i="3"/>
  <c r="CZ276" i="3"/>
  <c r="DB276" i="3" s="1"/>
  <c r="DA276" i="3"/>
  <c r="DC276" i="3"/>
  <c r="A277" i="3"/>
  <c r="CY277" i="3"/>
  <c r="CZ277" i="3"/>
  <c r="DB277" i="3" s="1"/>
  <c r="DA277" i="3"/>
  <c r="DC277" i="3"/>
  <c r="A278" i="3"/>
  <c r="CY278" i="3"/>
  <c r="CZ278" i="3"/>
  <c r="DB278" i="3" s="1"/>
  <c r="DA278" i="3"/>
  <c r="DC278" i="3"/>
  <c r="A279" i="3"/>
  <c r="CY279" i="3"/>
  <c r="CZ279" i="3"/>
  <c r="DA279" i="3"/>
  <c r="DB279" i="3"/>
  <c r="DC279" i="3"/>
  <c r="A280" i="3"/>
  <c r="CY280" i="3"/>
  <c r="CZ280" i="3"/>
  <c r="DB280" i="3" s="1"/>
  <c r="DA280" i="3"/>
  <c r="DC280" i="3"/>
  <c r="A281" i="3"/>
  <c r="CY281" i="3"/>
  <c r="CZ281" i="3"/>
  <c r="DB281" i="3" s="1"/>
  <c r="DA281" i="3"/>
  <c r="DC281" i="3"/>
  <c r="A282" i="3"/>
  <c r="CY282" i="3"/>
  <c r="CZ282" i="3"/>
  <c r="DB282" i="3" s="1"/>
  <c r="DA282" i="3"/>
  <c r="DC282" i="3"/>
  <c r="A283" i="3"/>
  <c r="CY283" i="3"/>
  <c r="CZ283" i="3"/>
  <c r="DA283" i="3"/>
  <c r="DB283" i="3"/>
  <c r="DC283" i="3"/>
  <c r="A284" i="3"/>
  <c r="CY284" i="3"/>
  <c r="CZ284" i="3"/>
  <c r="DA284" i="3"/>
  <c r="DB284" i="3"/>
  <c r="DC284" i="3"/>
  <c r="A285" i="3"/>
  <c r="CY285" i="3"/>
  <c r="CZ285" i="3"/>
  <c r="DB285" i="3" s="1"/>
  <c r="DA285" i="3"/>
  <c r="DC285" i="3"/>
  <c r="A286" i="3"/>
  <c r="CY286" i="3"/>
  <c r="CZ286" i="3"/>
  <c r="DA286" i="3"/>
  <c r="DB286" i="3"/>
  <c r="DC286" i="3"/>
  <c r="A287" i="3"/>
  <c r="CY287" i="3"/>
  <c r="CZ287" i="3"/>
  <c r="DA287" i="3"/>
  <c r="DB287" i="3"/>
  <c r="DC287" i="3"/>
  <c r="A288" i="3"/>
  <c r="CX288" i="3"/>
  <c r="CY288" i="3"/>
  <c r="CZ288" i="3"/>
  <c r="DA288" i="3"/>
  <c r="DB288" i="3"/>
  <c r="DC288" i="3"/>
  <c r="A289" i="3"/>
  <c r="CX289" i="3"/>
  <c r="CY289" i="3"/>
  <c r="CZ289" i="3"/>
  <c r="DB289" i="3" s="1"/>
  <c r="DA289" i="3"/>
  <c r="DC289" i="3"/>
  <c r="A290" i="3"/>
  <c r="CX290" i="3"/>
  <c r="CY290" i="3"/>
  <c r="CZ290" i="3"/>
  <c r="DB290" i="3" s="1"/>
  <c r="DA290" i="3"/>
  <c r="DC290" i="3"/>
  <c r="A291" i="3"/>
  <c r="CX291" i="3"/>
  <c r="CY291" i="3"/>
  <c r="CZ291" i="3"/>
  <c r="DA291" i="3"/>
  <c r="DB291" i="3"/>
  <c r="DC291" i="3"/>
  <c r="A292" i="3"/>
  <c r="CX292" i="3"/>
  <c r="CY292" i="3"/>
  <c r="CZ292" i="3"/>
  <c r="DA292" i="3"/>
  <c r="DB292" i="3"/>
  <c r="DC292" i="3"/>
  <c r="A293" i="3"/>
  <c r="CX293" i="3"/>
  <c r="CY293" i="3"/>
  <c r="CZ293" i="3"/>
  <c r="DB293" i="3" s="1"/>
  <c r="DA293" i="3"/>
  <c r="DC293" i="3"/>
  <c r="A294" i="3"/>
  <c r="CY294" i="3"/>
  <c r="CZ294" i="3"/>
  <c r="DA294" i="3"/>
  <c r="DB294" i="3"/>
  <c r="DC294" i="3"/>
  <c r="A295" i="3"/>
  <c r="CY295" i="3"/>
  <c r="CZ295" i="3"/>
  <c r="DA295" i="3"/>
  <c r="DB295" i="3"/>
  <c r="DC295" i="3"/>
  <c r="A296" i="3"/>
  <c r="CY296" i="3"/>
  <c r="CZ296" i="3"/>
  <c r="DB296" i="3" s="1"/>
  <c r="DA296" i="3"/>
  <c r="DC296" i="3"/>
  <c r="A297" i="3"/>
  <c r="CY297" i="3"/>
  <c r="CZ297" i="3"/>
  <c r="DB297" i="3" s="1"/>
  <c r="DA297" i="3"/>
  <c r="DC297" i="3"/>
  <c r="A298" i="3"/>
  <c r="CY298" i="3"/>
  <c r="CZ298" i="3"/>
  <c r="DB298" i="3" s="1"/>
  <c r="DA298" i="3"/>
  <c r="DC298" i="3"/>
  <c r="A299" i="3"/>
  <c r="CY299" i="3"/>
  <c r="CZ299" i="3"/>
  <c r="DA299" i="3"/>
  <c r="DB299" i="3"/>
  <c r="DC299" i="3"/>
  <c r="A300" i="3"/>
  <c r="CY300" i="3"/>
  <c r="CZ300" i="3"/>
  <c r="DA300" i="3"/>
  <c r="DB300" i="3"/>
  <c r="DC300" i="3"/>
  <c r="A301" i="3"/>
  <c r="CY301" i="3"/>
  <c r="CZ301" i="3"/>
  <c r="DB301" i="3" s="1"/>
  <c r="DA301" i="3"/>
  <c r="DC301" i="3"/>
  <c r="A302" i="3"/>
  <c r="CY302" i="3"/>
  <c r="CZ302" i="3"/>
  <c r="DA302" i="3"/>
  <c r="DB302" i="3"/>
  <c r="DC302" i="3"/>
  <c r="A303" i="3"/>
  <c r="CY303" i="3"/>
  <c r="CZ303" i="3"/>
  <c r="DA303" i="3"/>
  <c r="DB303" i="3"/>
  <c r="DC303" i="3"/>
  <c r="A304" i="3"/>
  <c r="CY304" i="3"/>
  <c r="CZ304" i="3"/>
  <c r="DB304" i="3" s="1"/>
  <c r="DA304" i="3"/>
  <c r="DC304" i="3"/>
  <c r="A305" i="3"/>
  <c r="CY305" i="3"/>
  <c r="CZ305" i="3"/>
  <c r="DB305" i="3" s="1"/>
  <c r="DA305" i="3"/>
  <c r="DC305" i="3"/>
  <c r="A306" i="3"/>
  <c r="CY306" i="3"/>
  <c r="CZ306" i="3"/>
  <c r="DB306" i="3" s="1"/>
  <c r="DA306" i="3"/>
  <c r="DC306" i="3"/>
  <c r="A307" i="3"/>
  <c r="CY307" i="3"/>
  <c r="CZ307" i="3"/>
  <c r="DA307" i="3"/>
  <c r="DB307" i="3"/>
  <c r="DC307" i="3"/>
  <c r="A308" i="3"/>
  <c r="CY308" i="3"/>
  <c r="CZ308" i="3"/>
  <c r="DA308" i="3"/>
  <c r="DB308" i="3"/>
  <c r="DC308" i="3"/>
  <c r="A309" i="3"/>
  <c r="CY309" i="3"/>
  <c r="CZ309" i="3"/>
  <c r="DB309" i="3" s="1"/>
  <c r="DA309" i="3"/>
  <c r="DC309" i="3"/>
  <c r="A310" i="3"/>
  <c r="CY310" i="3"/>
  <c r="CZ310" i="3"/>
  <c r="DA310" i="3"/>
  <c r="DB310" i="3"/>
  <c r="DC310" i="3"/>
  <c r="A311" i="3"/>
  <c r="CY311" i="3"/>
  <c r="CZ311" i="3"/>
  <c r="DA311" i="3"/>
  <c r="DB311" i="3"/>
  <c r="DC311" i="3"/>
  <c r="A312" i="3"/>
  <c r="CY312" i="3"/>
  <c r="CZ312" i="3"/>
  <c r="DB312" i="3" s="1"/>
  <c r="DA312" i="3"/>
  <c r="DC312" i="3"/>
  <c r="A313" i="3"/>
  <c r="CY313" i="3"/>
  <c r="CZ313" i="3"/>
  <c r="DB313" i="3" s="1"/>
  <c r="DA313" i="3"/>
  <c r="DC313" i="3"/>
  <c r="A314" i="3"/>
  <c r="CY314" i="3"/>
  <c r="CZ314" i="3"/>
  <c r="DB314" i="3" s="1"/>
  <c r="DA314" i="3"/>
  <c r="DC314" i="3"/>
  <c r="A315" i="3"/>
  <c r="CY315" i="3"/>
  <c r="CZ315" i="3"/>
  <c r="DA315" i="3"/>
  <c r="DB315" i="3"/>
  <c r="DC315" i="3"/>
  <c r="A316" i="3"/>
  <c r="CY316" i="3"/>
  <c r="CZ316" i="3"/>
  <c r="DA316" i="3"/>
  <c r="DB316" i="3"/>
  <c r="DC316" i="3"/>
  <c r="A317" i="3"/>
  <c r="CY317" i="3"/>
  <c r="CZ317" i="3"/>
  <c r="DB317" i="3" s="1"/>
  <c r="DA317" i="3"/>
  <c r="DC317" i="3"/>
  <c r="A318" i="3"/>
  <c r="CY318" i="3"/>
  <c r="CZ318" i="3"/>
  <c r="DA318" i="3"/>
  <c r="DB318" i="3"/>
  <c r="DC318" i="3"/>
  <c r="A319" i="3"/>
  <c r="CY319" i="3"/>
  <c r="CZ319" i="3"/>
  <c r="DA319" i="3"/>
  <c r="DB319" i="3"/>
  <c r="DC319" i="3"/>
  <c r="A320" i="3"/>
  <c r="CY320" i="3"/>
  <c r="CZ320" i="3"/>
  <c r="DB320" i="3" s="1"/>
  <c r="DA320" i="3"/>
  <c r="DC320" i="3"/>
  <c r="A321" i="3"/>
  <c r="CY321" i="3"/>
  <c r="CZ321" i="3"/>
  <c r="DB321" i="3" s="1"/>
  <c r="DA321" i="3"/>
  <c r="DC321" i="3"/>
  <c r="A322" i="3"/>
  <c r="CY322" i="3"/>
  <c r="CZ322" i="3"/>
  <c r="DB322" i="3" s="1"/>
  <c r="DA322" i="3"/>
  <c r="DC322" i="3"/>
  <c r="A323" i="3"/>
  <c r="CY323" i="3"/>
  <c r="CZ323" i="3"/>
  <c r="DA323" i="3"/>
  <c r="DB323" i="3"/>
  <c r="DC323" i="3"/>
  <c r="A324" i="3"/>
  <c r="CY324" i="3"/>
  <c r="CZ324" i="3"/>
  <c r="DA324" i="3"/>
  <c r="DB324" i="3"/>
  <c r="DC324" i="3"/>
  <c r="A325" i="3"/>
  <c r="CY325" i="3"/>
  <c r="CZ325" i="3"/>
  <c r="DB325" i="3" s="1"/>
  <c r="DA325" i="3"/>
  <c r="DC325" i="3"/>
  <c r="A326" i="3"/>
  <c r="CY326" i="3"/>
  <c r="CZ326" i="3"/>
  <c r="DA326" i="3"/>
  <c r="DB326" i="3"/>
  <c r="DC326" i="3"/>
  <c r="A327" i="3"/>
  <c r="CY327" i="3"/>
  <c r="CZ327" i="3"/>
  <c r="DA327" i="3"/>
  <c r="DB327" i="3"/>
  <c r="DC327" i="3"/>
  <c r="A328" i="3"/>
  <c r="CY328" i="3"/>
  <c r="CZ328" i="3"/>
  <c r="DB328" i="3" s="1"/>
  <c r="DA328" i="3"/>
  <c r="DC328" i="3"/>
  <c r="A329" i="3"/>
  <c r="CY329" i="3"/>
  <c r="CZ329" i="3"/>
  <c r="DB329" i="3" s="1"/>
  <c r="DA329" i="3"/>
  <c r="DC329" i="3"/>
  <c r="A330" i="3"/>
  <c r="CY330" i="3"/>
  <c r="CZ330" i="3"/>
  <c r="DB330" i="3" s="1"/>
  <c r="DA330" i="3"/>
  <c r="DC330" i="3"/>
  <c r="A331" i="3"/>
  <c r="CY331" i="3"/>
  <c r="CZ331" i="3"/>
  <c r="DA331" i="3"/>
  <c r="DB331" i="3"/>
  <c r="DC331" i="3"/>
  <c r="A332" i="3"/>
  <c r="CY332" i="3"/>
  <c r="CZ332" i="3"/>
  <c r="DA332" i="3"/>
  <c r="DB332" i="3"/>
  <c r="DC332" i="3"/>
  <c r="A333" i="3"/>
  <c r="CY333" i="3"/>
  <c r="CZ333" i="3"/>
  <c r="DB333" i="3" s="1"/>
  <c r="DA333" i="3"/>
  <c r="DC333" i="3"/>
  <c r="A334" i="3"/>
  <c r="CY334" i="3"/>
  <c r="CZ334" i="3"/>
  <c r="DA334" i="3"/>
  <c r="DB334" i="3"/>
  <c r="DC334" i="3"/>
  <c r="A335" i="3"/>
  <c r="CY335" i="3"/>
  <c r="CZ335" i="3"/>
  <c r="DA335" i="3"/>
  <c r="DB335" i="3"/>
  <c r="DC335" i="3"/>
  <c r="A336" i="3"/>
  <c r="CY336" i="3"/>
  <c r="CZ336" i="3"/>
  <c r="DB336" i="3" s="1"/>
  <c r="DA336" i="3"/>
  <c r="DC336" i="3"/>
  <c r="A337" i="3"/>
  <c r="CY337" i="3"/>
  <c r="CZ337" i="3"/>
  <c r="DB337" i="3" s="1"/>
  <c r="DA337" i="3"/>
  <c r="DC337" i="3"/>
  <c r="A338" i="3"/>
  <c r="CY338" i="3"/>
  <c r="CZ338" i="3"/>
  <c r="DB338" i="3" s="1"/>
  <c r="DA338" i="3"/>
  <c r="DC338" i="3"/>
  <c r="A339" i="3"/>
  <c r="CY339" i="3"/>
  <c r="CZ339" i="3"/>
  <c r="DA339" i="3"/>
  <c r="DB339" i="3"/>
  <c r="DC339" i="3"/>
  <c r="A340" i="3"/>
  <c r="CY340" i="3"/>
  <c r="CZ340" i="3"/>
  <c r="DA340" i="3"/>
  <c r="DB340" i="3"/>
  <c r="DC340" i="3"/>
  <c r="A341" i="3"/>
  <c r="CY341" i="3"/>
  <c r="CZ341" i="3"/>
  <c r="DB341" i="3" s="1"/>
  <c r="DA341" i="3"/>
  <c r="DC341" i="3"/>
  <c r="A342" i="3"/>
  <c r="CY342" i="3"/>
  <c r="CZ342" i="3"/>
  <c r="DA342" i="3"/>
  <c r="DB342" i="3"/>
  <c r="DC342" i="3"/>
  <c r="A343" i="3"/>
  <c r="CY343" i="3"/>
  <c r="CZ343" i="3"/>
  <c r="DA343" i="3"/>
  <c r="DB343" i="3"/>
  <c r="DC343" i="3"/>
  <c r="A344" i="3"/>
  <c r="CY344" i="3"/>
  <c r="CZ344" i="3"/>
  <c r="DB344" i="3" s="1"/>
  <c r="DA344" i="3"/>
  <c r="DC344" i="3"/>
  <c r="A345" i="3"/>
  <c r="CY345" i="3"/>
  <c r="CZ345" i="3"/>
  <c r="DB345" i="3" s="1"/>
  <c r="DA345" i="3"/>
  <c r="DC345" i="3"/>
  <c r="A346" i="3"/>
  <c r="CY346" i="3"/>
  <c r="CZ346" i="3"/>
  <c r="DB346" i="3" s="1"/>
  <c r="DA346" i="3"/>
  <c r="DC346" i="3"/>
  <c r="A347" i="3"/>
  <c r="CY347" i="3"/>
  <c r="CZ347" i="3"/>
  <c r="DA347" i="3"/>
  <c r="DB347" i="3"/>
  <c r="DC347" i="3"/>
  <c r="A348" i="3"/>
  <c r="CY348" i="3"/>
  <c r="CZ348" i="3"/>
  <c r="DA348" i="3"/>
  <c r="DB348" i="3"/>
  <c r="DC348" i="3"/>
  <c r="A349" i="3"/>
  <c r="CY349" i="3"/>
  <c r="CZ349" i="3"/>
  <c r="DB349" i="3" s="1"/>
  <c r="DA349" i="3"/>
  <c r="DC349" i="3"/>
  <c r="A350" i="3"/>
  <c r="CY350" i="3"/>
  <c r="CZ350" i="3"/>
  <c r="DA350" i="3"/>
  <c r="DB350" i="3"/>
  <c r="DC350" i="3"/>
  <c r="A351" i="3"/>
  <c r="CY351" i="3"/>
  <c r="CZ351" i="3"/>
  <c r="DA351" i="3"/>
  <c r="DB351" i="3"/>
  <c r="DC351" i="3"/>
  <c r="A352" i="3"/>
  <c r="CY352" i="3"/>
  <c r="CZ352" i="3"/>
  <c r="DB352" i="3" s="1"/>
  <c r="DA352" i="3"/>
  <c r="DC352" i="3"/>
  <c r="A353" i="3"/>
  <c r="CY353" i="3"/>
  <c r="CZ353" i="3"/>
  <c r="DB353" i="3" s="1"/>
  <c r="DA353" i="3"/>
  <c r="DC353" i="3"/>
  <c r="A354" i="3"/>
  <c r="CY354" i="3"/>
  <c r="CZ354" i="3"/>
  <c r="DB354" i="3" s="1"/>
  <c r="DA354" i="3"/>
  <c r="DC354" i="3"/>
  <c r="A355" i="3"/>
  <c r="CY355" i="3"/>
  <c r="CZ355" i="3"/>
  <c r="DA355" i="3"/>
  <c r="DB355" i="3"/>
  <c r="DC355" i="3"/>
  <c r="A356" i="3"/>
  <c r="CY356" i="3"/>
  <c r="CZ356" i="3"/>
  <c r="DA356" i="3"/>
  <c r="DB356" i="3"/>
  <c r="DC356" i="3"/>
  <c r="A357" i="3"/>
  <c r="CX357" i="3"/>
  <c r="CY357" i="3"/>
  <c r="CZ357" i="3"/>
  <c r="DB357" i="3" s="1"/>
  <c r="DA357" i="3"/>
  <c r="DC357" i="3"/>
  <c r="A358" i="3"/>
  <c r="CX358" i="3"/>
  <c r="CY358" i="3"/>
  <c r="CZ358" i="3"/>
  <c r="DA358" i="3"/>
  <c r="DB358" i="3"/>
  <c r="DC358" i="3"/>
  <c r="A359" i="3"/>
  <c r="CX359" i="3"/>
  <c r="CY359" i="3"/>
  <c r="CZ359" i="3"/>
  <c r="DA359" i="3"/>
  <c r="DB359" i="3"/>
  <c r="DC359" i="3"/>
  <c r="A360" i="3"/>
  <c r="CX360" i="3"/>
  <c r="CY360" i="3"/>
  <c r="CZ360" i="3"/>
  <c r="DB360" i="3" s="1"/>
  <c r="DA360" i="3"/>
  <c r="DC360" i="3"/>
  <c r="A361" i="3"/>
  <c r="CX361" i="3"/>
  <c r="CY361" i="3"/>
  <c r="CZ361" i="3"/>
  <c r="DB361" i="3" s="1"/>
  <c r="DA361" i="3"/>
  <c r="DC361" i="3"/>
  <c r="A362" i="3"/>
  <c r="CX362" i="3"/>
  <c r="CY362" i="3"/>
  <c r="CZ362" i="3"/>
  <c r="DA362" i="3"/>
  <c r="DB362" i="3"/>
  <c r="DC362" i="3"/>
  <c r="A363" i="3"/>
  <c r="CX363" i="3"/>
  <c r="CY363" i="3"/>
  <c r="CZ363" i="3"/>
  <c r="DB363" i="3" s="1"/>
  <c r="DA363" i="3"/>
  <c r="DC363" i="3"/>
  <c r="A364" i="3"/>
  <c r="CX364" i="3"/>
  <c r="CY364" i="3"/>
  <c r="CZ364" i="3"/>
  <c r="DB364" i="3" s="1"/>
  <c r="DA364" i="3"/>
  <c r="DC364" i="3"/>
  <c r="A365" i="3"/>
  <c r="CX365" i="3"/>
  <c r="CY365" i="3"/>
  <c r="CZ365" i="3"/>
  <c r="DA365" i="3"/>
  <c r="DB365" i="3"/>
  <c r="DC365" i="3"/>
  <c r="A366" i="3"/>
  <c r="CX366" i="3"/>
  <c r="CY366" i="3"/>
  <c r="CZ366" i="3"/>
  <c r="DA366" i="3"/>
  <c r="DB366" i="3"/>
  <c r="DC366" i="3"/>
  <c r="A367" i="3"/>
  <c r="CX367" i="3"/>
  <c r="CY367" i="3"/>
  <c r="CZ367" i="3"/>
  <c r="DB367" i="3" s="1"/>
  <c r="DA367" i="3"/>
  <c r="DC367" i="3"/>
  <c r="A368" i="3"/>
  <c r="CX368" i="3"/>
  <c r="CY368" i="3"/>
  <c r="CZ368" i="3"/>
  <c r="DB368" i="3" s="1"/>
  <c r="DA368" i="3"/>
  <c r="DC368" i="3"/>
  <c r="A369" i="3"/>
  <c r="CX369" i="3"/>
  <c r="CY369" i="3"/>
  <c r="CZ369" i="3"/>
  <c r="DA369" i="3"/>
  <c r="DB369" i="3"/>
  <c r="DC369" i="3"/>
  <c r="A370" i="3"/>
  <c r="CX370" i="3"/>
  <c r="CY370" i="3"/>
  <c r="CZ370" i="3"/>
  <c r="DA370" i="3"/>
  <c r="DB370" i="3"/>
  <c r="DC370" i="3"/>
  <c r="A371" i="3"/>
  <c r="CX371" i="3"/>
  <c r="CY371" i="3"/>
  <c r="CZ371" i="3"/>
  <c r="DB371" i="3" s="1"/>
  <c r="DA371" i="3"/>
  <c r="DC371" i="3"/>
  <c r="A372" i="3"/>
  <c r="CX372" i="3"/>
  <c r="CY372" i="3"/>
  <c r="CZ372" i="3"/>
  <c r="DB372" i="3" s="1"/>
  <c r="DA372" i="3"/>
  <c r="DC372" i="3"/>
  <c r="A373" i="3"/>
  <c r="CX373" i="3"/>
  <c r="CY373" i="3"/>
  <c r="CZ373" i="3"/>
  <c r="DA373" i="3"/>
  <c r="DB373" i="3"/>
  <c r="DC373" i="3"/>
  <c r="A374" i="3"/>
  <c r="CX374" i="3"/>
  <c r="CY374" i="3"/>
  <c r="CZ374" i="3"/>
  <c r="DA374" i="3"/>
  <c r="DB374" i="3"/>
  <c r="DC374" i="3"/>
  <c r="A375" i="3"/>
  <c r="CX375" i="3"/>
  <c r="CY375" i="3"/>
  <c r="CZ375" i="3"/>
  <c r="DB375" i="3" s="1"/>
  <c r="DA375" i="3"/>
  <c r="DC375" i="3"/>
  <c r="A376" i="3"/>
  <c r="CX376" i="3"/>
  <c r="CY376" i="3"/>
  <c r="CZ376" i="3"/>
  <c r="DB376" i="3" s="1"/>
  <c r="DA376" i="3"/>
  <c r="DC376" i="3"/>
  <c r="A377" i="3"/>
  <c r="CX377" i="3"/>
  <c r="CY377" i="3"/>
  <c r="CZ377" i="3"/>
  <c r="DA377" i="3"/>
  <c r="DB377" i="3"/>
  <c r="DC377" i="3"/>
  <c r="A378" i="3"/>
  <c r="CX378" i="3"/>
  <c r="CY378" i="3"/>
  <c r="CZ378" i="3"/>
  <c r="DA378" i="3"/>
  <c r="DB378" i="3"/>
  <c r="DC378" i="3"/>
  <c r="A379" i="3"/>
  <c r="CX379" i="3"/>
  <c r="CY379" i="3"/>
  <c r="CZ379" i="3"/>
  <c r="DB379" i="3" s="1"/>
  <c r="DA379" i="3"/>
  <c r="DC379" i="3"/>
  <c r="A380" i="3"/>
  <c r="CX380" i="3"/>
  <c r="CY380" i="3"/>
  <c r="CZ380" i="3"/>
  <c r="DB380" i="3" s="1"/>
  <c r="DA380" i="3"/>
  <c r="DC380" i="3"/>
  <c r="A381" i="3"/>
  <c r="CX381" i="3"/>
  <c r="CY381" i="3"/>
  <c r="CZ381" i="3"/>
  <c r="DA381" i="3"/>
  <c r="DB381" i="3"/>
  <c r="DC381" i="3"/>
  <c r="A382" i="3"/>
  <c r="CX382" i="3"/>
  <c r="CY382" i="3"/>
  <c r="CZ382" i="3"/>
  <c r="DA382" i="3"/>
  <c r="DB382" i="3"/>
  <c r="DC382" i="3"/>
  <c r="A383" i="3"/>
  <c r="CX383" i="3"/>
  <c r="CY383" i="3"/>
  <c r="CZ383" i="3"/>
  <c r="DB383" i="3" s="1"/>
  <c r="DA383" i="3"/>
  <c r="DC383" i="3"/>
  <c r="A384" i="3"/>
  <c r="CX384" i="3"/>
  <c r="CY384" i="3"/>
  <c r="CZ384" i="3"/>
  <c r="DB384" i="3" s="1"/>
  <c r="DA384" i="3"/>
  <c r="DC384" i="3"/>
  <c r="A385" i="3"/>
  <c r="CX385" i="3"/>
  <c r="CY385" i="3"/>
  <c r="CZ385" i="3"/>
  <c r="DA385" i="3"/>
  <c r="DB385" i="3"/>
  <c r="DC385" i="3"/>
  <c r="A386" i="3"/>
  <c r="CX386" i="3"/>
  <c r="CY386" i="3"/>
  <c r="CZ386" i="3"/>
  <c r="DA386" i="3"/>
  <c r="DB386" i="3"/>
  <c r="DC386" i="3"/>
  <c r="A387" i="3"/>
  <c r="CY387" i="3"/>
  <c r="CZ387" i="3"/>
  <c r="DB387" i="3" s="1"/>
  <c r="DA387" i="3"/>
  <c r="DC387" i="3"/>
  <c r="A388" i="3"/>
  <c r="CY388" i="3"/>
  <c r="CZ388" i="3"/>
  <c r="DB388" i="3" s="1"/>
  <c r="DA388" i="3"/>
  <c r="DC388" i="3"/>
  <c r="A389" i="3"/>
  <c r="CY389" i="3"/>
  <c r="CZ389" i="3"/>
  <c r="DA389" i="3"/>
  <c r="DB389" i="3"/>
  <c r="DC389" i="3"/>
  <c r="A390" i="3"/>
  <c r="CY390" i="3"/>
  <c r="CZ390" i="3"/>
  <c r="DA390" i="3"/>
  <c r="DB390" i="3"/>
  <c r="DC390" i="3"/>
  <c r="A391" i="3"/>
  <c r="CY391" i="3"/>
  <c r="CZ391" i="3"/>
  <c r="DB391" i="3" s="1"/>
  <c r="DA391" i="3"/>
  <c r="DC391" i="3"/>
  <c r="A392" i="3"/>
  <c r="CY392" i="3"/>
  <c r="CZ392" i="3"/>
  <c r="DB392" i="3" s="1"/>
  <c r="DA392" i="3"/>
  <c r="DC392" i="3"/>
  <c r="A393" i="3"/>
  <c r="CY393" i="3"/>
  <c r="CZ393" i="3"/>
  <c r="DA393" i="3"/>
  <c r="DB393" i="3"/>
  <c r="DC393" i="3"/>
  <c r="A394" i="3"/>
  <c r="CY394" i="3"/>
  <c r="CZ394" i="3"/>
  <c r="DA394" i="3"/>
  <c r="DB394" i="3"/>
  <c r="DC394" i="3"/>
  <c r="A395" i="3"/>
  <c r="CY395" i="3"/>
  <c r="CZ395" i="3"/>
  <c r="DB395" i="3" s="1"/>
  <c r="DA395" i="3"/>
  <c r="DC395" i="3"/>
  <c r="A396" i="3"/>
  <c r="CY396" i="3"/>
  <c r="CZ396" i="3"/>
  <c r="DB396" i="3" s="1"/>
  <c r="DA396" i="3"/>
  <c r="DC396" i="3"/>
  <c r="A397" i="3"/>
  <c r="CY397" i="3"/>
  <c r="CZ397" i="3"/>
  <c r="DA397" i="3"/>
  <c r="DB397" i="3"/>
  <c r="DC397" i="3"/>
  <c r="A398" i="3"/>
  <c r="CY398" i="3"/>
  <c r="CZ398" i="3"/>
  <c r="DA398" i="3"/>
  <c r="DB398" i="3"/>
  <c r="DC398" i="3"/>
  <c r="A399" i="3"/>
  <c r="CY399" i="3"/>
  <c r="CZ399" i="3"/>
  <c r="DB399" i="3" s="1"/>
  <c r="DA399" i="3"/>
  <c r="DC399" i="3"/>
  <c r="A400" i="3"/>
  <c r="CX400" i="3"/>
  <c r="CY400" i="3"/>
  <c r="CZ400" i="3"/>
  <c r="DB400" i="3" s="1"/>
  <c r="DA400" i="3"/>
  <c r="DC400" i="3"/>
  <c r="A401" i="3"/>
  <c r="CX401" i="3"/>
  <c r="CY401" i="3"/>
  <c r="CZ401" i="3"/>
  <c r="DA401" i="3"/>
  <c r="DB401" i="3"/>
  <c r="DC401" i="3"/>
  <c r="A402" i="3"/>
  <c r="CY402" i="3"/>
  <c r="CZ402" i="3"/>
  <c r="DA402" i="3"/>
  <c r="DB402" i="3"/>
  <c r="DC402" i="3"/>
  <c r="A403" i="3"/>
  <c r="CY403" i="3"/>
  <c r="CZ403" i="3"/>
  <c r="DB403" i="3" s="1"/>
  <c r="DA403" i="3"/>
  <c r="DC403" i="3"/>
  <c r="A404" i="3"/>
  <c r="CX404" i="3"/>
  <c r="CY404" i="3"/>
  <c r="CZ404" i="3"/>
  <c r="DB404" i="3" s="1"/>
  <c r="DA404" i="3"/>
  <c r="DC404" i="3"/>
  <c r="A405" i="3"/>
  <c r="CX405" i="3"/>
  <c r="CY405" i="3"/>
  <c r="CZ405" i="3"/>
  <c r="DA405" i="3"/>
  <c r="DB405" i="3"/>
  <c r="DC405" i="3"/>
  <c r="A406" i="3"/>
  <c r="CX406" i="3"/>
  <c r="CY406" i="3"/>
  <c r="CZ406" i="3"/>
  <c r="DA406" i="3"/>
  <c r="DB406" i="3"/>
  <c r="DC406" i="3"/>
  <c r="A407" i="3"/>
  <c r="CX407" i="3"/>
  <c r="CY407" i="3"/>
  <c r="CZ407" i="3"/>
  <c r="DB407" i="3" s="1"/>
  <c r="DA407" i="3"/>
  <c r="DC407" i="3"/>
  <c r="A408" i="3"/>
  <c r="CX408" i="3"/>
  <c r="CY408" i="3"/>
  <c r="CZ408" i="3"/>
  <c r="DB408" i="3" s="1"/>
  <c r="DA408" i="3"/>
  <c r="DC408" i="3"/>
  <c r="A409" i="3"/>
  <c r="CX409" i="3"/>
  <c r="CY409" i="3"/>
  <c r="CZ409" i="3"/>
  <c r="DA409" i="3"/>
  <c r="DB409" i="3"/>
  <c r="DC409" i="3"/>
  <c r="A410" i="3"/>
  <c r="CX410" i="3"/>
  <c r="CY410" i="3"/>
  <c r="CZ410" i="3"/>
  <c r="DA410" i="3"/>
  <c r="DB410" i="3"/>
  <c r="DC410" i="3"/>
  <c r="A411" i="3"/>
  <c r="CX411" i="3"/>
  <c r="CY411" i="3"/>
  <c r="CZ411" i="3"/>
  <c r="DB411" i="3" s="1"/>
  <c r="DA411" i="3"/>
  <c r="DC411" i="3"/>
  <c r="A412" i="3"/>
  <c r="CX412" i="3"/>
  <c r="CY412" i="3"/>
  <c r="CZ412" i="3"/>
  <c r="DB412" i="3" s="1"/>
  <c r="DA412" i="3"/>
  <c r="DC412" i="3"/>
  <c r="A413" i="3"/>
  <c r="CX413" i="3"/>
  <c r="CY413" i="3"/>
  <c r="CZ413" i="3"/>
  <c r="DA413" i="3"/>
  <c r="DB413" i="3"/>
  <c r="DC413" i="3"/>
  <c r="A414" i="3"/>
  <c r="CX414" i="3"/>
  <c r="CY414" i="3"/>
  <c r="CZ414" i="3"/>
  <c r="DA414" i="3"/>
  <c r="DB414" i="3"/>
  <c r="DC414" i="3"/>
  <c r="A415" i="3"/>
  <c r="CX415" i="3"/>
  <c r="CY415" i="3"/>
  <c r="CZ415" i="3"/>
  <c r="DB415" i="3" s="1"/>
  <c r="DA415" i="3"/>
  <c r="DC415" i="3"/>
  <c r="A416" i="3"/>
  <c r="CX416" i="3"/>
  <c r="CY416" i="3"/>
  <c r="CZ416" i="3"/>
  <c r="DB416" i="3" s="1"/>
  <c r="DA416" i="3"/>
  <c r="DC416" i="3"/>
  <c r="A417" i="3"/>
  <c r="CX417" i="3"/>
  <c r="CY417" i="3"/>
  <c r="CZ417" i="3"/>
  <c r="DA417" i="3"/>
  <c r="DB417" i="3"/>
  <c r="DC417" i="3"/>
  <c r="A418" i="3"/>
  <c r="CX418" i="3"/>
  <c r="CY418" i="3"/>
  <c r="CZ418" i="3"/>
  <c r="DA418" i="3"/>
  <c r="DB418" i="3"/>
  <c r="DC418" i="3"/>
  <c r="A419" i="3"/>
  <c r="CX419" i="3"/>
  <c r="CY419" i="3"/>
  <c r="CZ419" i="3"/>
  <c r="DB419" i="3" s="1"/>
  <c r="DA419" i="3"/>
  <c r="DC419" i="3"/>
  <c r="A420" i="3"/>
  <c r="CX420" i="3"/>
  <c r="CY420" i="3"/>
  <c r="CZ420" i="3"/>
  <c r="DB420" i="3" s="1"/>
  <c r="DA420" i="3"/>
  <c r="DC420" i="3"/>
  <c r="A421" i="3"/>
  <c r="CX421" i="3"/>
  <c r="CY421" i="3"/>
  <c r="CZ421" i="3"/>
  <c r="DA421" i="3"/>
  <c r="DB421" i="3"/>
  <c r="DC421" i="3"/>
  <c r="A422" i="3"/>
  <c r="CX422" i="3"/>
  <c r="CY422" i="3"/>
  <c r="CZ422" i="3"/>
  <c r="DA422" i="3"/>
  <c r="DB422" i="3"/>
  <c r="DC422" i="3"/>
  <c r="A423" i="3"/>
  <c r="CY423" i="3"/>
  <c r="CZ423" i="3"/>
  <c r="DB423" i="3" s="1"/>
  <c r="DA423" i="3"/>
  <c r="DC423" i="3"/>
  <c r="A424" i="3"/>
  <c r="CY424" i="3"/>
  <c r="CZ424" i="3"/>
  <c r="DB424" i="3" s="1"/>
  <c r="DA424" i="3"/>
  <c r="DC424" i="3"/>
  <c r="A425" i="3"/>
  <c r="CY425" i="3"/>
  <c r="CZ425" i="3"/>
  <c r="DA425" i="3"/>
  <c r="DB425" i="3"/>
  <c r="DC425" i="3"/>
  <c r="A426" i="3"/>
  <c r="CY426" i="3"/>
  <c r="CZ426" i="3"/>
  <c r="DA426" i="3"/>
  <c r="DB426" i="3"/>
  <c r="DC426" i="3"/>
  <c r="A427" i="3"/>
  <c r="CY427" i="3"/>
  <c r="CZ427" i="3"/>
  <c r="DB427" i="3" s="1"/>
  <c r="DA427" i="3"/>
  <c r="DC427" i="3"/>
  <c r="A428" i="3"/>
  <c r="CY428" i="3"/>
  <c r="CZ428" i="3"/>
  <c r="DB428" i="3" s="1"/>
  <c r="DA428" i="3"/>
  <c r="DC428" i="3"/>
  <c r="A429" i="3"/>
  <c r="CY429" i="3"/>
  <c r="CZ429" i="3"/>
  <c r="DA429" i="3"/>
  <c r="DB429" i="3"/>
  <c r="DC429" i="3"/>
  <c r="A430" i="3"/>
  <c r="CY430" i="3"/>
  <c r="CZ430" i="3"/>
  <c r="DA430" i="3"/>
  <c r="DB430" i="3"/>
  <c r="DC430" i="3"/>
  <c r="A431" i="3"/>
  <c r="CY431" i="3"/>
  <c r="CZ431" i="3"/>
  <c r="DB431" i="3" s="1"/>
  <c r="DA431" i="3"/>
  <c r="DC431" i="3"/>
  <c r="A432" i="3"/>
  <c r="CY432" i="3"/>
  <c r="CZ432" i="3"/>
  <c r="DB432" i="3" s="1"/>
  <c r="DA432" i="3"/>
  <c r="DC432" i="3"/>
  <c r="A433" i="3"/>
  <c r="CY433" i="3"/>
  <c r="CZ433" i="3"/>
  <c r="DA433" i="3"/>
  <c r="DB433" i="3"/>
  <c r="DC433" i="3"/>
  <c r="A434" i="3"/>
  <c r="CY434" i="3"/>
  <c r="CZ434" i="3"/>
  <c r="DA434" i="3"/>
  <c r="DB434" i="3"/>
  <c r="DC434" i="3"/>
  <c r="A435" i="3"/>
  <c r="CY435" i="3"/>
  <c r="CZ435" i="3"/>
  <c r="DB435" i="3" s="1"/>
  <c r="DA435" i="3"/>
  <c r="DC435" i="3"/>
  <c r="A436" i="3"/>
  <c r="CY436" i="3"/>
  <c r="CZ436" i="3"/>
  <c r="DB436" i="3" s="1"/>
  <c r="DA436" i="3"/>
  <c r="DC436" i="3"/>
  <c r="A437" i="3"/>
  <c r="CY437" i="3"/>
  <c r="CZ437" i="3"/>
  <c r="DA437" i="3"/>
  <c r="DB437" i="3"/>
  <c r="DC437" i="3"/>
  <c r="A438" i="3"/>
  <c r="CY438" i="3"/>
  <c r="CZ438" i="3"/>
  <c r="DA438" i="3"/>
  <c r="DB438" i="3"/>
  <c r="DC438" i="3"/>
  <c r="A439" i="3"/>
  <c r="CY439" i="3"/>
  <c r="CZ439" i="3"/>
  <c r="DB439" i="3" s="1"/>
  <c r="DA439" i="3"/>
  <c r="DC439" i="3"/>
  <c r="A440" i="3"/>
  <c r="CY440" i="3"/>
  <c r="CZ440" i="3"/>
  <c r="DB440" i="3" s="1"/>
  <c r="DA440" i="3"/>
  <c r="DC440" i="3"/>
  <c r="A441" i="3"/>
  <c r="CY441" i="3"/>
  <c r="CZ441" i="3"/>
  <c r="DA441" i="3"/>
  <c r="DB441" i="3"/>
  <c r="DC441" i="3"/>
  <c r="A442" i="3"/>
  <c r="CY442" i="3"/>
  <c r="CZ442" i="3"/>
  <c r="DA442" i="3"/>
  <c r="DB442" i="3"/>
  <c r="DC442" i="3"/>
  <c r="A443" i="3"/>
  <c r="CY443" i="3"/>
  <c r="CZ443" i="3"/>
  <c r="DB443" i="3" s="1"/>
  <c r="DA443" i="3"/>
  <c r="DC443" i="3"/>
  <c r="A444" i="3"/>
  <c r="CX444" i="3"/>
  <c r="CY444" i="3"/>
  <c r="CZ444" i="3"/>
  <c r="DB444" i="3" s="1"/>
  <c r="DA444" i="3"/>
  <c r="DC444" i="3"/>
  <c r="A445" i="3"/>
  <c r="CX445" i="3"/>
  <c r="CY445" i="3"/>
  <c r="CZ445" i="3"/>
  <c r="DA445" i="3"/>
  <c r="DB445" i="3"/>
  <c r="DC445" i="3"/>
  <c r="A446" i="3"/>
  <c r="CY446" i="3"/>
  <c r="CZ446" i="3"/>
  <c r="DA446" i="3"/>
  <c r="DB446" i="3"/>
  <c r="DC446" i="3"/>
  <c r="A447" i="3"/>
  <c r="CY447" i="3"/>
  <c r="CZ447" i="3"/>
  <c r="DB447" i="3" s="1"/>
  <c r="DA447" i="3"/>
  <c r="DC447" i="3"/>
  <c r="A448" i="3"/>
  <c r="CY448" i="3"/>
  <c r="CZ448" i="3"/>
  <c r="DB448" i="3" s="1"/>
  <c r="DA448" i="3"/>
  <c r="DC448" i="3"/>
  <c r="A449" i="3"/>
  <c r="CY449" i="3"/>
  <c r="CZ449" i="3"/>
  <c r="DA449" i="3"/>
  <c r="DB449" i="3"/>
  <c r="DC449" i="3"/>
  <c r="A450" i="3"/>
  <c r="CY450" i="3"/>
  <c r="CZ450" i="3"/>
  <c r="DA450" i="3"/>
  <c r="DB450" i="3"/>
  <c r="DC450" i="3"/>
  <c r="A451" i="3"/>
  <c r="CY451" i="3"/>
  <c r="CZ451" i="3"/>
  <c r="DB451" i="3" s="1"/>
  <c r="DA451" i="3"/>
  <c r="DC451" i="3"/>
  <c r="A452" i="3"/>
  <c r="CY452" i="3"/>
  <c r="CZ452" i="3"/>
  <c r="DB452" i="3" s="1"/>
  <c r="DA452" i="3"/>
  <c r="DC452" i="3"/>
  <c r="A453" i="3"/>
  <c r="CY453" i="3"/>
  <c r="CZ453" i="3"/>
  <c r="DA453" i="3"/>
  <c r="DB453" i="3"/>
  <c r="DC453" i="3"/>
  <c r="A454" i="3"/>
  <c r="CY454" i="3"/>
  <c r="CZ454" i="3"/>
  <c r="DA454" i="3"/>
  <c r="DB454" i="3"/>
  <c r="DC454" i="3"/>
  <c r="A455" i="3"/>
  <c r="CY455" i="3"/>
  <c r="CZ455" i="3"/>
  <c r="DB455" i="3" s="1"/>
  <c r="DA455" i="3"/>
  <c r="DC455" i="3"/>
  <c r="A456" i="3"/>
  <c r="CY456" i="3"/>
  <c r="CZ456" i="3"/>
  <c r="DB456" i="3" s="1"/>
  <c r="DA456" i="3"/>
  <c r="DC456" i="3"/>
  <c r="A457" i="3"/>
  <c r="CY457" i="3"/>
  <c r="CZ457" i="3"/>
  <c r="DA457" i="3"/>
  <c r="DB457" i="3"/>
  <c r="DC457" i="3"/>
  <c r="A458" i="3"/>
  <c r="CY458" i="3"/>
  <c r="CZ458" i="3"/>
  <c r="DA458" i="3"/>
  <c r="DB458" i="3"/>
  <c r="DC458" i="3"/>
  <c r="A459" i="3"/>
  <c r="CY459" i="3"/>
  <c r="CZ459" i="3"/>
  <c r="DB459" i="3" s="1"/>
  <c r="DA459" i="3"/>
  <c r="DC459" i="3"/>
  <c r="A460" i="3"/>
  <c r="CY460" i="3"/>
  <c r="CZ460" i="3"/>
  <c r="DB460" i="3" s="1"/>
  <c r="DA460" i="3"/>
  <c r="DC460" i="3"/>
  <c r="A461" i="3"/>
  <c r="CY461" i="3"/>
  <c r="CZ461" i="3"/>
  <c r="DA461" i="3"/>
  <c r="DB461" i="3"/>
  <c r="DC461" i="3"/>
  <c r="A462" i="3"/>
  <c r="CY462" i="3"/>
  <c r="CZ462" i="3"/>
  <c r="DA462" i="3"/>
  <c r="DB462" i="3"/>
  <c r="DC462" i="3"/>
  <c r="A463" i="3"/>
  <c r="CY463" i="3"/>
  <c r="CZ463" i="3"/>
  <c r="DB463" i="3" s="1"/>
  <c r="DA463" i="3"/>
  <c r="DC463" i="3"/>
  <c r="A464" i="3"/>
  <c r="CY464" i="3"/>
  <c r="CZ464" i="3"/>
  <c r="DB464" i="3" s="1"/>
  <c r="DA464" i="3"/>
  <c r="DC464" i="3"/>
  <c r="A465" i="3"/>
  <c r="CY465" i="3"/>
  <c r="CZ465" i="3"/>
  <c r="DA465" i="3"/>
  <c r="DB465" i="3"/>
  <c r="DC465" i="3"/>
  <c r="A466" i="3"/>
  <c r="CY466" i="3"/>
  <c r="CZ466" i="3"/>
  <c r="DA466" i="3"/>
  <c r="DB466" i="3"/>
  <c r="DC466" i="3"/>
  <c r="A467" i="3"/>
  <c r="CY467" i="3"/>
  <c r="CZ467" i="3"/>
  <c r="DB467" i="3" s="1"/>
  <c r="DA467" i="3"/>
  <c r="DC467" i="3"/>
  <c r="A468" i="3"/>
  <c r="CY468" i="3"/>
  <c r="CZ468" i="3"/>
  <c r="DB468" i="3" s="1"/>
  <c r="DA468" i="3"/>
  <c r="DC468" i="3"/>
  <c r="A469" i="3"/>
  <c r="CY469" i="3"/>
  <c r="CZ469" i="3"/>
  <c r="DA469" i="3"/>
  <c r="DB469" i="3"/>
  <c r="DC469" i="3"/>
  <c r="A470" i="3"/>
  <c r="CY470" i="3"/>
  <c r="CZ470" i="3"/>
  <c r="DA470" i="3"/>
  <c r="DB470" i="3"/>
  <c r="DC470" i="3"/>
  <c r="A471" i="3"/>
  <c r="CY471" i="3"/>
  <c r="CZ471" i="3"/>
  <c r="DB471" i="3" s="1"/>
  <c r="DA471" i="3"/>
  <c r="DC471" i="3"/>
  <c r="A472" i="3"/>
  <c r="CY472" i="3"/>
  <c r="CZ472" i="3"/>
  <c r="DB472" i="3" s="1"/>
  <c r="DA472" i="3"/>
  <c r="DC472" i="3"/>
  <c r="A473" i="3"/>
  <c r="CY473" i="3"/>
  <c r="CZ473" i="3"/>
  <c r="DB473" i="3" s="1"/>
  <c r="DA473" i="3"/>
  <c r="DC473" i="3"/>
  <c r="A474" i="3"/>
  <c r="CY474" i="3"/>
  <c r="CZ474" i="3"/>
  <c r="DA474" i="3"/>
  <c r="DB474" i="3"/>
  <c r="DC474" i="3"/>
  <c r="A475" i="3"/>
  <c r="CY475" i="3"/>
  <c r="CZ475" i="3"/>
  <c r="DA475" i="3"/>
  <c r="DB475" i="3"/>
  <c r="DC475" i="3"/>
  <c r="A476" i="3"/>
  <c r="CY476" i="3"/>
  <c r="CZ476" i="3"/>
  <c r="DB476" i="3" s="1"/>
  <c r="DA476" i="3"/>
  <c r="DC476" i="3"/>
  <c r="A477" i="3"/>
  <c r="CY477" i="3"/>
  <c r="CZ477" i="3"/>
  <c r="DA477" i="3"/>
  <c r="DB477" i="3"/>
  <c r="DC477" i="3"/>
  <c r="A478" i="3"/>
  <c r="CY478" i="3"/>
  <c r="CZ478" i="3"/>
  <c r="DA478" i="3"/>
  <c r="DB478" i="3"/>
  <c r="DC478" i="3"/>
  <c r="A479" i="3"/>
  <c r="CY479" i="3"/>
  <c r="CZ479" i="3"/>
  <c r="DB479" i="3" s="1"/>
  <c r="DA479" i="3"/>
  <c r="DC479" i="3"/>
  <c r="A480" i="3"/>
  <c r="CY480" i="3"/>
  <c r="CZ480" i="3"/>
  <c r="DB480" i="3" s="1"/>
  <c r="DA480" i="3"/>
  <c r="DC480" i="3"/>
  <c r="A481" i="3"/>
  <c r="CY481" i="3"/>
  <c r="CZ481" i="3"/>
  <c r="DB481" i="3" s="1"/>
  <c r="DA481" i="3"/>
  <c r="DC481" i="3"/>
  <c r="A482" i="3"/>
  <c r="CY482" i="3"/>
  <c r="CZ482" i="3"/>
  <c r="DA482" i="3"/>
  <c r="DB482" i="3"/>
  <c r="DC482" i="3"/>
  <c r="A483" i="3"/>
  <c r="CY483" i="3"/>
  <c r="CZ483" i="3"/>
  <c r="DA483" i="3"/>
  <c r="DB483" i="3"/>
  <c r="DC483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EL26" i="1"/>
  <c r="EM26" i="1"/>
  <c r="EN26" i="1"/>
  <c r="EO26" i="1"/>
  <c r="EP26" i="1"/>
  <c r="EQ26" i="1"/>
  <c r="ER26" i="1"/>
  <c r="ES26" i="1"/>
  <c r="ET26" i="1"/>
  <c r="EU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AB28" i="1"/>
  <c r="AC28" i="1"/>
  <c r="CQ28" i="1" s="1"/>
  <c r="P28" i="1" s="1"/>
  <c r="AE28" i="1"/>
  <c r="AD28" i="1" s="1"/>
  <c r="AF28" i="1"/>
  <c r="AG28" i="1"/>
  <c r="CU28" i="1" s="1"/>
  <c r="T28" i="1" s="1"/>
  <c r="AH28" i="1"/>
  <c r="AI28" i="1"/>
  <c r="AJ28" i="1"/>
  <c r="CR28" i="1"/>
  <c r="Q28" i="1" s="1"/>
  <c r="CP28" i="1" s="1"/>
  <c r="O28" i="1" s="1"/>
  <c r="CS28" i="1"/>
  <c r="R28" i="1" s="1"/>
  <c r="GK28" i="1" s="1"/>
  <c r="CT28" i="1"/>
  <c r="S28" i="1" s="1"/>
  <c r="CV28" i="1"/>
  <c r="U28" i="1" s="1"/>
  <c r="CW28" i="1"/>
  <c r="V28" i="1" s="1"/>
  <c r="CX28" i="1"/>
  <c r="W28" i="1" s="1"/>
  <c r="FR28" i="1"/>
  <c r="GL28" i="1"/>
  <c r="GO28" i="1"/>
  <c r="GP28" i="1"/>
  <c r="GV28" i="1"/>
  <c r="GX28" i="1"/>
  <c r="HC28" i="1"/>
  <c r="C29" i="1"/>
  <c r="D29" i="1"/>
  <c r="R29" i="1"/>
  <c r="T29" i="1"/>
  <c r="V29" i="1"/>
  <c r="AC29" i="1"/>
  <c r="CQ29" i="1" s="1"/>
  <c r="P29" i="1" s="1"/>
  <c r="AD29" i="1"/>
  <c r="CR29" i="1" s="1"/>
  <c r="Q29" i="1" s="1"/>
  <c r="AE29" i="1"/>
  <c r="AF29" i="1"/>
  <c r="AB29" i="1" s="1"/>
  <c r="AG29" i="1"/>
  <c r="AH29" i="1"/>
  <c r="CV29" i="1" s="1"/>
  <c r="U29" i="1" s="1"/>
  <c r="AI29" i="1"/>
  <c r="AJ29" i="1"/>
  <c r="CX29" i="1" s="1"/>
  <c r="W29" i="1" s="1"/>
  <c r="CS29" i="1"/>
  <c r="CT29" i="1"/>
  <c r="S29" i="1" s="1"/>
  <c r="CU29" i="1"/>
  <c r="CW29" i="1"/>
  <c r="FR29" i="1"/>
  <c r="GK29" i="1"/>
  <c r="GL29" i="1"/>
  <c r="GO29" i="1"/>
  <c r="GP29" i="1"/>
  <c r="GV29" i="1"/>
  <c r="GX29" i="1"/>
  <c r="HC29" i="1"/>
  <c r="C30" i="1"/>
  <c r="D30" i="1"/>
  <c r="I30" i="1"/>
  <c r="CX11" i="3" s="1"/>
  <c r="S30" i="1"/>
  <c r="CY30" i="1" s="1"/>
  <c r="X30" i="1" s="1"/>
  <c r="AC30" i="1"/>
  <c r="CQ30" i="1" s="1"/>
  <c r="P30" i="1" s="1"/>
  <c r="AD30" i="1"/>
  <c r="CR30" i="1" s="1"/>
  <c r="AE30" i="1"/>
  <c r="AF30" i="1"/>
  <c r="AB30" i="1" s="1"/>
  <c r="AG30" i="1"/>
  <c r="AH30" i="1"/>
  <c r="CV30" i="1" s="1"/>
  <c r="AI30" i="1"/>
  <c r="AJ30" i="1"/>
  <c r="CS30" i="1"/>
  <c r="R30" i="1" s="1"/>
  <c r="GK30" i="1" s="1"/>
  <c r="CT30" i="1"/>
  <c r="CU30" i="1"/>
  <c r="CW30" i="1"/>
  <c r="CX30" i="1"/>
  <c r="W30" i="1" s="1"/>
  <c r="FR30" i="1"/>
  <c r="GL30" i="1"/>
  <c r="GO30" i="1"/>
  <c r="GP30" i="1"/>
  <c r="GV30" i="1"/>
  <c r="HC30" i="1"/>
  <c r="C31" i="1"/>
  <c r="D31" i="1"/>
  <c r="I31" i="1"/>
  <c r="T31" i="1" s="1"/>
  <c r="R31" i="1"/>
  <c r="S31" i="1"/>
  <c r="CY31" i="1" s="1"/>
  <c r="X31" i="1" s="1"/>
  <c r="W31" i="1"/>
  <c r="AC31" i="1"/>
  <c r="AD31" i="1"/>
  <c r="CR31" i="1" s="1"/>
  <c r="Q31" i="1" s="1"/>
  <c r="AE31" i="1"/>
  <c r="AF31" i="1"/>
  <c r="AG31" i="1"/>
  <c r="AH31" i="1"/>
  <c r="CV31" i="1" s="1"/>
  <c r="U31" i="1" s="1"/>
  <c r="AI31" i="1"/>
  <c r="AJ31" i="1"/>
  <c r="CQ31" i="1"/>
  <c r="P31" i="1" s="1"/>
  <c r="CP31" i="1" s="1"/>
  <c r="O31" i="1" s="1"/>
  <c r="CS31" i="1"/>
  <c r="CT31" i="1"/>
  <c r="CU31" i="1"/>
  <c r="CW31" i="1"/>
  <c r="V31" i="1" s="1"/>
  <c r="CX31" i="1"/>
  <c r="FR31" i="1"/>
  <c r="GK31" i="1"/>
  <c r="GL31" i="1"/>
  <c r="GO31" i="1"/>
  <c r="GP31" i="1"/>
  <c r="GV31" i="1"/>
  <c r="HC31" i="1"/>
  <c r="C32" i="1"/>
  <c r="D32" i="1"/>
  <c r="I32" i="1"/>
  <c r="R32" i="1"/>
  <c r="S32" i="1"/>
  <c r="CY32" i="1" s="1"/>
  <c r="X32" i="1" s="1"/>
  <c r="V32" i="1"/>
  <c r="W32" i="1"/>
  <c r="AC32" i="1"/>
  <c r="CQ32" i="1" s="1"/>
  <c r="P32" i="1" s="1"/>
  <c r="CP32" i="1" s="1"/>
  <c r="O32" i="1" s="1"/>
  <c r="AD32" i="1"/>
  <c r="CR32" i="1" s="1"/>
  <c r="Q32" i="1" s="1"/>
  <c r="AE32" i="1"/>
  <c r="AF32" i="1"/>
  <c r="AG32" i="1"/>
  <c r="AH32" i="1"/>
  <c r="CV32" i="1" s="1"/>
  <c r="U32" i="1" s="1"/>
  <c r="AI32" i="1"/>
  <c r="AJ32" i="1"/>
  <c r="CS32" i="1"/>
  <c r="CT32" i="1"/>
  <c r="CU32" i="1"/>
  <c r="T32" i="1" s="1"/>
  <c r="CW32" i="1"/>
  <c r="CX32" i="1"/>
  <c r="FR32" i="1"/>
  <c r="GK32" i="1"/>
  <c r="GL32" i="1"/>
  <c r="GO32" i="1"/>
  <c r="GP32" i="1"/>
  <c r="GV32" i="1"/>
  <c r="HC32" i="1"/>
  <c r="GX32" i="1" s="1"/>
  <c r="C33" i="1"/>
  <c r="D33" i="1"/>
  <c r="I33" i="1"/>
  <c r="R33" i="1"/>
  <c r="T33" i="1"/>
  <c r="V33" i="1"/>
  <c r="AC33" i="1"/>
  <c r="CQ33" i="1" s="1"/>
  <c r="P33" i="1" s="1"/>
  <c r="CP33" i="1" s="1"/>
  <c r="O33" i="1" s="1"/>
  <c r="AD33" i="1"/>
  <c r="CR33" i="1" s="1"/>
  <c r="Q33" i="1" s="1"/>
  <c r="AE33" i="1"/>
  <c r="AF33" i="1"/>
  <c r="AB33" i="1" s="1"/>
  <c r="AG33" i="1"/>
  <c r="AH33" i="1"/>
  <c r="CV33" i="1" s="1"/>
  <c r="U33" i="1" s="1"/>
  <c r="AI33" i="1"/>
  <c r="AJ33" i="1"/>
  <c r="CX33" i="1" s="1"/>
  <c r="W33" i="1" s="1"/>
  <c r="CS33" i="1"/>
  <c r="CT33" i="1"/>
  <c r="S33" i="1" s="1"/>
  <c r="CU33" i="1"/>
  <c r="CW33" i="1"/>
  <c r="FR33" i="1"/>
  <c r="GK33" i="1"/>
  <c r="GL33" i="1"/>
  <c r="GO33" i="1"/>
  <c r="GP33" i="1"/>
  <c r="GV33" i="1"/>
  <c r="GX33" i="1"/>
  <c r="HC33" i="1"/>
  <c r="I34" i="1"/>
  <c r="Q34" i="1"/>
  <c r="R34" i="1"/>
  <c r="GK34" i="1" s="1"/>
  <c r="V34" i="1"/>
  <c r="AC34" i="1"/>
  <c r="AD34" i="1"/>
  <c r="AB34" i="1" s="1"/>
  <c r="AE34" i="1"/>
  <c r="AF34" i="1"/>
  <c r="AG34" i="1"/>
  <c r="AH34" i="1"/>
  <c r="AI34" i="1"/>
  <c r="AJ34" i="1"/>
  <c r="CQ34" i="1"/>
  <c r="P34" i="1" s="1"/>
  <c r="CR34" i="1"/>
  <c r="CS34" i="1"/>
  <c r="CT34" i="1"/>
  <c r="CU34" i="1"/>
  <c r="T34" i="1" s="1"/>
  <c r="CV34" i="1"/>
  <c r="U34" i="1" s="1"/>
  <c r="CW34" i="1"/>
  <c r="CX34" i="1"/>
  <c r="FR34" i="1"/>
  <c r="GL34" i="1"/>
  <c r="GO34" i="1"/>
  <c r="GP34" i="1"/>
  <c r="GV34" i="1"/>
  <c r="HC34" i="1" s="1"/>
  <c r="GX34" i="1" s="1"/>
  <c r="C35" i="1"/>
  <c r="D35" i="1"/>
  <c r="I35" i="1"/>
  <c r="CX24" i="3" s="1"/>
  <c r="T35" i="1"/>
  <c r="AC35" i="1"/>
  <c r="AD35" i="1"/>
  <c r="AE35" i="1"/>
  <c r="CS35" i="1" s="1"/>
  <c r="R35" i="1" s="1"/>
  <c r="GK35" i="1" s="1"/>
  <c r="AF35" i="1"/>
  <c r="CT35" i="1" s="1"/>
  <c r="S35" i="1" s="1"/>
  <c r="CZ35" i="1" s="1"/>
  <c r="Y35" i="1" s="1"/>
  <c r="AG35" i="1"/>
  <c r="AH35" i="1"/>
  <c r="CV35" i="1" s="1"/>
  <c r="U35" i="1" s="1"/>
  <c r="AI35" i="1"/>
  <c r="CW35" i="1" s="1"/>
  <c r="V35" i="1" s="1"/>
  <c r="AJ35" i="1"/>
  <c r="CX35" i="1" s="1"/>
  <c r="W35" i="1" s="1"/>
  <c r="CQ35" i="1"/>
  <c r="P35" i="1" s="1"/>
  <c r="CU35" i="1"/>
  <c r="FR35" i="1"/>
  <c r="GL35" i="1"/>
  <c r="GO35" i="1"/>
  <c r="GP35" i="1"/>
  <c r="GV35" i="1"/>
  <c r="HC35" i="1" s="1"/>
  <c r="GX35" i="1" s="1"/>
  <c r="C36" i="1"/>
  <c r="D36" i="1"/>
  <c r="I36" i="1"/>
  <c r="P36" i="1"/>
  <c r="AC36" i="1"/>
  <c r="AD36" i="1"/>
  <c r="AB36" i="1" s="1"/>
  <c r="AE36" i="1"/>
  <c r="CS36" i="1" s="1"/>
  <c r="R36" i="1" s="1"/>
  <c r="GK36" i="1" s="1"/>
  <c r="AF36" i="1"/>
  <c r="CT36" i="1" s="1"/>
  <c r="S36" i="1" s="1"/>
  <c r="AG36" i="1"/>
  <c r="AH36" i="1"/>
  <c r="CV36" i="1" s="1"/>
  <c r="U36" i="1" s="1"/>
  <c r="AI36" i="1"/>
  <c r="CW36" i="1" s="1"/>
  <c r="V36" i="1" s="1"/>
  <c r="AJ36" i="1"/>
  <c r="CX36" i="1" s="1"/>
  <c r="W36" i="1" s="1"/>
  <c r="CQ36" i="1"/>
  <c r="CR36" i="1"/>
  <c r="Q36" i="1" s="1"/>
  <c r="CU36" i="1"/>
  <c r="T36" i="1" s="1"/>
  <c r="CZ36" i="1"/>
  <c r="Y36" i="1" s="1"/>
  <c r="FR36" i="1"/>
  <c r="GL36" i="1"/>
  <c r="GO36" i="1"/>
  <c r="GP36" i="1"/>
  <c r="GV36" i="1"/>
  <c r="HC36" i="1" s="1"/>
  <c r="GX36" i="1" s="1"/>
  <c r="C37" i="1"/>
  <c r="D37" i="1"/>
  <c r="I37" i="1"/>
  <c r="T37" i="1"/>
  <c r="AC37" i="1"/>
  <c r="AD37" i="1"/>
  <c r="AB37" i="1" s="1"/>
  <c r="AE37" i="1"/>
  <c r="CS37" i="1" s="1"/>
  <c r="R37" i="1" s="1"/>
  <c r="GK37" i="1" s="1"/>
  <c r="AF37" i="1"/>
  <c r="CT37" i="1" s="1"/>
  <c r="S37" i="1" s="1"/>
  <c r="AG37" i="1"/>
  <c r="AH37" i="1"/>
  <c r="CV37" i="1" s="1"/>
  <c r="U37" i="1" s="1"/>
  <c r="AI37" i="1"/>
  <c r="CW37" i="1" s="1"/>
  <c r="V37" i="1" s="1"/>
  <c r="AJ37" i="1"/>
  <c r="CX37" i="1" s="1"/>
  <c r="W37" i="1" s="1"/>
  <c r="CQ37" i="1"/>
  <c r="P37" i="1" s="1"/>
  <c r="CR37" i="1"/>
  <c r="Q37" i="1" s="1"/>
  <c r="CU37" i="1"/>
  <c r="CY37" i="1"/>
  <c r="X37" i="1" s="1"/>
  <c r="CZ37" i="1"/>
  <c r="Y37" i="1" s="1"/>
  <c r="FR37" i="1"/>
  <c r="GL37" i="1"/>
  <c r="GO37" i="1"/>
  <c r="GP37" i="1"/>
  <c r="GV37" i="1"/>
  <c r="HC37" i="1" s="1"/>
  <c r="GX37" i="1" s="1"/>
  <c r="C38" i="1"/>
  <c r="D38" i="1"/>
  <c r="I38" i="1"/>
  <c r="T38" i="1"/>
  <c r="AC38" i="1"/>
  <c r="AE38" i="1"/>
  <c r="CS38" i="1" s="1"/>
  <c r="R38" i="1" s="1"/>
  <c r="GK38" i="1" s="1"/>
  <c r="AF38" i="1"/>
  <c r="CT38" i="1" s="1"/>
  <c r="S38" i="1" s="1"/>
  <c r="CZ38" i="1" s="1"/>
  <c r="Y38" i="1" s="1"/>
  <c r="AG38" i="1"/>
  <c r="AH38" i="1"/>
  <c r="AI38" i="1"/>
  <c r="CW38" i="1" s="1"/>
  <c r="V38" i="1" s="1"/>
  <c r="AJ38" i="1"/>
  <c r="CX38" i="1" s="1"/>
  <c r="W38" i="1" s="1"/>
  <c r="CQ38" i="1"/>
  <c r="P38" i="1" s="1"/>
  <c r="CU38" i="1"/>
  <c r="CV38" i="1"/>
  <c r="U38" i="1" s="1"/>
  <c r="CY38" i="1"/>
  <c r="X38" i="1" s="1"/>
  <c r="FR38" i="1"/>
  <c r="GL38" i="1"/>
  <c r="GO38" i="1"/>
  <c r="GP38" i="1"/>
  <c r="GV38" i="1"/>
  <c r="HC38" i="1" s="1"/>
  <c r="GX38" i="1" s="1"/>
  <c r="C39" i="1"/>
  <c r="D39" i="1"/>
  <c r="I39" i="1"/>
  <c r="P39" i="1"/>
  <c r="AC39" i="1"/>
  <c r="AE39" i="1"/>
  <c r="CS39" i="1" s="1"/>
  <c r="R39" i="1" s="1"/>
  <c r="GK39" i="1" s="1"/>
  <c r="AF39" i="1"/>
  <c r="CT39" i="1" s="1"/>
  <c r="S39" i="1" s="1"/>
  <c r="CY39" i="1" s="1"/>
  <c r="X39" i="1" s="1"/>
  <c r="AG39" i="1"/>
  <c r="AH39" i="1"/>
  <c r="AI39" i="1"/>
  <c r="CW39" i="1" s="1"/>
  <c r="V39" i="1" s="1"/>
  <c r="AJ39" i="1"/>
  <c r="CX39" i="1" s="1"/>
  <c r="W39" i="1" s="1"/>
  <c r="CQ39" i="1"/>
  <c r="CU39" i="1"/>
  <c r="T39" i="1" s="1"/>
  <c r="CV39" i="1"/>
  <c r="U39" i="1" s="1"/>
  <c r="CZ39" i="1"/>
  <c r="Y39" i="1" s="1"/>
  <c r="FR39" i="1"/>
  <c r="GL39" i="1"/>
  <c r="GO39" i="1"/>
  <c r="GP39" i="1"/>
  <c r="GV39" i="1"/>
  <c r="HC39" i="1" s="1"/>
  <c r="GX39" i="1"/>
  <c r="I40" i="1"/>
  <c r="R40" i="1"/>
  <c r="S40" i="1"/>
  <c r="CY40" i="1" s="1"/>
  <c r="X40" i="1" s="1"/>
  <c r="W40" i="1"/>
  <c r="AC40" i="1"/>
  <c r="AB40" i="1" s="1"/>
  <c r="AD40" i="1"/>
  <c r="CR40" i="1" s="1"/>
  <c r="Q40" i="1" s="1"/>
  <c r="AE40" i="1"/>
  <c r="AF40" i="1"/>
  <c r="AG40" i="1"/>
  <c r="AH40" i="1"/>
  <c r="CV40" i="1" s="1"/>
  <c r="U40" i="1" s="1"/>
  <c r="AI40" i="1"/>
  <c r="AJ40" i="1"/>
  <c r="CQ40" i="1"/>
  <c r="P40" i="1" s="1"/>
  <c r="CP40" i="1" s="1"/>
  <c r="O40" i="1" s="1"/>
  <c r="CS40" i="1"/>
  <c r="CT40" i="1"/>
  <c r="CU40" i="1"/>
  <c r="T40" i="1" s="1"/>
  <c r="CW40" i="1"/>
  <c r="V40" i="1" s="1"/>
  <c r="CX40" i="1"/>
  <c r="FR40" i="1"/>
  <c r="GK40" i="1"/>
  <c r="GL40" i="1"/>
  <c r="GO40" i="1"/>
  <c r="GP40" i="1"/>
  <c r="GV40" i="1"/>
  <c r="HC40" i="1"/>
  <c r="GX40" i="1" s="1"/>
  <c r="C41" i="1"/>
  <c r="D41" i="1"/>
  <c r="S41" i="1"/>
  <c r="CZ41" i="1" s="1"/>
  <c r="Y41" i="1" s="1"/>
  <c r="W41" i="1"/>
  <c r="AC41" i="1"/>
  <c r="AD41" i="1"/>
  <c r="CR41" i="1" s="1"/>
  <c r="Q41" i="1" s="1"/>
  <c r="AE41" i="1"/>
  <c r="CS41" i="1" s="1"/>
  <c r="R41" i="1" s="1"/>
  <c r="AF41" i="1"/>
  <c r="AG41" i="1"/>
  <c r="AH41" i="1"/>
  <c r="AI41" i="1"/>
  <c r="CW41" i="1" s="1"/>
  <c r="V41" i="1" s="1"/>
  <c r="AJ41" i="1"/>
  <c r="CQ41" i="1"/>
  <c r="P41" i="1" s="1"/>
  <c r="CT41" i="1"/>
  <c r="CU41" i="1"/>
  <c r="T41" i="1" s="1"/>
  <c r="CV41" i="1"/>
  <c r="U41" i="1" s="1"/>
  <c r="CX41" i="1"/>
  <c r="FR41" i="1"/>
  <c r="GK41" i="1"/>
  <c r="GL41" i="1"/>
  <c r="GO41" i="1"/>
  <c r="GP41" i="1"/>
  <c r="GV41" i="1"/>
  <c r="HC41" i="1"/>
  <c r="GX41" i="1" s="1"/>
  <c r="I42" i="1"/>
  <c r="AC42" i="1"/>
  <c r="CQ42" i="1" s="1"/>
  <c r="AE42" i="1"/>
  <c r="AD42" i="1" s="1"/>
  <c r="CR42" i="1" s="1"/>
  <c r="Q42" i="1" s="1"/>
  <c r="AF42" i="1"/>
  <c r="AB42" i="1" s="1"/>
  <c r="AG42" i="1"/>
  <c r="CU42" i="1" s="1"/>
  <c r="AH42" i="1"/>
  <c r="AI42" i="1"/>
  <c r="CW42" i="1" s="1"/>
  <c r="V42" i="1" s="1"/>
  <c r="AJ42" i="1"/>
  <c r="CX42" i="1" s="1"/>
  <c r="W42" i="1" s="1"/>
  <c r="CS42" i="1"/>
  <c r="R42" i="1" s="1"/>
  <c r="GK42" i="1" s="1"/>
  <c r="CT42" i="1"/>
  <c r="S42" i="1" s="1"/>
  <c r="CV42" i="1"/>
  <c r="U42" i="1" s="1"/>
  <c r="FR42" i="1"/>
  <c r="GL42" i="1"/>
  <c r="GO42" i="1"/>
  <c r="GP42" i="1"/>
  <c r="GV42" i="1"/>
  <c r="HC42" i="1" s="1"/>
  <c r="GX42" i="1" s="1"/>
  <c r="I43" i="1"/>
  <c r="T43" i="1"/>
  <c r="U43" i="1"/>
  <c r="AC43" i="1"/>
  <c r="CQ43" i="1" s="1"/>
  <c r="P43" i="1" s="1"/>
  <c r="AE43" i="1"/>
  <c r="CS43" i="1" s="1"/>
  <c r="R43" i="1" s="1"/>
  <c r="AF43" i="1"/>
  <c r="AG43" i="1"/>
  <c r="AH43" i="1"/>
  <c r="AI43" i="1"/>
  <c r="CW43" i="1" s="1"/>
  <c r="V43" i="1" s="1"/>
  <c r="AJ43" i="1"/>
  <c r="CT43" i="1"/>
  <c r="S43" i="1" s="1"/>
  <c r="CU43" i="1"/>
  <c r="CV43" i="1"/>
  <c r="CX43" i="1"/>
  <c r="W43" i="1" s="1"/>
  <c r="FR43" i="1"/>
  <c r="GK43" i="1"/>
  <c r="GL43" i="1"/>
  <c r="GO43" i="1"/>
  <c r="GP43" i="1"/>
  <c r="GV43" i="1"/>
  <c r="HC43" i="1" s="1"/>
  <c r="GX43" i="1" s="1"/>
  <c r="I44" i="1"/>
  <c r="AC44" i="1"/>
  <c r="CQ44" i="1" s="1"/>
  <c r="P44" i="1" s="1"/>
  <c r="CP44" i="1" s="1"/>
  <c r="O44" i="1" s="1"/>
  <c r="AE44" i="1"/>
  <c r="AD44" i="1" s="1"/>
  <c r="AF44" i="1"/>
  <c r="AG44" i="1"/>
  <c r="CU44" i="1" s="1"/>
  <c r="T44" i="1" s="1"/>
  <c r="AH44" i="1"/>
  <c r="AI44" i="1"/>
  <c r="AJ44" i="1"/>
  <c r="CR44" i="1"/>
  <c r="Q44" i="1" s="1"/>
  <c r="CS44" i="1"/>
  <c r="R44" i="1" s="1"/>
  <c r="GK44" i="1" s="1"/>
  <c r="CT44" i="1"/>
  <c r="S44" i="1" s="1"/>
  <c r="CV44" i="1"/>
  <c r="U44" i="1" s="1"/>
  <c r="CW44" i="1"/>
  <c r="V44" i="1" s="1"/>
  <c r="CX44" i="1"/>
  <c r="W44" i="1" s="1"/>
  <c r="FR44" i="1"/>
  <c r="GL44" i="1"/>
  <c r="GO44" i="1"/>
  <c r="GP44" i="1"/>
  <c r="GV44" i="1"/>
  <c r="HC44" i="1"/>
  <c r="GX44" i="1" s="1"/>
  <c r="C45" i="1"/>
  <c r="D45" i="1"/>
  <c r="I45" i="1"/>
  <c r="AB45" i="1"/>
  <c r="AC45" i="1"/>
  <c r="CQ45" i="1" s="1"/>
  <c r="P45" i="1" s="1"/>
  <c r="AE45" i="1"/>
  <c r="AD45" i="1" s="1"/>
  <c r="AF45" i="1"/>
  <c r="AG45" i="1"/>
  <c r="CU45" i="1" s="1"/>
  <c r="T45" i="1" s="1"/>
  <c r="AH45" i="1"/>
  <c r="AI45" i="1"/>
  <c r="AJ45" i="1"/>
  <c r="CX45" i="1" s="1"/>
  <c r="W45" i="1" s="1"/>
  <c r="CR45" i="1"/>
  <c r="Q45" i="1" s="1"/>
  <c r="CP45" i="1" s="1"/>
  <c r="O45" i="1" s="1"/>
  <c r="CS45" i="1"/>
  <c r="R45" i="1" s="1"/>
  <c r="GK45" i="1" s="1"/>
  <c r="CT45" i="1"/>
  <c r="S45" i="1" s="1"/>
  <c r="CV45" i="1"/>
  <c r="U45" i="1" s="1"/>
  <c r="CW45" i="1"/>
  <c r="V45" i="1" s="1"/>
  <c r="FR45" i="1"/>
  <c r="GL45" i="1"/>
  <c r="GO45" i="1"/>
  <c r="GP45" i="1"/>
  <c r="GV45" i="1"/>
  <c r="GX45" i="1"/>
  <c r="HC45" i="1"/>
  <c r="AC46" i="1"/>
  <c r="AD46" i="1"/>
  <c r="CR46" i="1" s="1"/>
  <c r="AE46" i="1"/>
  <c r="CS46" i="1" s="1"/>
  <c r="AF46" i="1"/>
  <c r="AG46" i="1"/>
  <c r="AH46" i="1"/>
  <c r="AI46" i="1"/>
  <c r="CW46" i="1" s="1"/>
  <c r="AJ46" i="1"/>
  <c r="CQ46" i="1"/>
  <c r="CT46" i="1"/>
  <c r="CU46" i="1"/>
  <c r="CV46" i="1"/>
  <c r="CX46" i="1"/>
  <c r="FR46" i="1"/>
  <c r="GL46" i="1"/>
  <c r="GO46" i="1"/>
  <c r="GP46" i="1"/>
  <c r="GV46" i="1"/>
  <c r="HC46" i="1"/>
  <c r="I47" i="1"/>
  <c r="AC47" i="1"/>
  <c r="CQ47" i="1" s="1"/>
  <c r="AE47" i="1"/>
  <c r="AD47" i="1" s="1"/>
  <c r="CR47" i="1" s="1"/>
  <c r="Q47" i="1" s="1"/>
  <c r="AF47" i="1"/>
  <c r="AB47" i="1" s="1"/>
  <c r="AG47" i="1"/>
  <c r="CU47" i="1" s="1"/>
  <c r="AH47" i="1"/>
  <c r="AI47" i="1"/>
  <c r="CW47" i="1" s="1"/>
  <c r="V47" i="1" s="1"/>
  <c r="AJ47" i="1"/>
  <c r="CX47" i="1" s="1"/>
  <c r="W47" i="1" s="1"/>
  <c r="CS47" i="1"/>
  <c r="R47" i="1" s="1"/>
  <c r="GK47" i="1" s="1"/>
  <c r="CT47" i="1"/>
  <c r="S47" i="1" s="1"/>
  <c r="CV47" i="1"/>
  <c r="U47" i="1" s="1"/>
  <c r="FR47" i="1"/>
  <c r="GL47" i="1"/>
  <c r="GO47" i="1"/>
  <c r="GP47" i="1"/>
  <c r="GV47" i="1"/>
  <c r="HC47" i="1" s="1"/>
  <c r="GX47" i="1" s="1"/>
  <c r="C48" i="1"/>
  <c r="D48" i="1"/>
  <c r="I48" i="1"/>
  <c r="I50" i="1" s="1"/>
  <c r="AC48" i="1"/>
  <c r="CQ48" i="1" s="1"/>
  <c r="AE48" i="1"/>
  <c r="AD48" i="1" s="1"/>
  <c r="CR48" i="1" s="1"/>
  <c r="Q48" i="1" s="1"/>
  <c r="AF48" i="1"/>
  <c r="AG48" i="1"/>
  <c r="CU48" i="1" s="1"/>
  <c r="AH48" i="1"/>
  <c r="AI48" i="1"/>
  <c r="CW48" i="1" s="1"/>
  <c r="V48" i="1" s="1"/>
  <c r="AJ48" i="1"/>
  <c r="CS48" i="1"/>
  <c r="R48" i="1" s="1"/>
  <c r="GK48" i="1" s="1"/>
  <c r="CT48" i="1"/>
  <c r="S48" i="1" s="1"/>
  <c r="CV48" i="1"/>
  <c r="U48" i="1" s="1"/>
  <c r="CX48" i="1"/>
  <c r="W48" i="1" s="1"/>
  <c r="FR48" i="1"/>
  <c r="GL48" i="1"/>
  <c r="GO48" i="1"/>
  <c r="GP48" i="1"/>
  <c r="GV48" i="1"/>
  <c r="HC48" i="1" s="1"/>
  <c r="GX48" i="1" s="1"/>
  <c r="AC49" i="1"/>
  <c r="CQ49" i="1" s="1"/>
  <c r="AE49" i="1"/>
  <c r="CS49" i="1" s="1"/>
  <c r="AF49" i="1"/>
  <c r="AG49" i="1"/>
  <c r="AH49" i="1"/>
  <c r="AI49" i="1"/>
  <c r="CW49" i="1" s="1"/>
  <c r="AJ49" i="1"/>
  <c r="CT49" i="1"/>
  <c r="CU49" i="1"/>
  <c r="CV49" i="1"/>
  <c r="CX49" i="1"/>
  <c r="FR49" i="1"/>
  <c r="GL49" i="1"/>
  <c r="GO49" i="1"/>
  <c r="GP49" i="1"/>
  <c r="GV49" i="1"/>
  <c r="HC49" i="1"/>
  <c r="W50" i="1"/>
  <c r="AC50" i="1"/>
  <c r="AE50" i="1"/>
  <c r="AD50" i="1" s="1"/>
  <c r="CR50" i="1" s="1"/>
  <c r="Q50" i="1" s="1"/>
  <c r="AF50" i="1"/>
  <c r="AG50" i="1"/>
  <c r="CU50" i="1" s="1"/>
  <c r="AH50" i="1"/>
  <c r="AI50" i="1"/>
  <c r="CW50" i="1" s="1"/>
  <c r="V50" i="1" s="1"/>
  <c r="AJ50" i="1"/>
  <c r="CT50" i="1"/>
  <c r="S50" i="1" s="1"/>
  <c r="CV50" i="1"/>
  <c r="U50" i="1" s="1"/>
  <c r="CX50" i="1"/>
  <c r="FR50" i="1"/>
  <c r="GL50" i="1"/>
  <c r="GO50" i="1"/>
  <c r="GP50" i="1"/>
  <c r="GV50" i="1"/>
  <c r="HC50" i="1"/>
  <c r="GX50" i="1" s="1"/>
  <c r="C51" i="1"/>
  <c r="D51" i="1"/>
  <c r="I51" i="1"/>
  <c r="U51" i="1"/>
  <c r="AB51" i="1"/>
  <c r="AC51" i="1"/>
  <c r="CQ51" i="1" s="1"/>
  <c r="P51" i="1" s="1"/>
  <c r="AE51" i="1"/>
  <c r="AD51" i="1" s="1"/>
  <c r="AF51" i="1"/>
  <c r="AG51" i="1"/>
  <c r="CU51" i="1" s="1"/>
  <c r="T51" i="1" s="1"/>
  <c r="AH51" i="1"/>
  <c r="AI51" i="1"/>
  <c r="AJ51" i="1"/>
  <c r="CX51" i="1" s="1"/>
  <c r="W51" i="1" s="1"/>
  <c r="CR51" i="1"/>
  <c r="Q51" i="1" s="1"/>
  <c r="CP51" i="1" s="1"/>
  <c r="O51" i="1" s="1"/>
  <c r="CS51" i="1"/>
  <c r="R51" i="1" s="1"/>
  <c r="GK51" i="1" s="1"/>
  <c r="CT51" i="1"/>
  <c r="S51" i="1" s="1"/>
  <c r="CV51" i="1"/>
  <c r="CW51" i="1"/>
  <c r="V51" i="1" s="1"/>
  <c r="FR51" i="1"/>
  <c r="GL51" i="1"/>
  <c r="GO51" i="1"/>
  <c r="GP51" i="1"/>
  <c r="GV51" i="1"/>
  <c r="HC51" i="1"/>
  <c r="GX51" i="1" s="1"/>
  <c r="C52" i="1"/>
  <c r="D52" i="1"/>
  <c r="I52" i="1"/>
  <c r="U52" i="1"/>
  <c r="AB52" i="1"/>
  <c r="AC52" i="1"/>
  <c r="CQ52" i="1" s="1"/>
  <c r="AE52" i="1"/>
  <c r="AD52" i="1" s="1"/>
  <c r="CR52" i="1" s="1"/>
  <c r="Q52" i="1" s="1"/>
  <c r="AF52" i="1"/>
  <c r="AG52" i="1"/>
  <c r="CU52" i="1" s="1"/>
  <c r="T52" i="1" s="1"/>
  <c r="AH52" i="1"/>
  <c r="AI52" i="1"/>
  <c r="CW52" i="1" s="1"/>
  <c r="V52" i="1" s="1"/>
  <c r="AJ52" i="1"/>
  <c r="CX52" i="1" s="1"/>
  <c r="W52" i="1" s="1"/>
  <c r="CS52" i="1"/>
  <c r="CT52" i="1"/>
  <c r="S52" i="1" s="1"/>
  <c r="CV52" i="1"/>
  <c r="FR52" i="1"/>
  <c r="GL52" i="1"/>
  <c r="GO52" i="1"/>
  <c r="GP52" i="1"/>
  <c r="GV52" i="1"/>
  <c r="HC52" i="1" s="1"/>
  <c r="GX52" i="1"/>
  <c r="C53" i="1"/>
  <c r="D53" i="1"/>
  <c r="I53" i="1"/>
  <c r="R53" i="1"/>
  <c r="GK53" i="1" s="1"/>
  <c r="AC53" i="1"/>
  <c r="CQ53" i="1" s="1"/>
  <c r="AE53" i="1"/>
  <c r="AD53" i="1" s="1"/>
  <c r="CR53" i="1" s="1"/>
  <c r="AF53" i="1"/>
  <c r="AG53" i="1"/>
  <c r="CU53" i="1" s="1"/>
  <c r="AH53" i="1"/>
  <c r="AI53" i="1"/>
  <c r="CW53" i="1" s="1"/>
  <c r="AJ53" i="1"/>
  <c r="CS53" i="1"/>
  <c r="CT53" i="1"/>
  <c r="S53" i="1" s="1"/>
  <c r="CV53" i="1"/>
  <c r="CX53" i="1"/>
  <c r="W53" i="1" s="1"/>
  <c r="FR53" i="1"/>
  <c r="GL53" i="1"/>
  <c r="GO53" i="1"/>
  <c r="GP53" i="1"/>
  <c r="GV53" i="1"/>
  <c r="HC53" i="1" s="1"/>
  <c r="AC54" i="1"/>
  <c r="AE54" i="1"/>
  <c r="AF54" i="1"/>
  <c r="AG54" i="1"/>
  <c r="AH54" i="1"/>
  <c r="AI54" i="1"/>
  <c r="CW54" i="1" s="1"/>
  <c r="AJ54" i="1"/>
  <c r="CT54" i="1"/>
  <c r="CU54" i="1"/>
  <c r="CV54" i="1"/>
  <c r="CX54" i="1"/>
  <c r="FR54" i="1"/>
  <c r="GL54" i="1"/>
  <c r="GO54" i="1"/>
  <c r="GP54" i="1"/>
  <c r="GV54" i="1"/>
  <c r="HC54" i="1"/>
  <c r="AC55" i="1"/>
  <c r="CQ55" i="1" s="1"/>
  <c r="AE55" i="1"/>
  <c r="AD55" i="1" s="1"/>
  <c r="AF55" i="1"/>
  <c r="AG55" i="1"/>
  <c r="CU55" i="1" s="1"/>
  <c r="AH55" i="1"/>
  <c r="AI55" i="1"/>
  <c r="AJ55" i="1"/>
  <c r="CR55" i="1"/>
  <c r="CS55" i="1"/>
  <c r="CT55" i="1"/>
  <c r="CV55" i="1"/>
  <c r="CW55" i="1"/>
  <c r="CX55" i="1"/>
  <c r="FR55" i="1"/>
  <c r="GL55" i="1"/>
  <c r="GO55" i="1"/>
  <c r="GP55" i="1"/>
  <c r="GV55" i="1"/>
  <c r="HC55" i="1"/>
  <c r="C56" i="1"/>
  <c r="D56" i="1"/>
  <c r="I56" i="1"/>
  <c r="I58" i="1" s="1"/>
  <c r="S58" i="1" s="1"/>
  <c r="S56" i="1"/>
  <c r="V56" i="1"/>
  <c r="AB56" i="1"/>
  <c r="AC56" i="1"/>
  <c r="CQ56" i="1" s="1"/>
  <c r="P56" i="1" s="1"/>
  <c r="AE56" i="1"/>
  <c r="AD56" i="1" s="1"/>
  <c r="AF56" i="1"/>
  <c r="AG56" i="1"/>
  <c r="CU56" i="1" s="1"/>
  <c r="T56" i="1" s="1"/>
  <c r="AH56" i="1"/>
  <c r="AI56" i="1"/>
  <c r="AJ56" i="1"/>
  <c r="CX56" i="1" s="1"/>
  <c r="CR56" i="1"/>
  <c r="Q56" i="1" s="1"/>
  <c r="CP56" i="1" s="1"/>
  <c r="O56" i="1" s="1"/>
  <c r="CS56" i="1"/>
  <c r="R56" i="1" s="1"/>
  <c r="GK56" i="1" s="1"/>
  <c r="CT56" i="1"/>
  <c r="CV56" i="1"/>
  <c r="U56" i="1" s="1"/>
  <c r="CW56" i="1"/>
  <c r="CZ56" i="1"/>
  <c r="Y56" i="1" s="1"/>
  <c r="FR56" i="1"/>
  <c r="GL56" i="1"/>
  <c r="GO56" i="1"/>
  <c r="GP56" i="1"/>
  <c r="GV56" i="1"/>
  <c r="HC56" i="1" s="1"/>
  <c r="GX56" i="1" s="1"/>
  <c r="AC57" i="1"/>
  <c r="AD57" i="1"/>
  <c r="CR57" i="1" s="1"/>
  <c r="AE57" i="1"/>
  <c r="CS57" i="1" s="1"/>
  <c r="AF57" i="1"/>
  <c r="AG57" i="1"/>
  <c r="AH57" i="1"/>
  <c r="AI57" i="1"/>
  <c r="CW57" i="1" s="1"/>
  <c r="AJ57" i="1"/>
  <c r="CQ57" i="1"/>
  <c r="CT57" i="1"/>
  <c r="CU57" i="1"/>
  <c r="CV57" i="1"/>
  <c r="CX57" i="1"/>
  <c r="FR57" i="1"/>
  <c r="GL57" i="1"/>
  <c r="GO57" i="1"/>
  <c r="GP57" i="1"/>
  <c r="GV57" i="1"/>
  <c r="HC57" i="1"/>
  <c r="AB58" i="1"/>
  <c r="AC58" i="1"/>
  <c r="CQ58" i="1" s="1"/>
  <c r="AE58" i="1"/>
  <c r="AD58" i="1" s="1"/>
  <c r="CR58" i="1" s="1"/>
  <c r="AF58" i="1"/>
  <c r="AG58" i="1"/>
  <c r="CU58" i="1" s="1"/>
  <c r="AH58" i="1"/>
  <c r="AI58" i="1"/>
  <c r="CW58" i="1" s="1"/>
  <c r="AJ58" i="1"/>
  <c r="CT58" i="1"/>
  <c r="CV58" i="1"/>
  <c r="U58" i="1" s="1"/>
  <c r="CX58" i="1"/>
  <c r="FR58" i="1"/>
  <c r="GL58" i="1"/>
  <c r="GO58" i="1"/>
  <c r="GP58" i="1"/>
  <c r="GV58" i="1"/>
  <c r="HC58" i="1" s="1"/>
  <c r="GX58" i="1" s="1"/>
  <c r="AC59" i="1"/>
  <c r="AD59" i="1"/>
  <c r="CR59" i="1" s="1"/>
  <c r="AE59" i="1"/>
  <c r="AF59" i="1"/>
  <c r="AG59" i="1"/>
  <c r="AH59" i="1"/>
  <c r="CV59" i="1" s="1"/>
  <c r="AI59" i="1"/>
  <c r="AJ59" i="1"/>
  <c r="CX59" i="1" s="1"/>
  <c r="CQ59" i="1"/>
  <c r="CS59" i="1"/>
  <c r="CT59" i="1"/>
  <c r="CU59" i="1"/>
  <c r="CW59" i="1"/>
  <c r="FR59" i="1"/>
  <c r="GL59" i="1"/>
  <c r="GO59" i="1"/>
  <c r="GP59" i="1"/>
  <c r="GV59" i="1"/>
  <c r="HC59" i="1"/>
  <c r="I60" i="1"/>
  <c r="T60" i="1"/>
  <c r="AC60" i="1"/>
  <c r="AE60" i="1"/>
  <c r="AD60" i="1" s="1"/>
  <c r="AF60" i="1"/>
  <c r="CT60" i="1" s="1"/>
  <c r="AG60" i="1"/>
  <c r="AH60" i="1"/>
  <c r="AI60" i="1"/>
  <c r="CW60" i="1" s="1"/>
  <c r="V60" i="1" s="1"/>
  <c r="AJ60" i="1"/>
  <c r="CX60" i="1" s="1"/>
  <c r="CQ60" i="1"/>
  <c r="P60" i="1" s="1"/>
  <c r="CS60" i="1"/>
  <c r="R60" i="1" s="1"/>
  <c r="GK60" i="1" s="1"/>
  <c r="CU60" i="1"/>
  <c r="CV60" i="1"/>
  <c r="U60" i="1" s="1"/>
  <c r="FR60" i="1"/>
  <c r="GL60" i="1"/>
  <c r="GO60" i="1"/>
  <c r="GP60" i="1"/>
  <c r="GV60" i="1"/>
  <c r="HC60" i="1" s="1"/>
  <c r="GX60" i="1" s="1"/>
  <c r="I61" i="1"/>
  <c r="V61" i="1" s="1"/>
  <c r="S61" i="1"/>
  <c r="AC61" i="1"/>
  <c r="CQ61" i="1" s="1"/>
  <c r="P61" i="1" s="1"/>
  <c r="AD61" i="1"/>
  <c r="CR61" i="1" s="1"/>
  <c r="AE61" i="1"/>
  <c r="AF61" i="1"/>
  <c r="AG61" i="1"/>
  <c r="AH61" i="1"/>
  <c r="CV61" i="1" s="1"/>
  <c r="AI61" i="1"/>
  <c r="AJ61" i="1"/>
  <c r="CS61" i="1"/>
  <c r="R61" i="1" s="1"/>
  <c r="GK61" i="1" s="1"/>
  <c r="CT61" i="1"/>
  <c r="CU61" i="1"/>
  <c r="T61" i="1" s="1"/>
  <c r="CW61" i="1"/>
  <c r="CX61" i="1"/>
  <c r="W61" i="1" s="1"/>
  <c r="FR61" i="1"/>
  <c r="GL61" i="1"/>
  <c r="GO61" i="1"/>
  <c r="GP61" i="1"/>
  <c r="GV61" i="1"/>
  <c r="HC61" i="1"/>
  <c r="GX61" i="1" s="1"/>
  <c r="I62" i="1"/>
  <c r="P62" i="1"/>
  <c r="R62" i="1"/>
  <c r="GK62" i="1" s="1"/>
  <c r="AC62" i="1"/>
  <c r="AD62" i="1"/>
  <c r="AE62" i="1"/>
  <c r="AF62" i="1"/>
  <c r="CT62" i="1" s="1"/>
  <c r="S62" i="1" s="1"/>
  <c r="CY62" i="1" s="1"/>
  <c r="X62" i="1" s="1"/>
  <c r="AG62" i="1"/>
  <c r="AH62" i="1"/>
  <c r="CV62" i="1" s="1"/>
  <c r="U62" i="1" s="1"/>
  <c r="AI62" i="1"/>
  <c r="AJ62" i="1"/>
  <c r="CX62" i="1" s="1"/>
  <c r="W62" i="1" s="1"/>
  <c r="CQ62" i="1"/>
  <c r="CR62" i="1"/>
  <c r="Q62" i="1" s="1"/>
  <c r="CS62" i="1"/>
  <c r="CU62" i="1"/>
  <c r="T62" i="1" s="1"/>
  <c r="CW62" i="1"/>
  <c r="V62" i="1" s="1"/>
  <c r="CZ62" i="1"/>
  <c r="Y62" i="1" s="1"/>
  <c r="FR62" i="1"/>
  <c r="GL62" i="1"/>
  <c r="GO62" i="1"/>
  <c r="GP62" i="1"/>
  <c r="GV62" i="1"/>
  <c r="HC62" i="1" s="1"/>
  <c r="GX62" i="1"/>
  <c r="AC63" i="1"/>
  <c r="AD63" i="1"/>
  <c r="CR63" i="1" s="1"/>
  <c r="AE63" i="1"/>
  <c r="AF63" i="1"/>
  <c r="AG63" i="1"/>
  <c r="AH63" i="1"/>
  <c r="CV63" i="1" s="1"/>
  <c r="AI63" i="1"/>
  <c r="AJ63" i="1"/>
  <c r="CX63" i="1" s="1"/>
  <c r="CQ63" i="1"/>
  <c r="CS63" i="1"/>
  <c r="CT63" i="1"/>
  <c r="CU63" i="1"/>
  <c r="CW63" i="1"/>
  <c r="FR63" i="1"/>
  <c r="GL63" i="1"/>
  <c r="GO63" i="1"/>
  <c r="GP63" i="1"/>
  <c r="GV63" i="1"/>
  <c r="HC63" i="1"/>
  <c r="I64" i="1"/>
  <c r="T64" i="1"/>
  <c r="AC64" i="1"/>
  <c r="AE64" i="1"/>
  <c r="AD64" i="1" s="1"/>
  <c r="AF64" i="1"/>
  <c r="CT64" i="1" s="1"/>
  <c r="AG64" i="1"/>
  <c r="AH64" i="1"/>
  <c r="AI64" i="1"/>
  <c r="CW64" i="1" s="1"/>
  <c r="V64" i="1" s="1"/>
  <c r="AJ64" i="1"/>
  <c r="CX64" i="1" s="1"/>
  <c r="CQ64" i="1"/>
  <c r="P64" i="1" s="1"/>
  <c r="CS64" i="1"/>
  <c r="R64" i="1" s="1"/>
  <c r="GK64" i="1" s="1"/>
  <c r="CU64" i="1"/>
  <c r="CV64" i="1"/>
  <c r="U64" i="1" s="1"/>
  <c r="FR64" i="1"/>
  <c r="GL64" i="1"/>
  <c r="GO64" i="1"/>
  <c r="GP64" i="1"/>
  <c r="GV64" i="1"/>
  <c r="HC64" i="1" s="1"/>
  <c r="GX64" i="1" s="1"/>
  <c r="I65" i="1"/>
  <c r="S65" i="1"/>
  <c r="V65" i="1"/>
  <c r="AC65" i="1"/>
  <c r="AB65" i="1" s="1"/>
  <c r="AD65" i="1"/>
  <c r="CR65" i="1" s="1"/>
  <c r="AE65" i="1"/>
  <c r="AF65" i="1"/>
  <c r="AG65" i="1"/>
  <c r="AH65" i="1"/>
  <c r="CV65" i="1" s="1"/>
  <c r="AI65" i="1"/>
  <c r="AJ65" i="1"/>
  <c r="CS65" i="1"/>
  <c r="R65" i="1" s="1"/>
  <c r="GK65" i="1" s="1"/>
  <c r="CT65" i="1"/>
  <c r="CU65" i="1"/>
  <c r="T65" i="1" s="1"/>
  <c r="CW65" i="1"/>
  <c r="CX65" i="1"/>
  <c r="W65" i="1" s="1"/>
  <c r="FR65" i="1"/>
  <c r="GL65" i="1"/>
  <c r="GO65" i="1"/>
  <c r="GP65" i="1"/>
  <c r="GV65" i="1"/>
  <c r="HC65" i="1"/>
  <c r="GX65" i="1" s="1"/>
  <c r="AC66" i="1"/>
  <c r="AD66" i="1"/>
  <c r="AB66" i="1" s="1"/>
  <c r="AE66" i="1"/>
  <c r="AF66" i="1"/>
  <c r="CT66" i="1" s="1"/>
  <c r="AG66" i="1"/>
  <c r="AH66" i="1"/>
  <c r="CV66" i="1" s="1"/>
  <c r="AI66" i="1"/>
  <c r="AJ66" i="1"/>
  <c r="CX66" i="1" s="1"/>
  <c r="CQ66" i="1"/>
  <c r="CR66" i="1"/>
  <c r="CS66" i="1"/>
  <c r="CU66" i="1"/>
  <c r="CW66" i="1"/>
  <c r="FR66" i="1"/>
  <c r="GL66" i="1"/>
  <c r="GO66" i="1"/>
  <c r="GP66" i="1"/>
  <c r="GV66" i="1"/>
  <c r="HC66" i="1" s="1"/>
  <c r="I67" i="1"/>
  <c r="R67" i="1"/>
  <c r="T67" i="1"/>
  <c r="AC67" i="1"/>
  <c r="AD67" i="1"/>
  <c r="CR67" i="1" s="1"/>
  <c r="Q67" i="1" s="1"/>
  <c r="AE67" i="1"/>
  <c r="AF67" i="1"/>
  <c r="AB67" i="1" s="1"/>
  <c r="AG67" i="1"/>
  <c r="AH67" i="1"/>
  <c r="CV67" i="1" s="1"/>
  <c r="U67" i="1" s="1"/>
  <c r="AI67" i="1"/>
  <c r="AJ67" i="1"/>
  <c r="CX67" i="1" s="1"/>
  <c r="W67" i="1" s="1"/>
  <c r="CQ67" i="1"/>
  <c r="P67" i="1" s="1"/>
  <c r="CP67" i="1" s="1"/>
  <c r="O67" i="1" s="1"/>
  <c r="CS67" i="1"/>
  <c r="CT67" i="1"/>
  <c r="S67" i="1" s="1"/>
  <c r="CU67" i="1"/>
  <c r="CW67" i="1"/>
  <c r="V67" i="1" s="1"/>
  <c r="FR67" i="1"/>
  <c r="GK67" i="1"/>
  <c r="GL67" i="1"/>
  <c r="GO67" i="1"/>
  <c r="GP67" i="1"/>
  <c r="GV67" i="1"/>
  <c r="GX67" i="1"/>
  <c r="HC67" i="1"/>
  <c r="I68" i="1"/>
  <c r="T68" i="1"/>
  <c r="AC68" i="1"/>
  <c r="AE68" i="1"/>
  <c r="AD68" i="1" s="1"/>
  <c r="AF68" i="1"/>
  <c r="CT68" i="1" s="1"/>
  <c r="AG68" i="1"/>
  <c r="AH68" i="1"/>
  <c r="AI68" i="1"/>
  <c r="CW68" i="1" s="1"/>
  <c r="V68" i="1" s="1"/>
  <c r="AJ68" i="1"/>
  <c r="CX68" i="1" s="1"/>
  <c r="CQ68" i="1"/>
  <c r="P68" i="1" s="1"/>
  <c r="CS68" i="1"/>
  <c r="R68" i="1" s="1"/>
  <c r="GK68" i="1" s="1"/>
  <c r="CU68" i="1"/>
  <c r="CV68" i="1"/>
  <c r="U68" i="1" s="1"/>
  <c r="FR68" i="1"/>
  <c r="GL68" i="1"/>
  <c r="GO68" i="1"/>
  <c r="GP68" i="1"/>
  <c r="GV68" i="1"/>
  <c r="HC68" i="1" s="1"/>
  <c r="GX68" i="1" s="1"/>
  <c r="C69" i="1"/>
  <c r="D69" i="1"/>
  <c r="I69" i="1"/>
  <c r="I71" i="1" s="1"/>
  <c r="T69" i="1"/>
  <c r="AC69" i="1"/>
  <c r="AE69" i="1"/>
  <c r="AD69" i="1" s="1"/>
  <c r="AF69" i="1"/>
  <c r="CT69" i="1" s="1"/>
  <c r="AG69" i="1"/>
  <c r="AH69" i="1"/>
  <c r="AI69" i="1"/>
  <c r="CW69" i="1" s="1"/>
  <c r="V69" i="1" s="1"/>
  <c r="AJ69" i="1"/>
  <c r="CX69" i="1" s="1"/>
  <c r="CQ69" i="1"/>
  <c r="P69" i="1" s="1"/>
  <c r="CS69" i="1"/>
  <c r="R69" i="1" s="1"/>
  <c r="GK69" i="1" s="1"/>
  <c r="CU69" i="1"/>
  <c r="CV69" i="1"/>
  <c r="U69" i="1" s="1"/>
  <c r="FR69" i="1"/>
  <c r="GL69" i="1"/>
  <c r="GO69" i="1"/>
  <c r="GP69" i="1"/>
  <c r="GV69" i="1"/>
  <c r="HC69" i="1" s="1"/>
  <c r="GX69" i="1" s="1"/>
  <c r="I70" i="1"/>
  <c r="V70" i="1" s="1"/>
  <c r="S70" i="1"/>
  <c r="CY70" i="1" s="1"/>
  <c r="X70" i="1" s="1"/>
  <c r="AC70" i="1"/>
  <c r="CQ70" i="1" s="1"/>
  <c r="P70" i="1" s="1"/>
  <c r="AD70" i="1"/>
  <c r="CR70" i="1" s="1"/>
  <c r="AE70" i="1"/>
  <c r="AF70" i="1"/>
  <c r="AG70" i="1"/>
  <c r="AH70" i="1"/>
  <c r="CV70" i="1" s="1"/>
  <c r="AI70" i="1"/>
  <c r="AJ70" i="1"/>
  <c r="CS70" i="1"/>
  <c r="R70" i="1" s="1"/>
  <c r="GK70" i="1" s="1"/>
  <c r="CT70" i="1"/>
  <c r="CU70" i="1"/>
  <c r="T70" i="1" s="1"/>
  <c r="CW70" i="1"/>
  <c r="CX70" i="1"/>
  <c r="W70" i="1" s="1"/>
  <c r="FR70" i="1"/>
  <c r="GL70" i="1"/>
  <c r="GO70" i="1"/>
  <c r="GP70" i="1"/>
  <c r="GV70" i="1"/>
  <c r="HC70" i="1"/>
  <c r="GX70" i="1" s="1"/>
  <c r="AC71" i="1"/>
  <c r="AD71" i="1"/>
  <c r="AE71" i="1"/>
  <c r="AF71" i="1"/>
  <c r="CT71" i="1" s="1"/>
  <c r="AG71" i="1"/>
  <c r="AH71" i="1"/>
  <c r="CV71" i="1" s="1"/>
  <c r="U71" i="1" s="1"/>
  <c r="AI71" i="1"/>
  <c r="AJ71" i="1"/>
  <c r="CX71" i="1" s="1"/>
  <c r="CQ71" i="1"/>
  <c r="CR71" i="1"/>
  <c r="Q71" i="1" s="1"/>
  <c r="CS71" i="1"/>
  <c r="CU71" i="1"/>
  <c r="T71" i="1" s="1"/>
  <c r="CW71" i="1"/>
  <c r="V71" i="1" s="1"/>
  <c r="FR71" i="1"/>
  <c r="GL71" i="1"/>
  <c r="GO71" i="1"/>
  <c r="GP71" i="1"/>
  <c r="GV71" i="1"/>
  <c r="HC71" i="1" s="1"/>
  <c r="AC72" i="1"/>
  <c r="AD72" i="1"/>
  <c r="CR72" i="1" s="1"/>
  <c r="AE72" i="1"/>
  <c r="AF72" i="1"/>
  <c r="AG72" i="1"/>
  <c r="AH72" i="1"/>
  <c r="CV72" i="1" s="1"/>
  <c r="AI72" i="1"/>
  <c r="AJ72" i="1"/>
  <c r="CX72" i="1" s="1"/>
  <c r="CQ72" i="1"/>
  <c r="CS72" i="1"/>
  <c r="CT72" i="1"/>
  <c r="CU72" i="1"/>
  <c r="CW72" i="1"/>
  <c r="FR72" i="1"/>
  <c r="GL72" i="1"/>
  <c r="GO72" i="1"/>
  <c r="GP72" i="1"/>
  <c r="GV72" i="1"/>
  <c r="HC72" i="1"/>
  <c r="C73" i="1"/>
  <c r="D73" i="1"/>
  <c r="I73" i="1"/>
  <c r="S73" i="1"/>
  <c r="CY73" i="1" s="1"/>
  <c r="X73" i="1" s="1"/>
  <c r="V73" i="1"/>
  <c r="AC73" i="1"/>
  <c r="AB73" i="1" s="1"/>
  <c r="AD73" i="1"/>
  <c r="CR73" i="1" s="1"/>
  <c r="AE73" i="1"/>
  <c r="AF73" i="1"/>
  <c r="AG73" i="1"/>
  <c r="AH73" i="1"/>
  <c r="CV73" i="1" s="1"/>
  <c r="AI73" i="1"/>
  <c r="AJ73" i="1"/>
  <c r="CS73" i="1"/>
  <c r="R73" i="1" s="1"/>
  <c r="GK73" i="1" s="1"/>
  <c r="CT73" i="1"/>
  <c r="CU73" i="1"/>
  <c r="T73" i="1" s="1"/>
  <c r="CW73" i="1"/>
  <c r="CX73" i="1"/>
  <c r="W73" i="1" s="1"/>
  <c r="FR73" i="1"/>
  <c r="GL73" i="1"/>
  <c r="GO73" i="1"/>
  <c r="GP73" i="1"/>
  <c r="GV73" i="1"/>
  <c r="HC73" i="1"/>
  <c r="GX73" i="1" s="1"/>
  <c r="C74" i="1"/>
  <c r="D74" i="1"/>
  <c r="I74" i="1"/>
  <c r="I79" i="1" s="1"/>
  <c r="R74" i="1"/>
  <c r="T74" i="1"/>
  <c r="AC74" i="1"/>
  <c r="AD74" i="1"/>
  <c r="CR74" i="1" s="1"/>
  <c r="Q74" i="1" s="1"/>
  <c r="AE74" i="1"/>
  <c r="AF74" i="1"/>
  <c r="AB74" i="1" s="1"/>
  <c r="AG74" i="1"/>
  <c r="AH74" i="1"/>
  <c r="CV74" i="1" s="1"/>
  <c r="U74" i="1" s="1"/>
  <c r="AI74" i="1"/>
  <c r="AJ74" i="1"/>
  <c r="CX74" i="1" s="1"/>
  <c r="W74" i="1" s="1"/>
  <c r="CQ74" i="1"/>
  <c r="P74" i="1" s="1"/>
  <c r="CS74" i="1"/>
  <c r="CT74" i="1"/>
  <c r="S74" i="1" s="1"/>
  <c r="CU74" i="1"/>
  <c r="CW74" i="1"/>
  <c r="V74" i="1" s="1"/>
  <c r="FR74" i="1"/>
  <c r="GK74" i="1"/>
  <c r="GL74" i="1"/>
  <c r="GO74" i="1"/>
  <c r="GP74" i="1"/>
  <c r="GV74" i="1"/>
  <c r="GX74" i="1"/>
  <c r="HC74" i="1"/>
  <c r="I75" i="1"/>
  <c r="T75" i="1"/>
  <c r="AC75" i="1"/>
  <c r="AE75" i="1"/>
  <c r="AD75" i="1" s="1"/>
  <c r="AF75" i="1"/>
  <c r="CT75" i="1" s="1"/>
  <c r="AG75" i="1"/>
  <c r="AH75" i="1"/>
  <c r="AI75" i="1"/>
  <c r="CW75" i="1" s="1"/>
  <c r="V75" i="1" s="1"/>
  <c r="AJ75" i="1"/>
  <c r="CX75" i="1" s="1"/>
  <c r="CQ75" i="1"/>
  <c r="P75" i="1" s="1"/>
  <c r="CS75" i="1"/>
  <c r="R75" i="1" s="1"/>
  <c r="GK75" i="1" s="1"/>
  <c r="CU75" i="1"/>
  <c r="CV75" i="1"/>
  <c r="U75" i="1" s="1"/>
  <c r="FR75" i="1"/>
  <c r="GL75" i="1"/>
  <c r="GO75" i="1"/>
  <c r="GP75" i="1"/>
  <c r="GV75" i="1"/>
  <c r="HC75" i="1" s="1"/>
  <c r="GX75" i="1" s="1"/>
  <c r="I76" i="1"/>
  <c r="V76" i="1" s="1"/>
  <c r="S76" i="1"/>
  <c r="CY76" i="1" s="1"/>
  <c r="X76" i="1" s="1"/>
  <c r="AC76" i="1"/>
  <c r="CQ76" i="1" s="1"/>
  <c r="P76" i="1" s="1"/>
  <c r="AD76" i="1"/>
  <c r="CR76" i="1" s="1"/>
  <c r="AE76" i="1"/>
  <c r="AF76" i="1"/>
  <c r="AG76" i="1"/>
  <c r="AH76" i="1"/>
  <c r="CV76" i="1" s="1"/>
  <c r="AI76" i="1"/>
  <c r="AJ76" i="1"/>
  <c r="CS76" i="1"/>
  <c r="R76" i="1" s="1"/>
  <c r="GK76" i="1" s="1"/>
  <c r="CT76" i="1"/>
  <c r="CU76" i="1"/>
  <c r="T76" i="1" s="1"/>
  <c r="CW76" i="1"/>
  <c r="CX76" i="1"/>
  <c r="W76" i="1" s="1"/>
  <c r="FR76" i="1"/>
  <c r="GL76" i="1"/>
  <c r="GO76" i="1"/>
  <c r="GP76" i="1"/>
  <c r="GV76" i="1"/>
  <c r="HC76" i="1"/>
  <c r="GX76" i="1" s="1"/>
  <c r="I77" i="1"/>
  <c r="P77" i="1"/>
  <c r="R77" i="1"/>
  <c r="AC77" i="1"/>
  <c r="AD77" i="1"/>
  <c r="AE77" i="1"/>
  <c r="AF77" i="1"/>
  <c r="CT77" i="1" s="1"/>
  <c r="S77" i="1" s="1"/>
  <c r="CY77" i="1" s="1"/>
  <c r="X77" i="1" s="1"/>
  <c r="AG77" i="1"/>
  <c r="AH77" i="1"/>
  <c r="CV77" i="1" s="1"/>
  <c r="U77" i="1" s="1"/>
  <c r="AI77" i="1"/>
  <c r="AJ77" i="1"/>
  <c r="CX77" i="1" s="1"/>
  <c r="W77" i="1" s="1"/>
  <c r="CQ77" i="1"/>
  <c r="CR77" i="1"/>
  <c r="Q77" i="1" s="1"/>
  <c r="CS77" i="1"/>
  <c r="CU77" i="1"/>
  <c r="T77" i="1" s="1"/>
  <c r="CW77" i="1"/>
  <c r="V77" i="1" s="1"/>
  <c r="CZ77" i="1"/>
  <c r="Y77" i="1" s="1"/>
  <c r="FR77" i="1"/>
  <c r="GK77" i="1"/>
  <c r="GL77" i="1"/>
  <c r="GO77" i="1"/>
  <c r="GP77" i="1"/>
  <c r="GV77" i="1"/>
  <c r="HC77" i="1" s="1"/>
  <c r="GX77" i="1" s="1"/>
  <c r="I78" i="1"/>
  <c r="AC78" i="1"/>
  <c r="AE78" i="1"/>
  <c r="CS78" i="1" s="1"/>
  <c r="R78" i="1" s="1"/>
  <c r="GK78" i="1" s="1"/>
  <c r="AF78" i="1"/>
  <c r="AG78" i="1"/>
  <c r="CU78" i="1" s="1"/>
  <c r="T78" i="1" s="1"/>
  <c r="AH78" i="1"/>
  <c r="AI78" i="1"/>
  <c r="CW78" i="1" s="1"/>
  <c r="V78" i="1" s="1"/>
  <c r="AJ78" i="1"/>
  <c r="CT78" i="1"/>
  <c r="S78" i="1" s="1"/>
  <c r="CV78" i="1"/>
  <c r="U78" i="1" s="1"/>
  <c r="CX78" i="1"/>
  <c r="W78" i="1" s="1"/>
  <c r="FR78" i="1"/>
  <c r="GL78" i="1"/>
  <c r="GO78" i="1"/>
  <c r="GP78" i="1"/>
  <c r="GV78" i="1"/>
  <c r="HC78" i="1"/>
  <c r="GX78" i="1" s="1"/>
  <c r="AC79" i="1"/>
  <c r="CQ79" i="1" s="1"/>
  <c r="P79" i="1" s="1"/>
  <c r="AE79" i="1"/>
  <c r="AD79" i="1" s="1"/>
  <c r="CR79" i="1" s="1"/>
  <c r="Q79" i="1" s="1"/>
  <c r="AF79" i="1"/>
  <c r="AG79" i="1"/>
  <c r="CU79" i="1" s="1"/>
  <c r="AH79" i="1"/>
  <c r="AI79" i="1"/>
  <c r="CW79" i="1" s="1"/>
  <c r="V79" i="1" s="1"/>
  <c r="AJ79" i="1"/>
  <c r="CT79" i="1"/>
  <c r="S79" i="1" s="1"/>
  <c r="CV79" i="1"/>
  <c r="U79" i="1" s="1"/>
  <c r="CX79" i="1"/>
  <c r="W79" i="1" s="1"/>
  <c r="FR79" i="1"/>
  <c r="GL79" i="1"/>
  <c r="GO79" i="1"/>
  <c r="GP79" i="1"/>
  <c r="GV79" i="1"/>
  <c r="HC79" i="1" s="1"/>
  <c r="GX79" i="1" s="1"/>
  <c r="I80" i="1"/>
  <c r="W80" i="1"/>
  <c r="AC80" i="1"/>
  <c r="AE80" i="1"/>
  <c r="CS80" i="1" s="1"/>
  <c r="R80" i="1" s="1"/>
  <c r="AF80" i="1"/>
  <c r="AG80" i="1"/>
  <c r="CU80" i="1" s="1"/>
  <c r="T80" i="1" s="1"/>
  <c r="AH80" i="1"/>
  <c r="AI80" i="1"/>
  <c r="CW80" i="1" s="1"/>
  <c r="V80" i="1" s="1"/>
  <c r="AJ80" i="1"/>
  <c r="CT80" i="1"/>
  <c r="S80" i="1" s="1"/>
  <c r="CV80" i="1"/>
  <c r="U80" i="1" s="1"/>
  <c r="CX80" i="1"/>
  <c r="FR80" i="1"/>
  <c r="GK80" i="1"/>
  <c r="GL80" i="1"/>
  <c r="GO80" i="1"/>
  <c r="GP80" i="1"/>
  <c r="GV80" i="1"/>
  <c r="HC80" i="1"/>
  <c r="GX80" i="1" s="1"/>
  <c r="AC81" i="1"/>
  <c r="CQ81" i="1" s="1"/>
  <c r="AE81" i="1"/>
  <c r="AF81" i="1"/>
  <c r="AG81" i="1"/>
  <c r="CU81" i="1" s="1"/>
  <c r="AH81" i="1"/>
  <c r="AI81" i="1"/>
  <c r="CW81" i="1" s="1"/>
  <c r="AJ81" i="1"/>
  <c r="CT81" i="1"/>
  <c r="CV81" i="1"/>
  <c r="CX81" i="1"/>
  <c r="FR81" i="1"/>
  <c r="GL81" i="1"/>
  <c r="GO81" i="1"/>
  <c r="GP81" i="1"/>
  <c r="GV81" i="1"/>
  <c r="HC81" i="1" s="1"/>
  <c r="I82" i="1"/>
  <c r="AC82" i="1"/>
  <c r="AE82" i="1"/>
  <c r="AF82" i="1"/>
  <c r="AG82" i="1"/>
  <c r="CU82" i="1" s="1"/>
  <c r="T82" i="1" s="1"/>
  <c r="AH82" i="1"/>
  <c r="AI82" i="1"/>
  <c r="CW82" i="1" s="1"/>
  <c r="V82" i="1" s="1"/>
  <c r="AJ82" i="1"/>
  <c r="CT82" i="1"/>
  <c r="S82" i="1" s="1"/>
  <c r="CV82" i="1"/>
  <c r="U82" i="1" s="1"/>
  <c r="CX82" i="1"/>
  <c r="W82" i="1" s="1"/>
  <c r="FR82" i="1"/>
  <c r="GL82" i="1"/>
  <c r="GO82" i="1"/>
  <c r="GP82" i="1"/>
  <c r="GV82" i="1"/>
  <c r="HC82" i="1" s="1"/>
  <c r="GX82" i="1" s="1"/>
  <c r="C83" i="1"/>
  <c r="D83" i="1"/>
  <c r="I83" i="1"/>
  <c r="I84" i="1" s="1"/>
  <c r="U83" i="1"/>
  <c r="AC83" i="1"/>
  <c r="AE83" i="1"/>
  <c r="AF83" i="1"/>
  <c r="AG83" i="1"/>
  <c r="CU83" i="1" s="1"/>
  <c r="T83" i="1" s="1"/>
  <c r="AH83" i="1"/>
  <c r="AI83" i="1"/>
  <c r="CW83" i="1" s="1"/>
  <c r="V83" i="1" s="1"/>
  <c r="AJ83" i="1"/>
  <c r="CT83" i="1"/>
  <c r="S83" i="1" s="1"/>
  <c r="CV83" i="1"/>
  <c r="CX83" i="1"/>
  <c r="W83" i="1" s="1"/>
  <c r="FR83" i="1"/>
  <c r="GL83" i="1"/>
  <c r="GO83" i="1"/>
  <c r="GP83" i="1"/>
  <c r="GV83" i="1"/>
  <c r="HC83" i="1" s="1"/>
  <c r="GX83" i="1" s="1"/>
  <c r="U84" i="1"/>
  <c r="AC84" i="1"/>
  <c r="CQ84" i="1" s="1"/>
  <c r="P84" i="1" s="1"/>
  <c r="AE84" i="1"/>
  <c r="CS84" i="1" s="1"/>
  <c r="AF84" i="1"/>
  <c r="AG84" i="1"/>
  <c r="AH84" i="1"/>
  <c r="AI84" i="1"/>
  <c r="CW84" i="1" s="1"/>
  <c r="AJ84" i="1"/>
  <c r="CT84" i="1"/>
  <c r="S84" i="1" s="1"/>
  <c r="CU84" i="1"/>
  <c r="T84" i="1" s="1"/>
  <c r="CV84" i="1"/>
  <c r="CX84" i="1"/>
  <c r="W84" i="1" s="1"/>
  <c r="FR84" i="1"/>
  <c r="GL84" i="1"/>
  <c r="GO84" i="1"/>
  <c r="GP84" i="1"/>
  <c r="GV84" i="1"/>
  <c r="HC84" i="1"/>
  <c r="GX84" i="1" s="1"/>
  <c r="I85" i="1"/>
  <c r="AC85" i="1"/>
  <c r="CQ85" i="1" s="1"/>
  <c r="P85" i="1" s="1"/>
  <c r="AE85" i="1"/>
  <c r="AD85" i="1" s="1"/>
  <c r="CR85" i="1" s="1"/>
  <c r="Q85" i="1" s="1"/>
  <c r="AF85" i="1"/>
  <c r="AG85" i="1"/>
  <c r="CU85" i="1" s="1"/>
  <c r="T85" i="1" s="1"/>
  <c r="AH85" i="1"/>
  <c r="AI85" i="1"/>
  <c r="CW85" i="1" s="1"/>
  <c r="V85" i="1" s="1"/>
  <c r="AJ85" i="1"/>
  <c r="CS85" i="1"/>
  <c r="R85" i="1" s="1"/>
  <c r="GK85" i="1" s="1"/>
  <c r="CT85" i="1"/>
  <c r="S85" i="1" s="1"/>
  <c r="CV85" i="1"/>
  <c r="U85" i="1" s="1"/>
  <c r="CX85" i="1"/>
  <c r="W85" i="1" s="1"/>
  <c r="FR85" i="1"/>
  <c r="GL85" i="1"/>
  <c r="GO85" i="1"/>
  <c r="GP85" i="1"/>
  <c r="GV85" i="1"/>
  <c r="GX85" i="1"/>
  <c r="HC85" i="1"/>
  <c r="C86" i="1"/>
  <c r="D86" i="1"/>
  <c r="I86" i="1"/>
  <c r="AC86" i="1"/>
  <c r="CQ86" i="1" s="1"/>
  <c r="P86" i="1" s="1"/>
  <c r="CP86" i="1" s="1"/>
  <c r="O86" i="1" s="1"/>
  <c r="AE86" i="1"/>
  <c r="AD86" i="1" s="1"/>
  <c r="AF86" i="1"/>
  <c r="AG86" i="1"/>
  <c r="CU86" i="1" s="1"/>
  <c r="T86" i="1" s="1"/>
  <c r="AH86" i="1"/>
  <c r="AI86" i="1"/>
  <c r="AJ86" i="1"/>
  <c r="CX86" i="1" s="1"/>
  <c r="W86" i="1" s="1"/>
  <c r="CR86" i="1"/>
  <c r="Q86" i="1" s="1"/>
  <c r="CS86" i="1"/>
  <c r="R86" i="1" s="1"/>
  <c r="GK86" i="1" s="1"/>
  <c r="CT86" i="1"/>
  <c r="S86" i="1" s="1"/>
  <c r="CV86" i="1"/>
  <c r="U86" i="1" s="1"/>
  <c r="CW86" i="1"/>
  <c r="V86" i="1" s="1"/>
  <c r="FR86" i="1"/>
  <c r="GL86" i="1"/>
  <c r="GO86" i="1"/>
  <c r="GP86" i="1"/>
  <c r="GV86" i="1"/>
  <c r="HC86" i="1"/>
  <c r="GX86" i="1" s="1"/>
  <c r="AC87" i="1"/>
  <c r="AE87" i="1"/>
  <c r="CS87" i="1" s="1"/>
  <c r="AF87" i="1"/>
  <c r="AG87" i="1"/>
  <c r="AH87" i="1"/>
  <c r="AI87" i="1"/>
  <c r="CW87" i="1" s="1"/>
  <c r="AJ87" i="1"/>
  <c r="CQ87" i="1"/>
  <c r="CT87" i="1"/>
  <c r="CU87" i="1"/>
  <c r="CV87" i="1"/>
  <c r="CX87" i="1"/>
  <c r="FR87" i="1"/>
  <c r="GL87" i="1"/>
  <c r="GO87" i="1"/>
  <c r="GP87" i="1"/>
  <c r="GV87" i="1"/>
  <c r="HC87" i="1"/>
  <c r="I88" i="1"/>
  <c r="AB88" i="1"/>
  <c r="AC88" i="1"/>
  <c r="CQ88" i="1" s="1"/>
  <c r="AE88" i="1"/>
  <c r="AD88" i="1" s="1"/>
  <c r="CR88" i="1" s="1"/>
  <c r="Q88" i="1" s="1"/>
  <c r="AF88" i="1"/>
  <c r="AG88" i="1"/>
  <c r="CU88" i="1" s="1"/>
  <c r="T88" i="1" s="1"/>
  <c r="AH88" i="1"/>
  <c r="AI88" i="1"/>
  <c r="CW88" i="1" s="1"/>
  <c r="V88" i="1" s="1"/>
  <c r="AJ88" i="1"/>
  <c r="CS88" i="1"/>
  <c r="R88" i="1" s="1"/>
  <c r="GK88" i="1" s="1"/>
  <c r="CT88" i="1"/>
  <c r="S88" i="1" s="1"/>
  <c r="CV88" i="1"/>
  <c r="U88" i="1" s="1"/>
  <c r="CX88" i="1"/>
  <c r="W88" i="1" s="1"/>
  <c r="FR88" i="1"/>
  <c r="GL88" i="1"/>
  <c r="GO88" i="1"/>
  <c r="GP88" i="1"/>
  <c r="GV88" i="1"/>
  <c r="HC88" i="1" s="1"/>
  <c r="GX88" i="1" s="1"/>
  <c r="C89" i="1"/>
  <c r="D89" i="1"/>
  <c r="I89" i="1"/>
  <c r="I91" i="1" s="1"/>
  <c r="GX91" i="1" s="1"/>
  <c r="AC89" i="1"/>
  <c r="CQ89" i="1" s="1"/>
  <c r="AE89" i="1"/>
  <c r="AD89" i="1" s="1"/>
  <c r="CR89" i="1" s="1"/>
  <c r="Q89" i="1" s="1"/>
  <c r="AF89" i="1"/>
  <c r="AG89" i="1"/>
  <c r="CU89" i="1" s="1"/>
  <c r="AH89" i="1"/>
  <c r="AI89" i="1"/>
  <c r="CW89" i="1" s="1"/>
  <c r="V89" i="1" s="1"/>
  <c r="AJ89" i="1"/>
  <c r="CX89" i="1" s="1"/>
  <c r="W89" i="1" s="1"/>
  <c r="CS89" i="1"/>
  <c r="R89" i="1" s="1"/>
  <c r="GK89" i="1" s="1"/>
  <c r="CT89" i="1"/>
  <c r="S89" i="1" s="1"/>
  <c r="CV89" i="1"/>
  <c r="U89" i="1" s="1"/>
  <c r="FR89" i="1"/>
  <c r="GL89" i="1"/>
  <c r="GO89" i="1"/>
  <c r="GP89" i="1"/>
  <c r="GV89" i="1"/>
  <c r="HC89" i="1" s="1"/>
  <c r="GX89" i="1" s="1"/>
  <c r="AC90" i="1"/>
  <c r="CQ90" i="1" s="1"/>
  <c r="AE90" i="1"/>
  <c r="CS90" i="1" s="1"/>
  <c r="AF90" i="1"/>
  <c r="AG90" i="1"/>
  <c r="AH90" i="1"/>
  <c r="AI90" i="1"/>
  <c r="CW90" i="1" s="1"/>
  <c r="AJ90" i="1"/>
  <c r="CT90" i="1"/>
  <c r="CU90" i="1"/>
  <c r="CV90" i="1"/>
  <c r="CX90" i="1"/>
  <c r="FR90" i="1"/>
  <c r="GL90" i="1"/>
  <c r="GO90" i="1"/>
  <c r="GP90" i="1"/>
  <c r="GV90" i="1"/>
  <c r="HC90" i="1"/>
  <c r="AC91" i="1"/>
  <c r="CQ91" i="1" s="1"/>
  <c r="AE91" i="1"/>
  <c r="AD91" i="1" s="1"/>
  <c r="CR91" i="1" s="1"/>
  <c r="Q91" i="1" s="1"/>
  <c r="AF91" i="1"/>
  <c r="AG91" i="1"/>
  <c r="CU91" i="1" s="1"/>
  <c r="AH91" i="1"/>
  <c r="AI91" i="1"/>
  <c r="CW91" i="1" s="1"/>
  <c r="V91" i="1" s="1"/>
  <c r="AJ91" i="1"/>
  <c r="CS91" i="1"/>
  <c r="R91" i="1" s="1"/>
  <c r="GK91" i="1" s="1"/>
  <c r="CT91" i="1"/>
  <c r="S91" i="1" s="1"/>
  <c r="CV91" i="1"/>
  <c r="U91" i="1" s="1"/>
  <c r="CX91" i="1"/>
  <c r="FR91" i="1"/>
  <c r="GL91" i="1"/>
  <c r="GO91" i="1"/>
  <c r="GP91" i="1"/>
  <c r="GV91" i="1"/>
  <c r="HC91" i="1"/>
  <c r="C92" i="1"/>
  <c r="D92" i="1"/>
  <c r="I92" i="1"/>
  <c r="AC92" i="1"/>
  <c r="CQ92" i="1" s="1"/>
  <c r="P92" i="1" s="1"/>
  <c r="AE92" i="1"/>
  <c r="AD92" i="1" s="1"/>
  <c r="AF92" i="1"/>
  <c r="AG92" i="1"/>
  <c r="CU92" i="1" s="1"/>
  <c r="T92" i="1" s="1"/>
  <c r="AH92" i="1"/>
  <c r="AI92" i="1"/>
  <c r="AJ92" i="1"/>
  <c r="CX92" i="1" s="1"/>
  <c r="W92" i="1" s="1"/>
  <c r="CR92" i="1"/>
  <c r="Q92" i="1" s="1"/>
  <c r="CS92" i="1"/>
  <c r="R92" i="1" s="1"/>
  <c r="GK92" i="1" s="1"/>
  <c r="CT92" i="1"/>
  <c r="S92" i="1" s="1"/>
  <c r="CV92" i="1"/>
  <c r="U92" i="1" s="1"/>
  <c r="CW92" i="1"/>
  <c r="V92" i="1" s="1"/>
  <c r="FR92" i="1"/>
  <c r="GL92" i="1"/>
  <c r="GO92" i="1"/>
  <c r="GP92" i="1"/>
  <c r="GV92" i="1"/>
  <c r="HC92" i="1"/>
  <c r="GX92" i="1" s="1"/>
  <c r="AC93" i="1"/>
  <c r="AE93" i="1"/>
  <c r="CS93" i="1" s="1"/>
  <c r="AF93" i="1"/>
  <c r="AG93" i="1"/>
  <c r="AH93" i="1"/>
  <c r="AI93" i="1"/>
  <c r="CW93" i="1" s="1"/>
  <c r="AJ93" i="1"/>
  <c r="CQ93" i="1"/>
  <c r="CT93" i="1"/>
  <c r="CU93" i="1"/>
  <c r="CV93" i="1"/>
  <c r="CX93" i="1"/>
  <c r="FR93" i="1"/>
  <c r="GL93" i="1"/>
  <c r="GO93" i="1"/>
  <c r="GP93" i="1"/>
  <c r="GV93" i="1"/>
  <c r="HC93" i="1"/>
  <c r="I94" i="1"/>
  <c r="AB94" i="1"/>
  <c r="AC94" i="1"/>
  <c r="CQ94" i="1" s="1"/>
  <c r="AE94" i="1"/>
  <c r="AD94" i="1" s="1"/>
  <c r="CR94" i="1" s="1"/>
  <c r="Q94" i="1" s="1"/>
  <c r="AF94" i="1"/>
  <c r="AG94" i="1"/>
  <c r="CU94" i="1" s="1"/>
  <c r="T94" i="1" s="1"/>
  <c r="AH94" i="1"/>
  <c r="AI94" i="1"/>
  <c r="CW94" i="1" s="1"/>
  <c r="V94" i="1" s="1"/>
  <c r="AJ94" i="1"/>
  <c r="CS94" i="1"/>
  <c r="R94" i="1" s="1"/>
  <c r="GK94" i="1" s="1"/>
  <c r="CT94" i="1"/>
  <c r="S94" i="1" s="1"/>
  <c r="CV94" i="1"/>
  <c r="U94" i="1" s="1"/>
  <c r="CX94" i="1"/>
  <c r="W94" i="1" s="1"/>
  <c r="FR94" i="1"/>
  <c r="GL94" i="1"/>
  <c r="GO94" i="1"/>
  <c r="GP94" i="1"/>
  <c r="GV94" i="1"/>
  <c r="HC94" i="1" s="1"/>
  <c r="GX94" i="1" s="1"/>
  <c r="C95" i="1"/>
  <c r="D95" i="1"/>
  <c r="I95" i="1"/>
  <c r="I97" i="1" s="1"/>
  <c r="GX97" i="1" s="1"/>
  <c r="AC95" i="1"/>
  <c r="CQ95" i="1" s="1"/>
  <c r="AE95" i="1"/>
  <c r="AD95" i="1" s="1"/>
  <c r="CR95" i="1" s="1"/>
  <c r="Q95" i="1" s="1"/>
  <c r="AF95" i="1"/>
  <c r="AG95" i="1"/>
  <c r="CU95" i="1" s="1"/>
  <c r="AH95" i="1"/>
  <c r="AI95" i="1"/>
  <c r="CW95" i="1" s="1"/>
  <c r="V95" i="1" s="1"/>
  <c r="AJ95" i="1"/>
  <c r="CX95" i="1" s="1"/>
  <c r="W95" i="1" s="1"/>
  <c r="CS95" i="1"/>
  <c r="R95" i="1" s="1"/>
  <c r="GK95" i="1" s="1"/>
  <c r="CT95" i="1"/>
  <c r="S95" i="1" s="1"/>
  <c r="CV95" i="1"/>
  <c r="U95" i="1" s="1"/>
  <c r="FR95" i="1"/>
  <c r="GL95" i="1"/>
  <c r="GO95" i="1"/>
  <c r="GP95" i="1"/>
  <c r="GV95" i="1"/>
  <c r="HC95" i="1" s="1"/>
  <c r="GX95" i="1" s="1"/>
  <c r="AC96" i="1"/>
  <c r="CQ96" i="1" s="1"/>
  <c r="AE96" i="1"/>
  <c r="CS96" i="1" s="1"/>
  <c r="AF96" i="1"/>
  <c r="AG96" i="1"/>
  <c r="AH96" i="1"/>
  <c r="AI96" i="1"/>
  <c r="CW96" i="1" s="1"/>
  <c r="AJ96" i="1"/>
  <c r="CT96" i="1"/>
  <c r="CU96" i="1"/>
  <c r="CV96" i="1"/>
  <c r="CX96" i="1"/>
  <c r="FR96" i="1"/>
  <c r="GL96" i="1"/>
  <c r="GO96" i="1"/>
  <c r="GP96" i="1"/>
  <c r="GV96" i="1"/>
  <c r="HC96" i="1"/>
  <c r="AC97" i="1"/>
  <c r="CQ97" i="1" s="1"/>
  <c r="AE97" i="1"/>
  <c r="AD97" i="1" s="1"/>
  <c r="AB97" i="1" s="1"/>
  <c r="AF97" i="1"/>
  <c r="AG97" i="1"/>
  <c r="CU97" i="1" s="1"/>
  <c r="AH97" i="1"/>
  <c r="AI97" i="1"/>
  <c r="CW97" i="1" s="1"/>
  <c r="AJ97" i="1"/>
  <c r="CS97" i="1"/>
  <c r="R97" i="1" s="1"/>
  <c r="GK97" i="1" s="1"/>
  <c r="CT97" i="1"/>
  <c r="S97" i="1" s="1"/>
  <c r="CV97" i="1"/>
  <c r="CX97" i="1"/>
  <c r="W97" i="1" s="1"/>
  <c r="FR97" i="1"/>
  <c r="GL97" i="1"/>
  <c r="GO97" i="1"/>
  <c r="GP97" i="1"/>
  <c r="GV97" i="1"/>
  <c r="HC97" i="1"/>
  <c r="C98" i="1"/>
  <c r="D98" i="1"/>
  <c r="I98" i="1"/>
  <c r="AC98" i="1"/>
  <c r="CQ98" i="1" s="1"/>
  <c r="P98" i="1" s="1"/>
  <c r="CP98" i="1" s="1"/>
  <c r="O98" i="1" s="1"/>
  <c r="AE98" i="1"/>
  <c r="AD98" i="1" s="1"/>
  <c r="AF98" i="1"/>
  <c r="AG98" i="1"/>
  <c r="CU98" i="1" s="1"/>
  <c r="AH98" i="1"/>
  <c r="AI98" i="1"/>
  <c r="AJ98" i="1"/>
  <c r="CX98" i="1" s="1"/>
  <c r="W98" i="1" s="1"/>
  <c r="CR98" i="1"/>
  <c r="Q98" i="1" s="1"/>
  <c r="CS98" i="1"/>
  <c r="R98" i="1" s="1"/>
  <c r="GK98" i="1" s="1"/>
  <c r="CT98" i="1"/>
  <c r="S98" i="1" s="1"/>
  <c r="CV98" i="1"/>
  <c r="U98" i="1" s="1"/>
  <c r="CW98" i="1"/>
  <c r="V98" i="1" s="1"/>
  <c r="FR98" i="1"/>
  <c r="GL98" i="1"/>
  <c r="GO98" i="1"/>
  <c r="GP98" i="1"/>
  <c r="GV98" i="1"/>
  <c r="HC98" i="1"/>
  <c r="GX98" i="1" s="1"/>
  <c r="AC99" i="1"/>
  <c r="CQ99" i="1" s="1"/>
  <c r="AE99" i="1"/>
  <c r="CS99" i="1" s="1"/>
  <c r="AF99" i="1"/>
  <c r="AG99" i="1"/>
  <c r="AH99" i="1"/>
  <c r="AI99" i="1"/>
  <c r="CW99" i="1" s="1"/>
  <c r="AJ99" i="1"/>
  <c r="CT99" i="1"/>
  <c r="CU99" i="1"/>
  <c r="CV99" i="1"/>
  <c r="CX99" i="1"/>
  <c r="FR99" i="1"/>
  <c r="GL99" i="1"/>
  <c r="GO99" i="1"/>
  <c r="GP99" i="1"/>
  <c r="GV99" i="1"/>
  <c r="HC99" i="1"/>
  <c r="I100" i="1"/>
  <c r="AB100" i="1"/>
  <c r="AC100" i="1"/>
  <c r="CQ100" i="1" s="1"/>
  <c r="AE100" i="1"/>
  <c r="AD100" i="1" s="1"/>
  <c r="CR100" i="1" s="1"/>
  <c r="Q100" i="1" s="1"/>
  <c r="AF100" i="1"/>
  <c r="AG100" i="1"/>
  <c r="CU100" i="1" s="1"/>
  <c r="T100" i="1" s="1"/>
  <c r="AH100" i="1"/>
  <c r="AI100" i="1"/>
  <c r="CW100" i="1" s="1"/>
  <c r="V100" i="1" s="1"/>
  <c r="AJ100" i="1"/>
  <c r="CS100" i="1"/>
  <c r="R100" i="1" s="1"/>
  <c r="GK100" i="1" s="1"/>
  <c r="CT100" i="1"/>
  <c r="S100" i="1" s="1"/>
  <c r="CV100" i="1"/>
  <c r="U100" i="1" s="1"/>
  <c r="CX100" i="1"/>
  <c r="W100" i="1" s="1"/>
  <c r="FR100" i="1"/>
  <c r="GL100" i="1"/>
  <c r="GO100" i="1"/>
  <c r="GP100" i="1"/>
  <c r="GV100" i="1"/>
  <c r="HC100" i="1" s="1"/>
  <c r="GX100" i="1" s="1"/>
  <c r="C101" i="1"/>
  <c r="D101" i="1"/>
  <c r="I101" i="1"/>
  <c r="AC101" i="1"/>
  <c r="CQ101" i="1" s="1"/>
  <c r="AE101" i="1"/>
  <c r="AD101" i="1" s="1"/>
  <c r="AF101" i="1"/>
  <c r="AG101" i="1"/>
  <c r="CU101" i="1" s="1"/>
  <c r="AH101" i="1"/>
  <c r="AI101" i="1"/>
  <c r="AJ101" i="1"/>
  <c r="CX101" i="1" s="1"/>
  <c r="W101" i="1" s="1"/>
  <c r="CR101" i="1"/>
  <c r="Q101" i="1" s="1"/>
  <c r="CS101" i="1"/>
  <c r="R101" i="1" s="1"/>
  <c r="GK101" i="1" s="1"/>
  <c r="CT101" i="1"/>
  <c r="S101" i="1" s="1"/>
  <c r="CV101" i="1"/>
  <c r="U101" i="1" s="1"/>
  <c r="CW101" i="1"/>
  <c r="V101" i="1" s="1"/>
  <c r="FR101" i="1"/>
  <c r="GL101" i="1"/>
  <c r="GO101" i="1"/>
  <c r="GP101" i="1"/>
  <c r="GV101" i="1"/>
  <c r="HC101" i="1" s="1"/>
  <c r="GX101" i="1" s="1"/>
  <c r="C102" i="1"/>
  <c r="D102" i="1"/>
  <c r="I102" i="1"/>
  <c r="AC102" i="1"/>
  <c r="CQ102" i="1" s="1"/>
  <c r="P102" i="1" s="1"/>
  <c r="AE102" i="1"/>
  <c r="AD102" i="1" s="1"/>
  <c r="CR102" i="1" s="1"/>
  <c r="Q102" i="1" s="1"/>
  <c r="AF102" i="1"/>
  <c r="AG102" i="1"/>
  <c r="CU102" i="1" s="1"/>
  <c r="T102" i="1" s="1"/>
  <c r="AH102" i="1"/>
  <c r="AI102" i="1"/>
  <c r="CW102" i="1" s="1"/>
  <c r="V102" i="1" s="1"/>
  <c r="AJ102" i="1"/>
  <c r="CS102" i="1"/>
  <c r="R102" i="1" s="1"/>
  <c r="GK102" i="1" s="1"/>
  <c r="CT102" i="1"/>
  <c r="S102" i="1" s="1"/>
  <c r="CV102" i="1"/>
  <c r="U102" i="1" s="1"/>
  <c r="CX102" i="1"/>
  <c r="W102" i="1" s="1"/>
  <c r="FR102" i="1"/>
  <c r="GL102" i="1"/>
  <c r="GO102" i="1"/>
  <c r="GP102" i="1"/>
  <c r="GV102" i="1"/>
  <c r="GX102" i="1"/>
  <c r="HC102" i="1"/>
  <c r="AC103" i="1"/>
  <c r="AD103" i="1"/>
  <c r="AE103" i="1"/>
  <c r="CS103" i="1" s="1"/>
  <c r="AF103" i="1"/>
  <c r="AG103" i="1"/>
  <c r="AH103" i="1"/>
  <c r="AI103" i="1"/>
  <c r="CW103" i="1" s="1"/>
  <c r="AJ103" i="1"/>
  <c r="CQ103" i="1"/>
  <c r="CR103" i="1"/>
  <c r="CT103" i="1"/>
  <c r="CU103" i="1"/>
  <c r="CV103" i="1"/>
  <c r="CX103" i="1"/>
  <c r="FR103" i="1"/>
  <c r="GL103" i="1"/>
  <c r="GO103" i="1"/>
  <c r="GP103" i="1"/>
  <c r="GV103" i="1"/>
  <c r="HC103" i="1"/>
  <c r="C104" i="1"/>
  <c r="D104" i="1"/>
  <c r="AC104" i="1"/>
  <c r="AB104" i="1" s="1"/>
  <c r="AE104" i="1"/>
  <c r="AD104" i="1" s="1"/>
  <c r="CR104" i="1" s="1"/>
  <c r="Q104" i="1" s="1"/>
  <c r="AF104" i="1"/>
  <c r="AG104" i="1"/>
  <c r="CU104" i="1" s="1"/>
  <c r="T104" i="1" s="1"/>
  <c r="AH104" i="1"/>
  <c r="AI104" i="1"/>
  <c r="CW104" i="1" s="1"/>
  <c r="V104" i="1" s="1"/>
  <c r="AJ104" i="1"/>
  <c r="CQ104" i="1"/>
  <c r="P104" i="1" s="1"/>
  <c r="CT104" i="1"/>
  <c r="S104" i="1" s="1"/>
  <c r="CV104" i="1"/>
  <c r="U104" i="1" s="1"/>
  <c r="CX104" i="1"/>
  <c r="W104" i="1" s="1"/>
  <c r="FR104" i="1"/>
  <c r="GL104" i="1"/>
  <c r="GO104" i="1"/>
  <c r="GP104" i="1"/>
  <c r="GV104" i="1"/>
  <c r="HC104" i="1" s="1"/>
  <c r="GX104" i="1" s="1"/>
  <c r="O105" i="1"/>
  <c r="P105" i="1"/>
  <c r="Q105" i="1"/>
  <c r="R105" i="1"/>
  <c r="GK105" i="1" s="1"/>
  <c r="S105" i="1"/>
  <c r="T105" i="1"/>
  <c r="U105" i="1"/>
  <c r="V105" i="1"/>
  <c r="W105" i="1"/>
  <c r="X105" i="1"/>
  <c r="Y105" i="1"/>
  <c r="AB105" i="1"/>
  <c r="CP105" i="1" s="1"/>
  <c r="AC105" i="1"/>
  <c r="AD105" i="1"/>
  <c r="AE105" i="1"/>
  <c r="AF105" i="1"/>
  <c r="AG105" i="1"/>
  <c r="AH105" i="1"/>
  <c r="AI105" i="1"/>
  <c r="AJ105" i="1"/>
  <c r="FR105" i="1"/>
  <c r="GL105" i="1"/>
  <c r="GO105" i="1"/>
  <c r="GP105" i="1"/>
  <c r="GV105" i="1"/>
  <c r="GX105" i="1"/>
  <c r="O106" i="1"/>
  <c r="P106" i="1"/>
  <c r="Q106" i="1"/>
  <c r="R106" i="1"/>
  <c r="GK106" i="1" s="1"/>
  <c r="S106" i="1"/>
  <c r="T106" i="1"/>
  <c r="U106" i="1"/>
  <c r="V106" i="1"/>
  <c r="W106" i="1"/>
  <c r="X106" i="1"/>
  <c r="Y106" i="1"/>
  <c r="AB106" i="1"/>
  <c r="CP106" i="1" s="1"/>
  <c r="AC106" i="1"/>
  <c r="AD106" i="1"/>
  <c r="AE106" i="1"/>
  <c r="AF106" i="1"/>
  <c r="AG106" i="1"/>
  <c r="AH106" i="1"/>
  <c r="AI106" i="1"/>
  <c r="AJ106" i="1"/>
  <c r="FR106" i="1"/>
  <c r="GL106" i="1"/>
  <c r="GO106" i="1"/>
  <c r="GP106" i="1"/>
  <c r="GV106" i="1"/>
  <c r="GX106" i="1"/>
  <c r="B108" i="1"/>
  <c r="B26" i="1" s="1"/>
  <c r="C108" i="1"/>
  <c r="C26" i="1" s="1"/>
  <c r="D108" i="1"/>
  <c r="D26" i="1" s="1"/>
  <c r="F108" i="1"/>
  <c r="F26" i="1" s="1"/>
  <c r="G108" i="1"/>
  <c r="G26" i="1" s="1"/>
  <c r="AO108" i="1"/>
  <c r="AO26" i="1" s="1"/>
  <c r="BX108" i="1"/>
  <c r="BX26" i="1" s="1"/>
  <c r="BY108" i="1"/>
  <c r="BY26" i="1" s="1"/>
  <c r="BZ108" i="1"/>
  <c r="BZ26" i="1" s="1"/>
  <c r="CC108" i="1"/>
  <c r="CC26" i="1" s="1"/>
  <c r="CD108" i="1"/>
  <c r="CD26" i="1" s="1"/>
  <c r="CG108" i="1"/>
  <c r="CG26" i="1" s="1"/>
  <c r="CK108" i="1"/>
  <c r="CK26" i="1" s="1"/>
  <c r="CL108" i="1"/>
  <c r="CL26" i="1" s="1"/>
  <c r="F112" i="1"/>
  <c r="D137" i="1"/>
  <c r="E139" i="1"/>
  <c r="F139" i="1"/>
  <c r="Z139" i="1"/>
  <c r="AA139" i="1"/>
  <c r="AM139" i="1"/>
  <c r="AN139" i="1"/>
  <c r="BD139" i="1"/>
  <c r="BE139" i="1"/>
  <c r="BF139" i="1"/>
  <c r="BG139" i="1"/>
  <c r="BH139" i="1"/>
  <c r="BI139" i="1"/>
  <c r="BJ139" i="1"/>
  <c r="BK139" i="1"/>
  <c r="BL139" i="1"/>
  <c r="BM139" i="1"/>
  <c r="BN139" i="1"/>
  <c r="BO139" i="1"/>
  <c r="BP139" i="1"/>
  <c r="BQ139" i="1"/>
  <c r="BR139" i="1"/>
  <c r="BS139" i="1"/>
  <c r="BT139" i="1"/>
  <c r="BU139" i="1"/>
  <c r="BV139" i="1"/>
  <c r="BW139" i="1"/>
  <c r="CK139" i="1"/>
  <c r="CM139" i="1"/>
  <c r="CN139" i="1"/>
  <c r="CO139" i="1"/>
  <c r="CP139" i="1"/>
  <c r="CQ139" i="1"/>
  <c r="CR139" i="1"/>
  <c r="CS139" i="1"/>
  <c r="CT139" i="1"/>
  <c r="CU139" i="1"/>
  <c r="CV139" i="1"/>
  <c r="CW139" i="1"/>
  <c r="CX139" i="1"/>
  <c r="CY139" i="1"/>
  <c r="CZ139" i="1"/>
  <c r="DA139" i="1"/>
  <c r="DB139" i="1"/>
  <c r="DC139" i="1"/>
  <c r="DD139" i="1"/>
  <c r="DE139" i="1"/>
  <c r="DF139" i="1"/>
  <c r="DG139" i="1"/>
  <c r="DH139" i="1"/>
  <c r="DI139" i="1"/>
  <c r="DJ139" i="1"/>
  <c r="DK139" i="1"/>
  <c r="DL139" i="1"/>
  <c r="DM139" i="1"/>
  <c r="DN139" i="1"/>
  <c r="DO139" i="1"/>
  <c r="DP139" i="1"/>
  <c r="DQ139" i="1"/>
  <c r="DR139" i="1"/>
  <c r="DS139" i="1"/>
  <c r="DT139" i="1"/>
  <c r="DU139" i="1"/>
  <c r="DV139" i="1"/>
  <c r="DW139" i="1"/>
  <c r="DX139" i="1"/>
  <c r="DY139" i="1"/>
  <c r="DZ139" i="1"/>
  <c r="EA139" i="1"/>
  <c r="EB139" i="1"/>
  <c r="EC139" i="1"/>
  <c r="ED139" i="1"/>
  <c r="EE139" i="1"/>
  <c r="EF139" i="1"/>
  <c r="EG139" i="1"/>
  <c r="EH139" i="1"/>
  <c r="EI139" i="1"/>
  <c r="EJ139" i="1"/>
  <c r="EK139" i="1"/>
  <c r="EL139" i="1"/>
  <c r="EM139" i="1"/>
  <c r="EN139" i="1"/>
  <c r="EO139" i="1"/>
  <c r="EP139" i="1"/>
  <c r="EQ139" i="1"/>
  <c r="ER139" i="1"/>
  <c r="ES139" i="1"/>
  <c r="ET139" i="1"/>
  <c r="EU139" i="1"/>
  <c r="EV139" i="1"/>
  <c r="EW139" i="1"/>
  <c r="EX139" i="1"/>
  <c r="EY139" i="1"/>
  <c r="EZ139" i="1"/>
  <c r="FA139" i="1"/>
  <c r="FB139" i="1"/>
  <c r="FC139" i="1"/>
  <c r="FD139" i="1"/>
  <c r="FE139" i="1"/>
  <c r="FF139" i="1"/>
  <c r="FG139" i="1"/>
  <c r="FH139" i="1"/>
  <c r="FI139" i="1"/>
  <c r="FJ139" i="1"/>
  <c r="FK139" i="1"/>
  <c r="FL139" i="1"/>
  <c r="FM139" i="1"/>
  <c r="FN139" i="1"/>
  <c r="FO139" i="1"/>
  <c r="FP139" i="1"/>
  <c r="FQ139" i="1"/>
  <c r="FR139" i="1"/>
  <c r="FS139" i="1"/>
  <c r="FT139" i="1"/>
  <c r="FU139" i="1"/>
  <c r="FV139" i="1"/>
  <c r="FW139" i="1"/>
  <c r="FX139" i="1"/>
  <c r="FY139" i="1"/>
  <c r="FZ139" i="1"/>
  <c r="GA139" i="1"/>
  <c r="GB139" i="1"/>
  <c r="GC139" i="1"/>
  <c r="GD139" i="1"/>
  <c r="GE139" i="1"/>
  <c r="GF139" i="1"/>
  <c r="GG139" i="1"/>
  <c r="GH139" i="1"/>
  <c r="GI139" i="1"/>
  <c r="GJ139" i="1"/>
  <c r="GK139" i="1"/>
  <c r="GL139" i="1"/>
  <c r="GM139" i="1"/>
  <c r="GN139" i="1"/>
  <c r="GO139" i="1"/>
  <c r="GP139" i="1"/>
  <c r="GQ139" i="1"/>
  <c r="GR139" i="1"/>
  <c r="GS139" i="1"/>
  <c r="GT139" i="1"/>
  <c r="GU139" i="1"/>
  <c r="GV139" i="1"/>
  <c r="GW139" i="1"/>
  <c r="GX139" i="1"/>
  <c r="C141" i="1"/>
  <c r="D141" i="1"/>
  <c r="I141" i="1"/>
  <c r="U141" i="1"/>
  <c r="AB141" i="1"/>
  <c r="AC141" i="1"/>
  <c r="CQ141" i="1" s="1"/>
  <c r="P141" i="1" s="1"/>
  <c r="AE141" i="1"/>
  <c r="AD141" i="1" s="1"/>
  <c r="AF141" i="1"/>
  <c r="CT141" i="1" s="1"/>
  <c r="S141" i="1" s="1"/>
  <c r="AG141" i="1"/>
  <c r="CU141" i="1" s="1"/>
  <c r="T141" i="1" s="1"/>
  <c r="AH141" i="1"/>
  <c r="AI141" i="1"/>
  <c r="AJ141" i="1"/>
  <c r="CX141" i="1" s="1"/>
  <c r="W141" i="1" s="1"/>
  <c r="CR141" i="1"/>
  <c r="Q141" i="1" s="1"/>
  <c r="CS141" i="1"/>
  <c r="R141" i="1" s="1"/>
  <c r="CV141" i="1"/>
  <c r="CW141" i="1"/>
  <c r="V141" i="1" s="1"/>
  <c r="FR141" i="1"/>
  <c r="GL141" i="1"/>
  <c r="GO141" i="1"/>
  <c r="CC152" i="1" s="1"/>
  <c r="CC139" i="1" s="1"/>
  <c r="GP141" i="1"/>
  <c r="GV141" i="1"/>
  <c r="HC141" i="1" s="1"/>
  <c r="GX141" i="1"/>
  <c r="C142" i="1"/>
  <c r="D142" i="1"/>
  <c r="I142" i="1"/>
  <c r="AB142" i="1"/>
  <c r="AC142" i="1"/>
  <c r="CQ142" i="1" s="1"/>
  <c r="AE142" i="1"/>
  <c r="AD142" i="1" s="1"/>
  <c r="AF142" i="1"/>
  <c r="CT142" i="1" s="1"/>
  <c r="S142" i="1" s="1"/>
  <c r="AG142" i="1"/>
  <c r="CU142" i="1" s="1"/>
  <c r="T142" i="1" s="1"/>
  <c r="AH142" i="1"/>
  <c r="AI142" i="1"/>
  <c r="AJ142" i="1"/>
  <c r="CX142" i="1" s="1"/>
  <c r="W142" i="1" s="1"/>
  <c r="CR142" i="1"/>
  <c r="Q142" i="1" s="1"/>
  <c r="CV142" i="1"/>
  <c r="U142" i="1" s="1"/>
  <c r="CW142" i="1"/>
  <c r="V142" i="1" s="1"/>
  <c r="FR142" i="1"/>
  <c r="GL142" i="1"/>
  <c r="GO142" i="1"/>
  <c r="GP142" i="1"/>
  <c r="GV142" i="1"/>
  <c r="HC142" i="1" s="1"/>
  <c r="GX142" i="1"/>
  <c r="AC143" i="1"/>
  <c r="AD143" i="1"/>
  <c r="CR143" i="1" s="1"/>
  <c r="AE143" i="1"/>
  <c r="CS143" i="1" s="1"/>
  <c r="AF143" i="1"/>
  <c r="AG143" i="1"/>
  <c r="CU143" i="1" s="1"/>
  <c r="AH143" i="1"/>
  <c r="CV143" i="1" s="1"/>
  <c r="AI143" i="1"/>
  <c r="CW143" i="1" s="1"/>
  <c r="AJ143" i="1"/>
  <c r="CQ143" i="1"/>
  <c r="CT143" i="1"/>
  <c r="CX143" i="1"/>
  <c r="FR143" i="1"/>
  <c r="GL143" i="1"/>
  <c r="GO143" i="1"/>
  <c r="GP143" i="1"/>
  <c r="GV143" i="1"/>
  <c r="HC143" i="1"/>
  <c r="I144" i="1"/>
  <c r="AB144" i="1"/>
  <c r="AC144" i="1"/>
  <c r="CQ144" i="1" s="1"/>
  <c r="AE144" i="1"/>
  <c r="AD144" i="1" s="1"/>
  <c r="CR144" i="1" s="1"/>
  <c r="Q144" i="1" s="1"/>
  <c r="AF144" i="1"/>
  <c r="AG144" i="1"/>
  <c r="CU144" i="1" s="1"/>
  <c r="T144" i="1" s="1"/>
  <c r="AH144" i="1"/>
  <c r="AI144" i="1"/>
  <c r="CW144" i="1" s="1"/>
  <c r="V144" i="1" s="1"/>
  <c r="AJ144" i="1"/>
  <c r="CX144" i="1" s="1"/>
  <c r="W144" i="1" s="1"/>
  <c r="CS144" i="1"/>
  <c r="R144" i="1" s="1"/>
  <c r="GK144" i="1" s="1"/>
  <c r="CT144" i="1"/>
  <c r="S144" i="1" s="1"/>
  <c r="CV144" i="1"/>
  <c r="U144" i="1" s="1"/>
  <c r="FR144" i="1"/>
  <c r="GL144" i="1"/>
  <c r="GO144" i="1"/>
  <c r="GP144" i="1"/>
  <c r="GV144" i="1"/>
  <c r="HC144" i="1" s="1"/>
  <c r="GX144" i="1" s="1"/>
  <c r="C145" i="1"/>
  <c r="D145" i="1"/>
  <c r="T145" i="1"/>
  <c r="AC145" i="1"/>
  <c r="AD145" i="1"/>
  <c r="CR145" i="1" s="1"/>
  <c r="Q145" i="1" s="1"/>
  <c r="AE145" i="1"/>
  <c r="AF145" i="1"/>
  <c r="AB145" i="1" s="1"/>
  <c r="AG145" i="1"/>
  <c r="AH145" i="1"/>
  <c r="CV145" i="1" s="1"/>
  <c r="U145" i="1" s="1"/>
  <c r="AI145" i="1"/>
  <c r="AJ145" i="1"/>
  <c r="CX145" i="1" s="1"/>
  <c r="W145" i="1" s="1"/>
  <c r="CQ145" i="1"/>
  <c r="P145" i="1" s="1"/>
  <c r="CS145" i="1"/>
  <c r="R145" i="1" s="1"/>
  <c r="GK145" i="1" s="1"/>
  <c r="CT145" i="1"/>
  <c r="S145" i="1" s="1"/>
  <c r="CU145" i="1"/>
  <c r="CW145" i="1"/>
  <c r="V145" i="1" s="1"/>
  <c r="FR145" i="1"/>
  <c r="GL145" i="1"/>
  <c r="GO145" i="1"/>
  <c r="GP145" i="1"/>
  <c r="GV145" i="1"/>
  <c r="GX145" i="1"/>
  <c r="HC145" i="1"/>
  <c r="I146" i="1"/>
  <c r="AC146" i="1"/>
  <c r="AE146" i="1"/>
  <c r="AD146" i="1" s="1"/>
  <c r="AF146" i="1"/>
  <c r="CT146" i="1" s="1"/>
  <c r="S146" i="1" s="1"/>
  <c r="AG146" i="1"/>
  <c r="AH146" i="1"/>
  <c r="AI146" i="1"/>
  <c r="CW146" i="1" s="1"/>
  <c r="V146" i="1" s="1"/>
  <c r="AJ146" i="1"/>
  <c r="CX146" i="1" s="1"/>
  <c r="W146" i="1" s="1"/>
  <c r="CQ146" i="1"/>
  <c r="P146" i="1" s="1"/>
  <c r="CS146" i="1"/>
  <c r="R146" i="1" s="1"/>
  <c r="CU146" i="1"/>
  <c r="T146" i="1" s="1"/>
  <c r="CV146" i="1"/>
  <c r="U146" i="1" s="1"/>
  <c r="FR146" i="1"/>
  <c r="GL146" i="1"/>
  <c r="GO146" i="1"/>
  <c r="GP146" i="1"/>
  <c r="GV146" i="1"/>
  <c r="HC146" i="1" s="1"/>
  <c r="GX146" i="1"/>
  <c r="C147" i="1"/>
  <c r="D147" i="1"/>
  <c r="I147" i="1"/>
  <c r="AC147" i="1"/>
  <c r="AE147" i="1"/>
  <c r="AD147" i="1" s="1"/>
  <c r="AF147" i="1"/>
  <c r="CT147" i="1" s="1"/>
  <c r="S147" i="1" s="1"/>
  <c r="AG147" i="1"/>
  <c r="AH147" i="1"/>
  <c r="AI147" i="1"/>
  <c r="CW147" i="1" s="1"/>
  <c r="V147" i="1" s="1"/>
  <c r="AJ147" i="1"/>
  <c r="CX147" i="1" s="1"/>
  <c r="W147" i="1" s="1"/>
  <c r="CQ147" i="1"/>
  <c r="P147" i="1" s="1"/>
  <c r="CS147" i="1"/>
  <c r="R147" i="1" s="1"/>
  <c r="CU147" i="1"/>
  <c r="T147" i="1" s="1"/>
  <c r="CV147" i="1"/>
  <c r="U147" i="1" s="1"/>
  <c r="FR147" i="1"/>
  <c r="GL147" i="1"/>
  <c r="GO147" i="1"/>
  <c r="GP147" i="1"/>
  <c r="GV147" i="1"/>
  <c r="HC147" i="1" s="1"/>
  <c r="GX147" i="1"/>
  <c r="I148" i="1"/>
  <c r="S148" i="1"/>
  <c r="AC148" i="1"/>
  <c r="AB148" i="1" s="1"/>
  <c r="AD148" i="1"/>
  <c r="CR148" i="1" s="1"/>
  <c r="AE148" i="1"/>
  <c r="AF148" i="1"/>
  <c r="AG148" i="1"/>
  <c r="AH148" i="1"/>
  <c r="CV148" i="1" s="1"/>
  <c r="AI148" i="1"/>
  <c r="AJ148" i="1"/>
  <c r="CQ148" i="1"/>
  <c r="P148" i="1" s="1"/>
  <c r="CS148" i="1"/>
  <c r="R148" i="1" s="1"/>
  <c r="GK148" i="1" s="1"/>
  <c r="CT148" i="1"/>
  <c r="CU148" i="1"/>
  <c r="T148" i="1" s="1"/>
  <c r="CW148" i="1"/>
  <c r="V148" i="1" s="1"/>
  <c r="CX148" i="1"/>
  <c r="W148" i="1" s="1"/>
  <c r="FR148" i="1"/>
  <c r="GL148" i="1"/>
  <c r="BZ152" i="1" s="1"/>
  <c r="GO148" i="1"/>
  <c r="GP148" i="1"/>
  <c r="GV148" i="1"/>
  <c r="HC148" i="1"/>
  <c r="GX148" i="1" s="1"/>
  <c r="I149" i="1"/>
  <c r="P149" i="1"/>
  <c r="AC149" i="1"/>
  <c r="AE149" i="1"/>
  <c r="AD149" i="1" s="1"/>
  <c r="AF149" i="1"/>
  <c r="CT149" i="1" s="1"/>
  <c r="S149" i="1" s="1"/>
  <c r="AG149" i="1"/>
  <c r="AH149" i="1"/>
  <c r="CV149" i="1" s="1"/>
  <c r="U149" i="1" s="1"/>
  <c r="AI149" i="1"/>
  <c r="CW149" i="1" s="1"/>
  <c r="V149" i="1" s="1"/>
  <c r="AJ149" i="1"/>
  <c r="CX149" i="1" s="1"/>
  <c r="W149" i="1" s="1"/>
  <c r="CQ149" i="1"/>
  <c r="CS149" i="1"/>
  <c r="R149" i="1" s="1"/>
  <c r="CU149" i="1"/>
  <c r="T149" i="1" s="1"/>
  <c r="FR149" i="1"/>
  <c r="GL149" i="1"/>
  <c r="GO149" i="1"/>
  <c r="GP149" i="1"/>
  <c r="GV149" i="1"/>
  <c r="HC149" i="1" s="1"/>
  <c r="GX149" i="1"/>
  <c r="C150" i="1"/>
  <c r="D150" i="1"/>
  <c r="I150" i="1"/>
  <c r="CX232" i="3" s="1"/>
  <c r="P150" i="1"/>
  <c r="AC150" i="1"/>
  <c r="AE150" i="1"/>
  <c r="AD150" i="1" s="1"/>
  <c r="AF150" i="1"/>
  <c r="CT150" i="1" s="1"/>
  <c r="S150" i="1" s="1"/>
  <c r="AG150" i="1"/>
  <c r="AH150" i="1"/>
  <c r="CV150" i="1" s="1"/>
  <c r="U150" i="1" s="1"/>
  <c r="AI150" i="1"/>
  <c r="CW150" i="1" s="1"/>
  <c r="V150" i="1" s="1"/>
  <c r="AJ150" i="1"/>
  <c r="CX150" i="1" s="1"/>
  <c r="W150" i="1" s="1"/>
  <c r="CQ150" i="1"/>
  <c r="CS150" i="1"/>
  <c r="R150" i="1" s="1"/>
  <c r="CU150" i="1"/>
  <c r="T150" i="1" s="1"/>
  <c r="FR150" i="1"/>
  <c r="GL150" i="1"/>
  <c r="GO150" i="1"/>
  <c r="GP150" i="1"/>
  <c r="GV150" i="1"/>
  <c r="HC150" i="1" s="1"/>
  <c r="GX150" i="1"/>
  <c r="B152" i="1"/>
  <c r="B139" i="1" s="1"/>
  <c r="C152" i="1"/>
  <c r="C139" i="1" s="1"/>
  <c r="D152" i="1"/>
  <c r="D139" i="1" s="1"/>
  <c r="F152" i="1"/>
  <c r="G152" i="1"/>
  <c r="G139" i="1" s="1"/>
  <c r="AT152" i="1"/>
  <c r="AT139" i="1" s="1"/>
  <c r="BB152" i="1"/>
  <c r="BB139" i="1" s="1"/>
  <c r="BX152" i="1"/>
  <c r="CD152" i="1"/>
  <c r="CD139" i="1" s="1"/>
  <c r="CK152" i="1"/>
  <c r="CL152" i="1"/>
  <c r="CL139" i="1" s="1"/>
  <c r="F170" i="1"/>
  <c r="D181" i="1"/>
  <c r="E183" i="1"/>
  <c r="Z183" i="1"/>
  <c r="AA183" i="1"/>
  <c r="AM183" i="1"/>
  <c r="AN183" i="1"/>
  <c r="BD183" i="1"/>
  <c r="BE183" i="1"/>
  <c r="BF183" i="1"/>
  <c r="BG183" i="1"/>
  <c r="BH183" i="1"/>
  <c r="BI183" i="1"/>
  <c r="BJ183" i="1"/>
  <c r="BK183" i="1"/>
  <c r="BL183" i="1"/>
  <c r="BM183" i="1"/>
  <c r="BN183" i="1"/>
  <c r="BO183" i="1"/>
  <c r="BP183" i="1"/>
  <c r="BQ183" i="1"/>
  <c r="BR183" i="1"/>
  <c r="BS183" i="1"/>
  <c r="BT183" i="1"/>
  <c r="BU183" i="1"/>
  <c r="BV183" i="1"/>
  <c r="BW183" i="1"/>
  <c r="CM183" i="1"/>
  <c r="CN183" i="1"/>
  <c r="CO183" i="1"/>
  <c r="CP183" i="1"/>
  <c r="CQ183" i="1"/>
  <c r="CR183" i="1"/>
  <c r="CS183" i="1"/>
  <c r="CT183" i="1"/>
  <c r="CU183" i="1"/>
  <c r="CV183" i="1"/>
  <c r="CW183" i="1"/>
  <c r="CX183" i="1"/>
  <c r="CY183" i="1"/>
  <c r="CZ183" i="1"/>
  <c r="DA183" i="1"/>
  <c r="DB183" i="1"/>
  <c r="DC183" i="1"/>
  <c r="DD183" i="1"/>
  <c r="DE183" i="1"/>
  <c r="DF183" i="1"/>
  <c r="DG183" i="1"/>
  <c r="DH183" i="1"/>
  <c r="DI183" i="1"/>
  <c r="DJ183" i="1"/>
  <c r="DK183" i="1"/>
  <c r="DL183" i="1"/>
  <c r="DM183" i="1"/>
  <c r="DN183" i="1"/>
  <c r="DO183" i="1"/>
  <c r="DP183" i="1"/>
  <c r="DQ183" i="1"/>
  <c r="DR183" i="1"/>
  <c r="DS183" i="1"/>
  <c r="DT183" i="1"/>
  <c r="DU183" i="1"/>
  <c r="DV183" i="1"/>
  <c r="DW183" i="1"/>
  <c r="DX183" i="1"/>
  <c r="DY183" i="1"/>
  <c r="DZ183" i="1"/>
  <c r="EA183" i="1"/>
  <c r="EB183" i="1"/>
  <c r="EC183" i="1"/>
  <c r="ED183" i="1"/>
  <c r="EE183" i="1"/>
  <c r="EF183" i="1"/>
  <c r="EG183" i="1"/>
  <c r="EH183" i="1"/>
  <c r="EI183" i="1"/>
  <c r="EJ183" i="1"/>
  <c r="EK183" i="1"/>
  <c r="EL183" i="1"/>
  <c r="EM183" i="1"/>
  <c r="EN183" i="1"/>
  <c r="EO183" i="1"/>
  <c r="EP183" i="1"/>
  <c r="EQ183" i="1"/>
  <c r="ER183" i="1"/>
  <c r="ES183" i="1"/>
  <c r="ET183" i="1"/>
  <c r="EU183" i="1"/>
  <c r="EV183" i="1"/>
  <c r="EW183" i="1"/>
  <c r="EX183" i="1"/>
  <c r="EY183" i="1"/>
  <c r="EZ183" i="1"/>
  <c r="FA183" i="1"/>
  <c r="FB183" i="1"/>
  <c r="FC183" i="1"/>
  <c r="FD183" i="1"/>
  <c r="FE183" i="1"/>
  <c r="FF183" i="1"/>
  <c r="FG183" i="1"/>
  <c r="FH183" i="1"/>
  <c r="FI183" i="1"/>
  <c r="FJ183" i="1"/>
  <c r="FK183" i="1"/>
  <c r="FL183" i="1"/>
  <c r="FM183" i="1"/>
  <c r="FN183" i="1"/>
  <c r="FO183" i="1"/>
  <c r="FP183" i="1"/>
  <c r="FQ183" i="1"/>
  <c r="FR183" i="1"/>
  <c r="FS183" i="1"/>
  <c r="FT183" i="1"/>
  <c r="FU183" i="1"/>
  <c r="FV183" i="1"/>
  <c r="FW183" i="1"/>
  <c r="FX183" i="1"/>
  <c r="FY183" i="1"/>
  <c r="FZ183" i="1"/>
  <c r="GA183" i="1"/>
  <c r="GB183" i="1"/>
  <c r="GC183" i="1"/>
  <c r="GD183" i="1"/>
  <c r="GE183" i="1"/>
  <c r="GF183" i="1"/>
  <c r="GG183" i="1"/>
  <c r="GH183" i="1"/>
  <c r="GI183" i="1"/>
  <c r="GJ183" i="1"/>
  <c r="GK183" i="1"/>
  <c r="GL183" i="1"/>
  <c r="GM183" i="1"/>
  <c r="GN183" i="1"/>
  <c r="GO183" i="1"/>
  <c r="GP183" i="1"/>
  <c r="GQ183" i="1"/>
  <c r="GR183" i="1"/>
  <c r="GS183" i="1"/>
  <c r="GT183" i="1"/>
  <c r="GU183" i="1"/>
  <c r="GV183" i="1"/>
  <c r="GW183" i="1"/>
  <c r="GX183" i="1"/>
  <c r="I185" i="1"/>
  <c r="T185" i="1"/>
  <c r="AC185" i="1"/>
  <c r="AE185" i="1"/>
  <c r="AD185" i="1" s="1"/>
  <c r="AF185" i="1"/>
  <c r="CT185" i="1" s="1"/>
  <c r="AG185" i="1"/>
  <c r="AH185" i="1"/>
  <c r="CV185" i="1" s="1"/>
  <c r="U185" i="1" s="1"/>
  <c r="AI185" i="1"/>
  <c r="CW185" i="1" s="1"/>
  <c r="V185" i="1" s="1"/>
  <c r="AJ185" i="1"/>
  <c r="CX185" i="1" s="1"/>
  <c r="CQ185" i="1"/>
  <c r="P185" i="1" s="1"/>
  <c r="CS185" i="1"/>
  <c r="R185" i="1" s="1"/>
  <c r="GK185" i="1" s="1"/>
  <c r="CU185" i="1"/>
  <c r="FR185" i="1"/>
  <c r="GL185" i="1"/>
  <c r="GO185" i="1"/>
  <c r="GP185" i="1"/>
  <c r="GV185" i="1"/>
  <c r="HC185" i="1" s="1"/>
  <c r="GX185" i="1" s="1"/>
  <c r="C186" i="1"/>
  <c r="D186" i="1"/>
  <c r="I186" i="1"/>
  <c r="T186" i="1" s="1"/>
  <c r="AC186" i="1"/>
  <c r="AE186" i="1"/>
  <c r="AD186" i="1" s="1"/>
  <c r="AF186" i="1"/>
  <c r="CT186" i="1" s="1"/>
  <c r="AG186" i="1"/>
  <c r="AH186" i="1"/>
  <c r="CV186" i="1" s="1"/>
  <c r="AI186" i="1"/>
  <c r="CW186" i="1" s="1"/>
  <c r="V186" i="1" s="1"/>
  <c r="AJ186" i="1"/>
  <c r="CX186" i="1" s="1"/>
  <c r="CQ186" i="1"/>
  <c r="P186" i="1" s="1"/>
  <c r="CU186" i="1"/>
  <c r="FR186" i="1"/>
  <c r="GL186" i="1"/>
  <c r="GN186" i="1"/>
  <c r="GP186" i="1"/>
  <c r="GV186" i="1"/>
  <c r="HC186" i="1" s="1"/>
  <c r="GX186" i="1"/>
  <c r="C187" i="1"/>
  <c r="D187" i="1"/>
  <c r="I187" i="1"/>
  <c r="P187" i="1"/>
  <c r="U187" i="1"/>
  <c r="AB187" i="1"/>
  <c r="AC187" i="1"/>
  <c r="AE187" i="1"/>
  <c r="AD187" i="1" s="1"/>
  <c r="CR187" i="1" s="1"/>
  <c r="Q187" i="1" s="1"/>
  <c r="AF187" i="1"/>
  <c r="CT187" i="1" s="1"/>
  <c r="S187" i="1" s="1"/>
  <c r="CY187" i="1" s="1"/>
  <c r="X187" i="1" s="1"/>
  <c r="AG187" i="1"/>
  <c r="AH187" i="1"/>
  <c r="CV187" i="1" s="1"/>
  <c r="AI187" i="1"/>
  <c r="CW187" i="1" s="1"/>
  <c r="V187" i="1" s="1"/>
  <c r="AJ187" i="1"/>
  <c r="CX187" i="1" s="1"/>
  <c r="W187" i="1" s="1"/>
  <c r="CQ187" i="1"/>
  <c r="CS187" i="1"/>
  <c r="R187" i="1" s="1"/>
  <c r="GK187" i="1" s="1"/>
  <c r="CU187" i="1"/>
  <c r="T187" i="1" s="1"/>
  <c r="CZ187" i="1"/>
  <c r="Y187" i="1" s="1"/>
  <c r="FR187" i="1"/>
  <c r="GL187" i="1"/>
  <c r="GN187" i="1"/>
  <c r="GP187" i="1"/>
  <c r="GV187" i="1"/>
  <c r="HC187" i="1" s="1"/>
  <c r="GX187" i="1"/>
  <c r="C188" i="1"/>
  <c r="D188" i="1"/>
  <c r="AC188" i="1"/>
  <c r="CQ188" i="1" s="1"/>
  <c r="P188" i="1" s="1"/>
  <c r="AE188" i="1"/>
  <c r="AD188" i="1" s="1"/>
  <c r="CR188" i="1" s="1"/>
  <c r="Q188" i="1" s="1"/>
  <c r="AF188" i="1"/>
  <c r="AG188" i="1"/>
  <c r="CU188" i="1" s="1"/>
  <c r="T188" i="1" s="1"/>
  <c r="AH188" i="1"/>
  <c r="AI188" i="1"/>
  <c r="CW188" i="1" s="1"/>
  <c r="V188" i="1" s="1"/>
  <c r="AJ188" i="1"/>
  <c r="CT188" i="1"/>
  <c r="S188" i="1" s="1"/>
  <c r="CV188" i="1"/>
  <c r="U188" i="1" s="1"/>
  <c r="CX188" i="1"/>
  <c r="W188" i="1" s="1"/>
  <c r="FR188" i="1"/>
  <c r="GL188" i="1"/>
  <c r="GN188" i="1"/>
  <c r="GP188" i="1"/>
  <c r="GV188" i="1"/>
  <c r="HC188" i="1"/>
  <c r="GX188" i="1" s="1"/>
  <c r="C189" i="1"/>
  <c r="D189" i="1"/>
  <c r="R189" i="1"/>
  <c r="AC189" i="1"/>
  <c r="AB189" i="1" s="1"/>
  <c r="AD189" i="1"/>
  <c r="CR189" i="1" s="1"/>
  <c r="Q189" i="1" s="1"/>
  <c r="AE189" i="1"/>
  <c r="AF189" i="1"/>
  <c r="AG189" i="1"/>
  <c r="AH189" i="1"/>
  <c r="CV189" i="1" s="1"/>
  <c r="U189" i="1" s="1"/>
  <c r="AI189" i="1"/>
  <c r="AJ189" i="1"/>
  <c r="CX189" i="1" s="1"/>
  <c r="W189" i="1" s="1"/>
  <c r="CQ189" i="1"/>
  <c r="P189" i="1" s="1"/>
  <c r="CP189" i="1" s="1"/>
  <c r="O189" i="1" s="1"/>
  <c r="CS189" i="1"/>
  <c r="CT189" i="1"/>
  <c r="S189" i="1" s="1"/>
  <c r="CU189" i="1"/>
  <c r="T189" i="1" s="1"/>
  <c r="CW189" i="1"/>
  <c r="V189" i="1" s="1"/>
  <c r="FR189" i="1"/>
  <c r="GK189" i="1"/>
  <c r="GL189" i="1"/>
  <c r="GN189" i="1"/>
  <c r="GP189" i="1"/>
  <c r="GV189" i="1"/>
  <c r="HC189" i="1"/>
  <c r="GX189" i="1" s="1"/>
  <c r="I190" i="1"/>
  <c r="T190" i="1" s="1"/>
  <c r="AC190" i="1"/>
  <c r="AE190" i="1"/>
  <c r="AD190" i="1" s="1"/>
  <c r="AF190" i="1"/>
  <c r="CT190" i="1" s="1"/>
  <c r="AG190" i="1"/>
  <c r="AH190" i="1"/>
  <c r="CV190" i="1" s="1"/>
  <c r="AI190" i="1"/>
  <c r="CW190" i="1" s="1"/>
  <c r="V190" i="1" s="1"/>
  <c r="AJ190" i="1"/>
  <c r="CX190" i="1" s="1"/>
  <c r="CQ190" i="1"/>
  <c r="CU190" i="1"/>
  <c r="FR190" i="1"/>
  <c r="GL190" i="1"/>
  <c r="GO190" i="1"/>
  <c r="GP190" i="1"/>
  <c r="GV190" i="1"/>
  <c r="HC190" i="1" s="1"/>
  <c r="GX190" i="1" s="1"/>
  <c r="C191" i="1"/>
  <c r="D191" i="1"/>
  <c r="I191" i="1"/>
  <c r="CX276" i="3" s="1"/>
  <c r="T191" i="1"/>
  <c r="AC191" i="1"/>
  <c r="AE191" i="1"/>
  <c r="AD191" i="1" s="1"/>
  <c r="AF191" i="1"/>
  <c r="CT191" i="1" s="1"/>
  <c r="AG191" i="1"/>
  <c r="AH191" i="1"/>
  <c r="CV191" i="1" s="1"/>
  <c r="U191" i="1" s="1"/>
  <c r="AI191" i="1"/>
  <c r="CW191" i="1" s="1"/>
  <c r="V191" i="1" s="1"/>
  <c r="AJ191" i="1"/>
  <c r="CX191" i="1" s="1"/>
  <c r="CQ191" i="1"/>
  <c r="P191" i="1" s="1"/>
  <c r="CS191" i="1"/>
  <c r="R191" i="1" s="1"/>
  <c r="GK191" i="1" s="1"/>
  <c r="CU191" i="1"/>
  <c r="FR191" i="1"/>
  <c r="GL191" i="1"/>
  <c r="GO191" i="1"/>
  <c r="GP191" i="1"/>
  <c r="GV191" i="1"/>
  <c r="HC191" i="1" s="1"/>
  <c r="GX191" i="1" s="1"/>
  <c r="C192" i="1"/>
  <c r="D192" i="1"/>
  <c r="I192" i="1"/>
  <c r="AC192" i="1"/>
  <c r="AE192" i="1"/>
  <c r="AF192" i="1"/>
  <c r="AG192" i="1"/>
  <c r="AH192" i="1"/>
  <c r="AI192" i="1"/>
  <c r="CW192" i="1" s="1"/>
  <c r="V192" i="1" s="1"/>
  <c r="AJ192" i="1"/>
  <c r="CQ192" i="1"/>
  <c r="P192" i="1" s="1"/>
  <c r="CT192" i="1"/>
  <c r="S192" i="1" s="1"/>
  <c r="CU192" i="1"/>
  <c r="T192" i="1" s="1"/>
  <c r="CV192" i="1"/>
  <c r="U192" i="1" s="1"/>
  <c r="CX192" i="1"/>
  <c r="W192" i="1" s="1"/>
  <c r="FR192" i="1"/>
  <c r="GL192" i="1"/>
  <c r="GN192" i="1"/>
  <c r="GP192" i="1"/>
  <c r="GV192" i="1"/>
  <c r="HC192" i="1" s="1"/>
  <c r="GX192" i="1" s="1"/>
  <c r="I193" i="1"/>
  <c r="V193" i="1"/>
  <c r="AC193" i="1"/>
  <c r="CQ193" i="1" s="1"/>
  <c r="P193" i="1" s="1"/>
  <c r="AE193" i="1"/>
  <c r="AD193" i="1" s="1"/>
  <c r="CR193" i="1" s="1"/>
  <c r="Q193" i="1" s="1"/>
  <c r="AF193" i="1"/>
  <c r="AG193" i="1"/>
  <c r="CU193" i="1" s="1"/>
  <c r="AH193" i="1"/>
  <c r="AI193" i="1"/>
  <c r="AJ193" i="1"/>
  <c r="CS193" i="1"/>
  <c r="R193" i="1" s="1"/>
  <c r="GK193" i="1" s="1"/>
  <c r="CT193" i="1"/>
  <c r="S193" i="1" s="1"/>
  <c r="CV193" i="1"/>
  <c r="U193" i="1" s="1"/>
  <c r="CW193" i="1"/>
  <c r="CX193" i="1"/>
  <c r="W193" i="1" s="1"/>
  <c r="FR193" i="1"/>
  <c r="GL193" i="1"/>
  <c r="GN193" i="1"/>
  <c r="GP193" i="1"/>
  <c r="GV193" i="1"/>
  <c r="HC193" i="1"/>
  <c r="GX193" i="1" s="1"/>
  <c r="C194" i="1"/>
  <c r="D194" i="1"/>
  <c r="S194" i="1"/>
  <c r="CY194" i="1" s="1"/>
  <c r="X194" i="1" s="1"/>
  <c r="AC194" i="1"/>
  <c r="AB194" i="1" s="1"/>
  <c r="AD194" i="1"/>
  <c r="CR194" i="1" s="1"/>
  <c r="Q194" i="1" s="1"/>
  <c r="AE194" i="1"/>
  <c r="AF194" i="1"/>
  <c r="AG194" i="1"/>
  <c r="AH194" i="1"/>
  <c r="CV194" i="1" s="1"/>
  <c r="U194" i="1" s="1"/>
  <c r="AI194" i="1"/>
  <c r="AJ194" i="1"/>
  <c r="CQ194" i="1"/>
  <c r="P194" i="1" s="1"/>
  <c r="CP194" i="1" s="1"/>
  <c r="O194" i="1" s="1"/>
  <c r="CS194" i="1"/>
  <c r="R194" i="1" s="1"/>
  <c r="CT194" i="1"/>
  <c r="CU194" i="1"/>
  <c r="T194" i="1" s="1"/>
  <c r="CW194" i="1"/>
  <c r="V194" i="1" s="1"/>
  <c r="CX194" i="1"/>
  <c r="W194" i="1" s="1"/>
  <c r="FR194" i="1"/>
  <c r="GK194" i="1"/>
  <c r="GL194" i="1"/>
  <c r="GN194" i="1"/>
  <c r="GP194" i="1"/>
  <c r="GV194" i="1"/>
  <c r="HC194" i="1"/>
  <c r="GX194" i="1" s="1"/>
  <c r="I195" i="1"/>
  <c r="P195" i="1" s="1"/>
  <c r="AC195" i="1"/>
  <c r="AE195" i="1"/>
  <c r="AD195" i="1" s="1"/>
  <c r="AF195" i="1"/>
  <c r="CT195" i="1" s="1"/>
  <c r="AG195" i="1"/>
  <c r="AH195" i="1"/>
  <c r="CV195" i="1" s="1"/>
  <c r="U195" i="1" s="1"/>
  <c r="AI195" i="1"/>
  <c r="CW195" i="1" s="1"/>
  <c r="V195" i="1" s="1"/>
  <c r="AJ195" i="1"/>
  <c r="CX195" i="1" s="1"/>
  <c r="W195" i="1" s="1"/>
  <c r="CQ195" i="1"/>
  <c r="CS195" i="1"/>
  <c r="R195" i="1" s="1"/>
  <c r="GK195" i="1" s="1"/>
  <c r="CU195" i="1"/>
  <c r="T195" i="1" s="1"/>
  <c r="FR195" i="1"/>
  <c r="GL195" i="1"/>
  <c r="GN195" i="1"/>
  <c r="GP195" i="1"/>
  <c r="GV195" i="1"/>
  <c r="HC195" i="1" s="1"/>
  <c r="GX195" i="1" s="1"/>
  <c r="C196" i="1"/>
  <c r="D196" i="1"/>
  <c r="I196" i="1"/>
  <c r="AC196" i="1"/>
  <c r="AE196" i="1"/>
  <c r="AD196" i="1" s="1"/>
  <c r="AF196" i="1"/>
  <c r="CT196" i="1" s="1"/>
  <c r="S196" i="1" s="1"/>
  <c r="AG196" i="1"/>
  <c r="AH196" i="1"/>
  <c r="AI196" i="1"/>
  <c r="CW196" i="1" s="1"/>
  <c r="V196" i="1" s="1"/>
  <c r="AJ196" i="1"/>
  <c r="CX196" i="1" s="1"/>
  <c r="W196" i="1" s="1"/>
  <c r="CQ196" i="1"/>
  <c r="P196" i="1" s="1"/>
  <c r="CS196" i="1"/>
  <c r="R196" i="1" s="1"/>
  <c r="CU196" i="1"/>
  <c r="T196" i="1" s="1"/>
  <c r="CV196" i="1"/>
  <c r="U196" i="1" s="1"/>
  <c r="FR196" i="1"/>
  <c r="GL196" i="1"/>
  <c r="GN196" i="1"/>
  <c r="GP196" i="1"/>
  <c r="GV196" i="1"/>
  <c r="HC196" i="1" s="1"/>
  <c r="GX196" i="1"/>
  <c r="I197" i="1"/>
  <c r="T197" i="1" s="1"/>
  <c r="AC197" i="1"/>
  <c r="AD197" i="1"/>
  <c r="CR197" i="1" s="1"/>
  <c r="Q197" i="1" s="1"/>
  <c r="AE197" i="1"/>
  <c r="AF197" i="1"/>
  <c r="AB197" i="1" s="1"/>
  <c r="AG197" i="1"/>
  <c r="AH197" i="1"/>
  <c r="CV197" i="1" s="1"/>
  <c r="U197" i="1" s="1"/>
  <c r="AI197" i="1"/>
  <c r="AJ197" i="1"/>
  <c r="CQ197" i="1"/>
  <c r="P197" i="1" s="1"/>
  <c r="CS197" i="1"/>
  <c r="R197" i="1" s="1"/>
  <c r="GK197" i="1" s="1"/>
  <c r="CT197" i="1"/>
  <c r="S197" i="1" s="1"/>
  <c r="CU197" i="1"/>
  <c r="CW197" i="1"/>
  <c r="V197" i="1" s="1"/>
  <c r="CX197" i="1"/>
  <c r="W197" i="1" s="1"/>
  <c r="FR197" i="1"/>
  <c r="GL197" i="1"/>
  <c r="GN197" i="1"/>
  <c r="GP197" i="1"/>
  <c r="GV197" i="1"/>
  <c r="GX197" i="1"/>
  <c r="HC197" i="1"/>
  <c r="C198" i="1"/>
  <c r="D198" i="1"/>
  <c r="I198" i="1"/>
  <c r="S198" i="1"/>
  <c r="AC198" i="1"/>
  <c r="AB198" i="1" s="1"/>
  <c r="AD198" i="1"/>
  <c r="CR198" i="1" s="1"/>
  <c r="Q198" i="1" s="1"/>
  <c r="AE198" i="1"/>
  <c r="AF198" i="1"/>
  <c r="AG198" i="1"/>
  <c r="AH198" i="1"/>
  <c r="CV198" i="1" s="1"/>
  <c r="U198" i="1" s="1"/>
  <c r="AI198" i="1"/>
  <c r="AJ198" i="1"/>
  <c r="CQ198" i="1"/>
  <c r="P198" i="1" s="1"/>
  <c r="CP198" i="1" s="1"/>
  <c r="O198" i="1" s="1"/>
  <c r="CS198" i="1"/>
  <c r="R198" i="1" s="1"/>
  <c r="GK198" i="1" s="1"/>
  <c r="CT198" i="1"/>
  <c r="CU198" i="1"/>
  <c r="T198" i="1" s="1"/>
  <c r="CW198" i="1"/>
  <c r="V198" i="1" s="1"/>
  <c r="CX198" i="1"/>
  <c r="W198" i="1" s="1"/>
  <c r="FR198" i="1"/>
  <c r="GL198" i="1"/>
  <c r="GN198" i="1"/>
  <c r="GP198" i="1"/>
  <c r="GV198" i="1"/>
  <c r="HC198" i="1"/>
  <c r="GX198" i="1" s="1"/>
  <c r="I199" i="1"/>
  <c r="P199" i="1" s="1"/>
  <c r="AC199" i="1"/>
  <c r="AE199" i="1"/>
  <c r="AD199" i="1" s="1"/>
  <c r="AF199" i="1"/>
  <c r="CT199" i="1" s="1"/>
  <c r="S199" i="1" s="1"/>
  <c r="AG199" i="1"/>
  <c r="AH199" i="1"/>
  <c r="CV199" i="1" s="1"/>
  <c r="U199" i="1" s="1"/>
  <c r="AI199" i="1"/>
  <c r="AJ199" i="1"/>
  <c r="CX199" i="1" s="1"/>
  <c r="W199" i="1" s="1"/>
  <c r="CQ199" i="1"/>
  <c r="CS199" i="1"/>
  <c r="R199" i="1" s="1"/>
  <c r="CU199" i="1"/>
  <c r="T199" i="1" s="1"/>
  <c r="CW199" i="1"/>
  <c r="V199" i="1" s="1"/>
  <c r="FR199" i="1"/>
  <c r="GL199" i="1"/>
  <c r="GN199" i="1"/>
  <c r="GP199" i="1"/>
  <c r="GV199" i="1"/>
  <c r="HC199" i="1" s="1"/>
  <c r="GX199" i="1" s="1"/>
  <c r="C200" i="1"/>
  <c r="D200" i="1"/>
  <c r="I200" i="1"/>
  <c r="AC200" i="1"/>
  <c r="AE200" i="1"/>
  <c r="AD200" i="1" s="1"/>
  <c r="AF200" i="1"/>
  <c r="CT200" i="1" s="1"/>
  <c r="S200" i="1" s="1"/>
  <c r="AG200" i="1"/>
  <c r="AH200" i="1"/>
  <c r="AI200" i="1"/>
  <c r="CW200" i="1" s="1"/>
  <c r="V200" i="1" s="1"/>
  <c r="AJ200" i="1"/>
  <c r="CX200" i="1" s="1"/>
  <c r="W200" i="1" s="1"/>
  <c r="CQ200" i="1"/>
  <c r="P200" i="1" s="1"/>
  <c r="CS200" i="1"/>
  <c r="R200" i="1" s="1"/>
  <c r="CU200" i="1"/>
  <c r="T200" i="1" s="1"/>
  <c r="CV200" i="1"/>
  <c r="U200" i="1" s="1"/>
  <c r="FR200" i="1"/>
  <c r="GL200" i="1"/>
  <c r="GN200" i="1"/>
  <c r="GP200" i="1"/>
  <c r="GV200" i="1"/>
  <c r="HC200" i="1" s="1"/>
  <c r="GX200" i="1"/>
  <c r="I201" i="1"/>
  <c r="T201" i="1"/>
  <c r="AC201" i="1"/>
  <c r="AD201" i="1"/>
  <c r="CR201" i="1" s="1"/>
  <c r="Q201" i="1" s="1"/>
  <c r="AE201" i="1"/>
  <c r="AF201" i="1"/>
  <c r="AB201" i="1" s="1"/>
  <c r="AG201" i="1"/>
  <c r="AH201" i="1"/>
  <c r="CV201" i="1" s="1"/>
  <c r="U201" i="1" s="1"/>
  <c r="AI201" i="1"/>
  <c r="AJ201" i="1"/>
  <c r="CX201" i="1" s="1"/>
  <c r="W201" i="1" s="1"/>
  <c r="CQ201" i="1"/>
  <c r="P201" i="1" s="1"/>
  <c r="CS201" i="1"/>
  <c r="R201" i="1" s="1"/>
  <c r="GK201" i="1" s="1"/>
  <c r="CT201" i="1"/>
  <c r="S201" i="1" s="1"/>
  <c r="CU201" i="1"/>
  <c r="CW201" i="1"/>
  <c r="V201" i="1" s="1"/>
  <c r="FR201" i="1"/>
  <c r="GL201" i="1"/>
  <c r="GN201" i="1"/>
  <c r="GP201" i="1"/>
  <c r="GV201" i="1"/>
  <c r="GX201" i="1"/>
  <c r="HC201" i="1"/>
  <c r="C202" i="1"/>
  <c r="D202" i="1"/>
  <c r="I202" i="1"/>
  <c r="S202" i="1"/>
  <c r="CY202" i="1" s="1"/>
  <c r="X202" i="1" s="1"/>
  <c r="AC202" i="1"/>
  <c r="AB202" i="1" s="1"/>
  <c r="AD202" i="1"/>
  <c r="CR202" i="1" s="1"/>
  <c r="Q202" i="1" s="1"/>
  <c r="AE202" i="1"/>
  <c r="AF202" i="1"/>
  <c r="AG202" i="1"/>
  <c r="AH202" i="1"/>
  <c r="CV202" i="1" s="1"/>
  <c r="U202" i="1" s="1"/>
  <c r="AI202" i="1"/>
  <c r="AJ202" i="1"/>
  <c r="CQ202" i="1"/>
  <c r="P202" i="1" s="1"/>
  <c r="CP202" i="1" s="1"/>
  <c r="O202" i="1" s="1"/>
  <c r="CS202" i="1"/>
  <c r="R202" i="1" s="1"/>
  <c r="GK202" i="1" s="1"/>
  <c r="CT202" i="1"/>
  <c r="CU202" i="1"/>
  <c r="T202" i="1" s="1"/>
  <c r="CW202" i="1"/>
  <c r="V202" i="1" s="1"/>
  <c r="CX202" i="1"/>
  <c r="W202" i="1" s="1"/>
  <c r="FR202" i="1"/>
  <c r="GL202" i="1"/>
  <c r="GN202" i="1"/>
  <c r="GP202" i="1"/>
  <c r="GV202" i="1"/>
  <c r="HC202" i="1"/>
  <c r="GX202" i="1" s="1"/>
  <c r="I203" i="1"/>
  <c r="P203" i="1" s="1"/>
  <c r="AC203" i="1"/>
  <c r="AE203" i="1"/>
  <c r="AD203" i="1" s="1"/>
  <c r="AF203" i="1"/>
  <c r="CT203" i="1" s="1"/>
  <c r="S203" i="1" s="1"/>
  <c r="AG203" i="1"/>
  <c r="AH203" i="1"/>
  <c r="CV203" i="1" s="1"/>
  <c r="U203" i="1" s="1"/>
  <c r="AI203" i="1"/>
  <c r="AJ203" i="1"/>
  <c r="CX203" i="1" s="1"/>
  <c r="W203" i="1" s="1"/>
  <c r="CQ203" i="1"/>
  <c r="CS203" i="1"/>
  <c r="R203" i="1" s="1"/>
  <c r="CU203" i="1"/>
  <c r="T203" i="1" s="1"/>
  <c r="CW203" i="1"/>
  <c r="V203" i="1" s="1"/>
  <c r="FR203" i="1"/>
  <c r="GL203" i="1"/>
  <c r="GN203" i="1"/>
  <c r="GP203" i="1"/>
  <c r="GV203" i="1"/>
  <c r="HC203" i="1" s="1"/>
  <c r="GX203" i="1" s="1"/>
  <c r="C204" i="1"/>
  <c r="D204" i="1"/>
  <c r="I204" i="1"/>
  <c r="AC204" i="1"/>
  <c r="AE204" i="1"/>
  <c r="AD204" i="1" s="1"/>
  <c r="AF204" i="1"/>
  <c r="CT204" i="1" s="1"/>
  <c r="S204" i="1" s="1"/>
  <c r="AG204" i="1"/>
  <c r="AH204" i="1"/>
  <c r="AI204" i="1"/>
  <c r="CW204" i="1" s="1"/>
  <c r="V204" i="1" s="1"/>
  <c r="AJ204" i="1"/>
  <c r="CX204" i="1" s="1"/>
  <c r="W204" i="1" s="1"/>
  <c r="CQ204" i="1"/>
  <c r="P204" i="1" s="1"/>
  <c r="CS204" i="1"/>
  <c r="R204" i="1" s="1"/>
  <c r="CU204" i="1"/>
  <c r="T204" i="1" s="1"/>
  <c r="CV204" i="1"/>
  <c r="U204" i="1" s="1"/>
  <c r="FR204" i="1"/>
  <c r="GL204" i="1"/>
  <c r="GN204" i="1"/>
  <c r="GP204" i="1"/>
  <c r="GV204" i="1"/>
  <c r="HC204" i="1" s="1"/>
  <c r="GX204" i="1"/>
  <c r="I205" i="1"/>
  <c r="T205" i="1" s="1"/>
  <c r="AC205" i="1"/>
  <c r="AD205" i="1"/>
  <c r="CR205" i="1" s="1"/>
  <c r="Q205" i="1" s="1"/>
  <c r="AE205" i="1"/>
  <c r="AF205" i="1"/>
  <c r="AG205" i="1"/>
  <c r="AH205" i="1"/>
  <c r="CV205" i="1" s="1"/>
  <c r="U205" i="1" s="1"/>
  <c r="AI205" i="1"/>
  <c r="AJ205" i="1"/>
  <c r="CQ205" i="1"/>
  <c r="P205" i="1" s="1"/>
  <c r="CP205" i="1" s="1"/>
  <c r="O205" i="1" s="1"/>
  <c r="CS205" i="1"/>
  <c r="R205" i="1" s="1"/>
  <c r="GK205" i="1" s="1"/>
  <c r="CT205" i="1"/>
  <c r="S205" i="1" s="1"/>
  <c r="CU205" i="1"/>
  <c r="CW205" i="1"/>
  <c r="V205" i="1" s="1"/>
  <c r="CX205" i="1"/>
  <c r="W205" i="1" s="1"/>
  <c r="FR205" i="1"/>
  <c r="GL205" i="1"/>
  <c r="GN205" i="1"/>
  <c r="GP205" i="1"/>
  <c r="GV205" i="1"/>
  <c r="GX205" i="1"/>
  <c r="HC205" i="1"/>
  <c r="C206" i="1"/>
  <c r="D206" i="1"/>
  <c r="I206" i="1"/>
  <c r="S206" i="1"/>
  <c r="CY206" i="1" s="1"/>
  <c r="X206" i="1" s="1"/>
  <c r="AC206" i="1"/>
  <c r="AB206" i="1" s="1"/>
  <c r="AD206" i="1"/>
  <c r="CR206" i="1" s="1"/>
  <c r="Q206" i="1" s="1"/>
  <c r="AE206" i="1"/>
  <c r="AF206" i="1"/>
  <c r="AG206" i="1"/>
  <c r="AH206" i="1"/>
  <c r="CV206" i="1" s="1"/>
  <c r="U206" i="1" s="1"/>
  <c r="AI206" i="1"/>
  <c r="AJ206" i="1"/>
  <c r="CQ206" i="1"/>
  <c r="P206" i="1" s="1"/>
  <c r="CP206" i="1" s="1"/>
  <c r="O206" i="1" s="1"/>
  <c r="CS206" i="1"/>
  <c r="R206" i="1" s="1"/>
  <c r="GK206" i="1" s="1"/>
  <c r="CT206" i="1"/>
  <c r="CU206" i="1"/>
  <c r="T206" i="1" s="1"/>
  <c r="CW206" i="1"/>
  <c r="V206" i="1" s="1"/>
  <c r="CX206" i="1"/>
  <c r="W206" i="1" s="1"/>
  <c r="FR206" i="1"/>
  <c r="GL206" i="1"/>
  <c r="GN206" i="1"/>
  <c r="GP206" i="1"/>
  <c r="GV206" i="1"/>
  <c r="HC206" i="1"/>
  <c r="GX206" i="1" s="1"/>
  <c r="I207" i="1"/>
  <c r="P207" i="1"/>
  <c r="AC207" i="1"/>
  <c r="AE207" i="1"/>
  <c r="AD207" i="1" s="1"/>
  <c r="AF207" i="1"/>
  <c r="CT207" i="1" s="1"/>
  <c r="S207" i="1" s="1"/>
  <c r="CY207" i="1" s="1"/>
  <c r="X207" i="1" s="1"/>
  <c r="AG207" i="1"/>
  <c r="AH207" i="1"/>
  <c r="CV207" i="1" s="1"/>
  <c r="U207" i="1" s="1"/>
  <c r="AI207" i="1"/>
  <c r="AJ207" i="1"/>
  <c r="CX207" i="1" s="1"/>
  <c r="W207" i="1" s="1"/>
  <c r="CQ207" i="1"/>
  <c r="CS207" i="1"/>
  <c r="R207" i="1" s="1"/>
  <c r="CU207" i="1"/>
  <c r="T207" i="1" s="1"/>
  <c r="CW207" i="1"/>
  <c r="V207" i="1" s="1"/>
  <c r="FR207" i="1"/>
  <c r="GL207" i="1"/>
  <c r="GN207" i="1"/>
  <c r="GP207" i="1"/>
  <c r="GV207" i="1"/>
  <c r="HC207" i="1" s="1"/>
  <c r="GX207" i="1" s="1"/>
  <c r="C208" i="1"/>
  <c r="D208" i="1"/>
  <c r="I208" i="1"/>
  <c r="AC208" i="1"/>
  <c r="AE208" i="1"/>
  <c r="AD208" i="1" s="1"/>
  <c r="AF208" i="1"/>
  <c r="CT208" i="1" s="1"/>
  <c r="S208" i="1" s="1"/>
  <c r="AG208" i="1"/>
  <c r="AH208" i="1"/>
  <c r="AI208" i="1"/>
  <c r="CW208" i="1" s="1"/>
  <c r="V208" i="1" s="1"/>
  <c r="AJ208" i="1"/>
  <c r="CX208" i="1" s="1"/>
  <c r="W208" i="1" s="1"/>
  <c r="CQ208" i="1"/>
  <c r="P208" i="1" s="1"/>
  <c r="CS208" i="1"/>
  <c r="R208" i="1" s="1"/>
  <c r="CU208" i="1"/>
  <c r="T208" i="1" s="1"/>
  <c r="CV208" i="1"/>
  <c r="U208" i="1" s="1"/>
  <c r="FR208" i="1"/>
  <c r="GL208" i="1"/>
  <c r="GN208" i="1"/>
  <c r="GP208" i="1"/>
  <c r="GV208" i="1"/>
  <c r="HC208" i="1" s="1"/>
  <c r="GX208" i="1"/>
  <c r="I209" i="1"/>
  <c r="T209" i="1"/>
  <c r="AC209" i="1"/>
  <c r="AD209" i="1"/>
  <c r="CR209" i="1" s="1"/>
  <c r="Q209" i="1" s="1"/>
  <c r="AE209" i="1"/>
  <c r="AF209" i="1"/>
  <c r="AB209" i="1" s="1"/>
  <c r="AG209" i="1"/>
  <c r="AH209" i="1"/>
  <c r="CV209" i="1" s="1"/>
  <c r="U209" i="1" s="1"/>
  <c r="AI209" i="1"/>
  <c r="AJ209" i="1"/>
  <c r="CX209" i="1" s="1"/>
  <c r="W209" i="1" s="1"/>
  <c r="CQ209" i="1"/>
  <c r="P209" i="1" s="1"/>
  <c r="CP209" i="1" s="1"/>
  <c r="O209" i="1" s="1"/>
  <c r="CS209" i="1"/>
  <c r="R209" i="1" s="1"/>
  <c r="GK209" i="1" s="1"/>
  <c r="CT209" i="1"/>
  <c r="S209" i="1" s="1"/>
  <c r="CU209" i="1"/>
  <c r="CW209" i="1"/>
  <c r="V209" i="1" s="1"/>
  <c r="FR209" i="1"/>
  <c r="GL209" i="1"/>
  <c r="GN209" i="1"/>
  <c r="GP209" i="1"/>
  <c r="GV209" i="1"/>
  <c r="GX209" i="1"/>
  <c r="HC209" i="1"/>
  <c r="I210" i="1"/>
  <c r="AC210" i="1"/>
  <c r="AE210" i="1"/>
  <c r="AD210" i="1" s="1"/>
  <c r="AF210" i="1"/>
  <c r="CT210" i="1" s="1"/>
  <c r="S210" i="1" s="1"/>
  <c r="AG210" i="1"/>
  <c r="AH210" i="1"/>
  <c r="AI210" i="1"/>
  <c r="CW210" i="1" s="1"/>
  <c r="V210" i="1" s="1"/>
  <c r="AJ210" i="1"/>
  <c r="CX210" i="1" s="1"/>
  <c r="W210" i="1" s="1"/>
  <c r="CQ210" i="1"/>
  <c r="P210" i="1" s="1"/>
  <c r="CS210" i="1"/>
  <c r="R210" i="1" s="1"/>
  <c r="CU210" i="1"/>
  <c r="T210" i="1" s="1"/>
  <c r="CV210" i="1"/>
  <c r="U210" i="1" s="1"/>
  <c r="FR210" i="1"/>
  <c r="GL210" i="1"/>
  <c r="GN210" i="1"/>
  <c r="GP210" i="1"/>
  <c r="GV210" i="1"/>
  <c r="HC210" i="1" s="1"/>
  <c r="GX210" i="1"/>
  <c r="C211" i="1"/>
  <c r="D211" i="1"/>
  <c r="AC211" i="1"/>
  <c r="CQ211" i="1" s="1"/>
  <c r="P211" i="1" s="1"/>
  <c r="AE211" i="1"/>
  <c r="AD211" i="1" s="1"/>
  <c r="CR211" i="1" s="1"/>
  <c r="Q211" i="1" s="1"/>
  <c r="AF211" i="1"/>
  <c r="AG211" i="1"/>
  <c r="CU211" i="1" s="1"/>
  <c r="T211" i="1" s="1"/>
  <c r="AH211" i="1"/>
  <c r="AI211" i="1"/>
  <c r="CW211" i="1" s="1"/>
  <c r="V211" i="1" s="1"/>
  <c r="AJ211" i="1"/>
  <c r="CS211" i="1"/>
  <c r="R211" i="1" s="1"/>
  <c r="GK211" i="1" s="1"/>
  <c r="CT211" i="1"/>
  <c r="S211" i="1" s="1"/>
  <c r="CV211" i="1"/>
  <c r="U211" i="1" s="1"/>
  <c r="CX211" i="1"/>
  <c r="W211" i="1" s="1"/>
  <c r="FR211" i="1"/>
  <c r="GL211" i="1"/>
  <c r="GN211" i="1"/>
  <c r="GP211" i="1"/>
  <c r="GV211" i="1"/>
  <c r="HC211" i="1"/>
  <c r="GX211" i="1" s="1"/>
  <c r="I212" i="1"/>
  <c r="T212" i="1"/>
  <c r="AC212" i="1"/>
  <c r="AE212" i="1"/>
  <c r="CS212" i="1" s="1"/>
  <c r="R212" i="1" s="1"/>
  <c r="AF212" i="1"/>
  <c r="AG212" i="1"/>
  <c r="AH212" i="1"/>
  <c r="AI212" i="1"/>
  <c r="CW212" i="1" s="1"/>
  <c r="V212" i="1" s="1"/>
  <c r="AJ212" i="1"/>
  <c r="CQ212" i="1"/>
  <c r="P212" i="1" s="1"/>
  <c r="CT212" i="1"/>
  <c r="S212" i="1" s="1"/>
  <c r="CU212" i="1"/>
  <c r="CV212" i="1"/>
  <c r="U212" i="1" s="1"/>
  <c r="CX212" i="1"/>
  <c r="W212" i="1" s="1"/>
  <c r="FR212" i="1"/>
  <c r="GK212" i="1"/>
  <c r="GL212" i="1"/>
  <c r="GN212" i="1"/>
  <c r="GP212" i="1"/>
  <c r="GV212" i="1"/>
  <c r="HC212" i="1"/>
  <c r="GX212" i="1" s="1"/>
  <c r="C213" i="1"/>
  <c r="D213" i="1"/>
  <c r="T213" i="1"/>
  <c r="AC213" i="1"/>
  <c r="AD213" i="1"/>
  <c r="AB213" i="1" s="1"/>
  <c r="AE213" i="1"/>
  <c r="AF213" i="1"/>
  <c r="CT213" i="1" s="1"/>
  <c r="S213" i="1" s="1"/>
  <c r="AG213" i="1"/>
  <c r="AH213" i="1"/>
  <c r="CV213" i="1" s="1"/>
  <c r="U213" i="1" s="1"/>
  <c r="AI213" i="1"/>
  <c r="AJ213" i="1"/>
  <c r="CX213" i="1" s="1"/>
  <c r="W213" i="1" s="1"/>
  <c r="CQ213" i="1"/>
  <c r="P213" i="1" s="1"/>
  <c r="CP213" i="1" s="1"/>
  <c r="O213" i="1" s="1"/>
  <c r="CR213" i="1"/>
  <c r="Q213" i="1" s="1"/>
  <c r="CS213" i="1"/>
  <c r="R213" i="1" s="1"/>
  <c r="CU213" i="1"/>
  <c r="CW213" i="1"/>
  <c r="V213" i="1" s="1"/>
  <c r="FR213" i="1"/>
  <c r="GL213" i="1"/>
  <c r="GN213" i="1"/>
  <c r="GP213" i="1"/>
  <c r="GV213" i="1"/>
  <c r="HC213" i="1" s="1"/>
  <c r="GX213" i="1" s="1"/>
  <c r="I214" i="1"/>
  <c r="R214" i="1"/>
  <c r="AC214" i="1"/>
  <c r="AB214" i="1" s="1"/>
  <c r="AD214" i="1"/>
  <c r="CR214" i="1" s="1"/>
  <c r="Q214" i="1" s="1"/>
  <c r="AE214" i="1"/>
  <c r="AF214" i="1"/>
  <c r="AG214" i="1"/>
  <c r="AH214" i="1"/>
  <c r="CV214" i="1" s="1"/>
  <c r="U214" i="1" s="1"/>
  <c r="AI214" i="1"/>
  <c r="AJ214" i="1"/>
  <c r="CX214" i="1" s="1"/>
  <c r="W214" i="1" s="1"/>
  <c r="CS214" i="1"/>
  <c r="CT214" i="1"/>
  <c r="S214" i="1" s="1"/>
  <c r="CU214" i="1"/>
  <c r="T214" i="1" s="1"/>
  <c r="CW214" i="1"/>
  <c r="V214" i="1" s="1"/>
  <c r="FR214" i="1"/>
  <c r="GK214" i="1"/>
  <c r="GL214" i="1"/>
  <c r="GN214" i="1"/>
  <c r="GP214" i="1"/>
  <c r="GV214" i="1"/>
  <c r="HC214" i="1"/>
  <c r="GX214" i="1" s="1"/>
  <c r="I215" i="1"/>
  <c r="T215" i="1"/>
  <c r="AC215" i="1"/>
  <c r="AD215" i="1"/>
  <c r="AB215" i="1" s="1"/>
  <c r="AE215" i="1"/>
  <c r="AF215" i="1"/>
  <c r="CT215" i="1" s="1"/>
  <c r="AG215" i="1"/>
  <c r="AH215" i="1"/>
  <c r="CV215" i="1" s="1"/>
  <c r="U215" i="1" s="1"/>
  <c r="AI215" i="1"/>
  <c r="AJ215" i="1"/>
  <c r="CX215" i="1" s="1"/>
  <c r="CQ215" i="1"/>
  <c r="P215" i="1" s="1"/>
  <c r="CR215" i="1"/>
  <c r="Q215" i="1" s="1"/>
  <c r="CS215" i="1"/>
  <c r="R215" i="1" s="1"/>
  <c r="GK215" i="1" s="1"/>
  <c r="CU215" i="1"/>
  <c r="CW215" i="1"/>
  <c r="V215" i="1" s="1"/>
  <c r="FR215" i="1"/>
  <c r="GL215" i="1"/>
  <c r="GN215" i="1"/>
  <c r="GP215" i="1"/>
  <c r="GV215" i="1"/>
  <c r="HC215" i="1" s="1"/>
  <c r="GX215" i="1" s="1"/>
  <c r="I216" i="1"/>
  <c r="R216" i="1"/>
  <c r="AC216" i="1"/>
  <c r="AB216" i="1" s="1"/>
  <c r="AD216" i="1"/>
  <c r="CR216" i="1" s="1"/>
  <c r="Q216" i="1" s="1"/>
  <c r="AE216" i="1"/>
  <c r="AF216" i="1"/>
  <c r="AG216" i="1"/>
  <c r="AH216" i="1"/>
  <c r="CV216" i="1" s="1"/>
  <c r="U216" i="1" s="1"/>
  <c r="AI216" i="1"/>
  <c r="AJ216" i="1"/>
  <c r="CX216" i="1" s="1"/>
  <c r="W216" i="1" s="1"/>
  <c r="CS216" i="1"/>
  <c r="CT216" i="1"/>
  <c r="S216" i="1" s="1"/>
  <c r="CU216" i="1"/>
  <c r="T216" i="1" s="1"/>
  <c r="CW216" i="1"/>
  <c r="V216" i="1" s="1"/>
  <c r="FR216" i="1"/>
  <c r="GK216" i="1"/>
  <c r="GL216" i="1"/>
  <c r="GN216" i="1"/>
  <c r="GP216" i="1"/>
  <c r="GV216" i="1"/>
  <c r="HC216" i="1"/>
  <c r="GX216" i="1" s="1"/>
  <c r="I217" i="1"/>
  <c r="T217" i="1"/>
  <c r="AC217" i="1"/>
  <c r="AD217" i="1"/>
  <c r="AB217" i="1" s="1"/>
  <c r="AE217" i="1"/>
  <c r="AF217" i="1"/>
  <c r="CT217" i="1" s="1"/>
  <c r="AG217" i="1"/>
  <c r="AH217" i="1"/>
  <c r="CV217" i="1" s="1"/>
  <c r="U217" i="1" s="1"/>
  <c r="AI217" i="1"/>
  <c r="AJ217" i="1"/>
  <c r="CX217" i="1" s="1"/>
  <c r="CQ217" i="1"/>
  <c r="P217" i="1" s="1"/>
  <c r="CR217" i="1"/>
  <c r="Q217" i="1" s="1"/>
  <c r="CS217" i="1"/>
  <c r="R217" i="1" s="1"/>
  <c r="GK217" i="1" s="1"/>
  <c r="CU217" i="1"/>
  <c r="CW217" i="1"/>
  <c r="V217" i="1" s="1"/>
  <c r="FR217" i="1"/>
  <c r="GL217" i="1"/>
  <c r="GN217" i="1"/>
  <c r="GP217" i="1"/>
  <c r="GV217" i="1"/>
  <c r="HC217" i="1" s="1"/>
  <c r="GX217" i="1" s="1"/>
  <c r="I218" i="1"/>
  <c r="R218" i="1"/>
  <c r="AC218" i="1"/>
  <c r="AB218" i="1" s="1"/>
  <c r="AD218" i="1"/>
  <c r="CR218" i="1" s="1"/>
  <c r="Q218" i="1" s="1"/>
  <c r="AE218" i="1"/>
  <c r="AF218" i="1"/>
  <c r="AG218" i="1"/>
  <c r="AH218" i="1"/>
  <c r="CV218" i="1" s="1"/>
  <c r="U218" i="1" s="1"/>
  <c r="AI218" i="1"/>
  <c r="AJ218" i="1"/>
  <c r="CX218" i="1" s="1"/>
  <c r="W218" i="1" s="1"/>
  <c r="CS218" i="1"/>
  <c r="CT218" i="1"/>
  <c r="S218" i="1" s="1"/>
  <c r="CU218" i="1"/>
  <c r="T218" i="1" s="1"/>
  <c r="CW218" i="1"/>
  <c r="V218" i="1" s="1"/>
  <c r="FR218" i="1"/>
  <c r="GK218" i="1"/>
  <c r="GL218" i="1"/>
  <c r="GN218" i="1"/>
  <c r="GP218" i="1"/>
  <c r="GV218" i="1"/>
  <c r="HC218" i="1"/>
  <c r="GX218" i="1" s="1"/>
  <c r="I219" i="1"/>
  <c r="R219" i="1"/>
  <c r="GK219" i="1" s="1"/>
  <c r="T219" i="1"/>
  <c r="AC219" i="1"/>
  <c r="AD219" i="1"/>
  <c r="AB219" i="1" s="1"/>
  <c r="AE219" i="1"/>
  <c r="AF219" i="1"/>
  <c r="CT219" i="1" s="1"/>
  <c r="AG219" i="1"/>
  <c r="AH219" i="1"/>
  <c r="CV219" i="1" s="1"/>
  <c r="U219" i="1" s="1"/>
  <c r="AI219" i="1"/>
  <c r="AJ219" i="1"/>
  <c r="CX219" i="1" s="1"/>
  <c r="CQ219" i="1"/>
  <c r="P219" i="1" s="1"/>
  <c r="CR219" i="1"/>
  <c r="Q219" i="1" s="1"/>
  <c r="CS219" i="1"/>
  <c r="CU219" i="1"/>
  <c r="CW219" i="1"/>
  <c r="V219" i="1" s="1"/>
  <c r="FR219" i="1"/>
  <c r="GL219" i="1"/>
  <c r="GN219" i="1"/>
  <c r="GP219" i="1"/>
  <c r="GV219" i="1"/>
  <c r="HC219" i="1" s="1"/>
  <c r="GX219" i="1" s="1"/>
  <c r="I220" i="1"/>
  <c r="R220" i="1"/>
  <c r="V220" i="1"/>
  <c r="AC220" i="1"/>
  <c r="AB220" i="1" s="1"/>
  <c r="AD220" i="1"/>
  <c r="CR220" i="1" s="1"/>
  <c r="Q220" i="1" s="1"/>
  <c r="AE220" i="1"/>
  <c r="AF220" i="1"/>
  <c r="AG220" i="1"/>
  <c r="CU220" i="1" s="1"/>
  <c r="T220" i="1" s="1"/>
  <c r="AH220" i="1"/>
  <c r="CV220" i="1" s="1"/>
  <c r="U220" i="1" s="1"/>
  <c r="AI220" i="1"/>
  <c r="AJ220" i="1"/>
  <c r="CS220" i="1"/>
  <c r="CT220" i="1"/>
  <c r="S220" i="1" s="1"/>
  <c r="CW220" i="1"/>
  <c r="CX220" i="1"/>
  <c r="W220" i="1" s="1"/>
  <c r="FR220" i="1"/>
  <c r="GK220" i="1"/>
  <c r="GL220" i="1"/>
  <c r="GN220" i="1"/>
  <c r="GP220" i="1"/>
  <c r="GV220" i="1"/>
  <c r="HC220" i="1"/>
  <c r="GX220" i="1" s="1"/>
  <c r="C221" i="1"/>
  <c r="D221" i="1"/>
  <c r="I221" i="1"/>
  <c r="AC221" i="1"/>
  <c r="AB221" i="1" s="1"/>
  <c r="AD221" i="1"/>
  <c r="CR221" i="1" s="1"/>
  <c r="Q221" i="1" s="1"/>
  <c r="AE221" i="1"/>
  <c r="AF221" i="1"/>
  <c r="AG221" i="1"/>
  <c r="CU221" i="1" s="1"/>
  <c r="T221" i="1" s="1"/>
  <c r="AH221" i="1"/>
  <c r="CV221" i="1" s="1"/>
  <c r="U221" i="1" s="1"/>
  <c r="AI221" i="1"/>
  <c r="AJ221" i="1"/>
  <c r="CS221" i="1"/>
  <c r="R221" i="1" s="1"/>
  <c r="GK221" i="1" s="1"/>
  <c r="CT221" i="1"/>
  <c r="S221" i="1" s="1"/>
  <c r="CW221" i="1"/>
  <c r="V221" i="1" s="1"/>
  <c r="CX221" i="1"/>
  <c r="W221" i="1" s="1"/>
  <c r="FR221" i="1"/>
  <c r="GL221" i="1"/>
  <c r="GN221" i="1"/>
  <c r="GP221" i="1"/>
  <c r="GV221" i="1"/>
  <c r="HC221" i="1"/>
  <c r="GX221" i="1" s="1"/>
  <c r="I222" i="1"/>
  <c r="AC222" i="1"/>
  <c r="AE222" i="1"/>
  <c r="AD222" i="1" s="1"/>
  <c r="AF222" i="1"/>
  <c r="CT222" i="1" s="1"/>
  <c r="S222" i="1" s="1"/>
  <c r="AG222" i="1"/>
  <c r="AH222" i="1"/>
  <c r="AI222" i="1"/>
  <c r="CW222" i="1" s="1"/>
  <c r="V222" i="1" s="1"/>
  <c r="AJ222" i="1"/>
  <c r="CX222" i="1" s="1"/>
  <c r="W222" i="1" s="1"/>
  <c r="CQ222" i="1"/>
  <c r="P222" i="1" s="1"/>
  <c r="CU222" i="1"/>
  <c r="T222" i="1" s="1"/>
  <c r="CV222" i="1"/>
  <c r="U222" i="1" s="1"/>
  <c r="FR222" i="1"/>
  <c r="GL222" i="1"/>
  <c r="GN222" i="1"/>
  <c r="GP222" i="1"/>
  <c r="GV222" i="1"/>
  <c r="HC222" i="1" s="1"/>
  <c r="GX222" i="1" s="1"/>
  <c r="C223" i="1"/>
  <c r="D223" i="1"/>
  <c r="AC223" i="1"/>
  <c r="CQ223" i="1" s="1"/>
  <c r="P223" i="1" s="1"/>
  <c r="AE223" i="1"/>
  <c r="AD223" i="1" s="1"/>
  <c r="AF223" i="1"/>
  <c r="CT223" i="1" s="1"/>
  <c r="S223" i="1" s="1"/>
  <c r="AG223" i="1"/>
  <c r="CU223" i="1" s="1"/>
  <c r="T223" i="1" s="1"/>
  <c r="AH223" i="1"/>
  <c r="AI223" i="1"/>
  <c r="AJ223" i="1"/>
  <c r="CX223" i="1" s="1"/>
  <c r="W223" i="1" s="1"/>
  <c r="CS223" i="1"/>
  <c r="R223" i="1" s="1"/>
  <c r="GK223" i="1" s="1"/>
  <c r="CV223" i="1"/>
  <c r="U223" i="1" s="1"/>
  <c r="CW223" i="1"/>
  <c r="V223" i="1" s="1"/>
  <c r="FR223" i="1"/>
  <c r="GL223" i="1"/>
  <c r="GN223" i="1"/>
  <c r="GO223" i="1"/>
  <c r="GV223" i="1"/>
  <c r="GX223" i="1"/>
  <c r="HC223" i="1"/>
  <c r="C224" i="1"/>
  <c r="D224" i="1"/>
  <c r="I224" i="1"/>
  <c r="AC224" i="1"/>
  <c r="CQ224" i="1" s="1"/>
  <c r="P224" i="1" s="1"/>
  <c r="AE224" i="1"/>
  <c r="AD224" i="1" s="1"/>
  <c r="AF224" i="1"/>
  <c r="CT224" i="1" s="1"/>
  <c r="S224" i="1" s="1"/>
  <c r="AG224" i="1"/>
  <c r="CU224" i="1" s="1"/>
  <c r="T224" i="1" s="1"/>
  <c r="AH224" i="1"/>
  <c r="AI224" i="1"/>
  <c r="AJ224" i="1"/>
  <c r="CX224" i="1" s="1"/>
  <c r="W224" i="1" s="1"/>
  <c r="CS224" i="1"/>
  <c r="R224" i="1" s="1"/>
  <c r="GK224" i="1" s="1"/>
  <c r="CV224" i="1"/>
  <c r="U224" i="1" s="1"/>
  <c r="CW224" i="1"/>
  <c r="V224" i="1" s="1"/>
  <c r="FR224" i="1"/>
  <c r="GL224" i="1"/>
  <c r="GN224" i="1"/>
  <c r="GO224" i="1"/>
  <c r="GV224" i="1"/>
  <c r="GX224" i="1"/>
  <c r="HC224" i="1"/>
  <c r="C225" i="1"/>
  <c r="D225" i="1"/>
  <c r="AC225" i="1"/>
  <c r="AB225" i="1" s="1"/>
  <c r="AD225" i="1"/>
  <c r="CR225" i="1" s="1"/>
  <c r="Q225" i="1" s="1"/>
  <c r="AE225" i="1"/>
  <c r="AF225" i="1"/>
  <c r="AG225" i="1"/>
  <c r="CU225" i="1" s="1"/>
  <c r="T225" i="1" s="1"/>
  <c r="AH225" i="1"/>
  <c r="CV225" i="1" s="1"/>
  <c r="U225" i="1" s="1"/>
  <c r="AI225" i="1"/>
  <c r="AJ225" i="1"/>
  <c r="CS225" i="1"/>
  <c r="R225" i="1" s="1"/>
  <c r="GK225" i="1" s="1"/>
  <c r="CT225" i="1"/>
  <c r="S225" i="1" s="1"/>
  <c r="CW225" i="1"/>
  <c r="V225" i="1" s="1"/>
  <c r="CX225" i="1"/>
  <c r="W225" i="1" s="1"/>
  <c r="FR225" i="1"/>
  <c r="GL225" i="1"/>
  <c r="GN225" i="1"/>
  <c r="GO225" i="1"/>
  <c r="GV225" i="1"/>
  <c r="HC225" i="1"/>
  <c r="GX225" i="1" s="1"/>
  <c r="C226" i="1"/>
  <c r="D226" i="1"/>
  <c r="AC226" i="1"/>
  <c r="AB226" i="1" s="1"/>
  <c r="AD226" i="1"/>
  <c r="CR226" i="1" s="1"/>
  <c r="Q226" i="1" s="1"/>
  <c r="AE226" i="1"/>
  <c r="CS226" i="1" s="1"/>
  <c r="R226" i="1" s="1"/>
  <c r="GK226" i="1" s="1"/>
  <c r="AF226" i="1"/>
  <c r="AG226" i="1"/>
  <c r="AH226" i="1"/>
  <c r="CV226" i="1" s="1"/>
  <c r="U226" i="1" s="1"/>
  <c r="AI226" i="1"/>
  <c r="CW226" i="1" s="1"/>
  <c r="V226" i="1" s="1"/>
  <c r="AJ226" i="1"/>
  <c r="CQ226" i="1"/>
  <c r="P226" i="1" s="1"/>
  <c r="CP226" i="1" s="1"/>
  <c r="O226" i="1" s="1"/>
  <c r="CT226" i="1"/>
  <c r="S226" i="1" s="1"/>
  <c r="CU226" i="1"/>
  <c r="T226" i="1" s="1"/>
  <c r="CX226" i="1"/>
  <c r="W226" i="1" s="1"/>
  <c r="FR226" i="1"/>
  <c r="GL226" i="1"/>
  <c r="GN226" i="1"/>
  <c r="GO226" i="1"/>
  <c r="GV226" i="1"/>
  <c r="HC226" i="1" s="1"/>
  <c r="GX226" i="1" s="1"/>
  <c r="B228" i="1"/>
  <c r="B183" i="1" s="1"/>
  <c r="C228" i="1"/>
  <c r="C183" i="1" s="1"/>
  <c r="D228" i="1"/>
  <c r="D183" i="1" s="1"/>
  <c r="F228" i="1"/>
  <c r="F183" i="1" s="1"/>
  <c r="G228" i="1"/>
  <c r="G183" i="1" s="1"/>
  <c r="AO228" i="1"/>
  <c r="AO183" i="1" s="1"/>
  <c r="AP228" i="1"/>
  <c r="AP183" i="1" s="1"/>
  <c r="BB228" i="1"/>
  <c r="BB183" i="1" s="1"/>
  <c r="BX228" i="1"/>
  <c r="BX183" i="1" s="1"/>
  <c r="BY228" i="1"/>
  <c r="BY183" i="1" s="1"/>
  <c r="BZ228" i="1"/>
  <c r="CK228" i="1"/>
  <c r="CK183" i="1" s="1"/>
  <c r="CL228" i="1"/>
  <c r="F232" i="1"/>
  <c r="F237" i="1"/>
  <c r="F241" i="1"/>
  <c r="D260" i="1"/>
  <c r="B262" i="1"/>
  <c r="C262" i="1"/>
  <c r="E262" i="1"/>
  <c r="G262" i="1"/>
  <c r="Z262" i="1"/>
  <c r="AA262" i="1"/>
  <c r="AM262" i="1"/>
  <c r="AN262" i="1"/>
  <c r="BD262" i="1"/>
  <c r="BE262" i="1"/>
  <c r="BF262" i="1"/>
  <c r="BG262" i="1"/>
  <c r="BH262" i="1"/>
  <c r="BI262" i="1"/>
  <c r="BJ262" i="1"/>
  <c r="BK262" i="1"/>
  <c r="BL262" i="1"/>
  <c r="BM262" i="1"/>
  <c r="BN262" i="1"/>
  <c r="BO262" i="1"/>
  <c r="BP262" i="1"/>
  <c r="BQ262" i="1"/>
  <c r="BR262" i="1"/>
  <c r="BS262" i="1"/>
  <c r="BT262" i="1"/>
  <c r="BU262" i="1"/>
  <c r="BV262" i="1"/>
  <c r="BW262" i="1"/>
  <c r="CL262" i="1"/>
  <c r="CM262" i="1"/>
  <c r="CN262" i="1"/>
  <c r="CO262" i="1"/>
  <c r="CP262" i="1"/>
  <c r="CQ262" i="1"/>
  <c r="CR262" i="1"/>
  <c r="CS262" i="1"/>
  <c r="CT262" i="1"/>
  <c r="CU262" i="1"/>
  <c r="CV262" i="1"/>
  <c r="CW262" i="1"/>
  <c r="CX262" i="1"/>
  <c r="CY262" i="1"/>
  <c r="CZ262" i="1"/>
  <c r="DA262" i="1"/>
  <c r="DB262" i="1"/>
  <c r="DC262" i="1"/>
  <c r="DD262" i="1"/>
  <c r="DE262" i="1"/>
  <c r="DF262" i="1"/>
  <c r="DG262" i="1"/>
  <c r="DH262" i="1"/>
  <c r="DI262" i="1"/>
  <c r="DJ262" i="1"/>
  <c r="DK262" i="1"/>
  <c r="DL262" i="1"/>
  <c r="DM262" i="1"/>
  <c r="DN262" i="1"/>
  <c r="DO262" i="1"/>
  <c r="DP262" i="1"/>
  <c r="DQ262" i="1"/>
  <c r="DR262" i="1"/>
  <c r="DS262" i="1"/>
  <c r="DT262" i="1"/>
  <c r="DU262" i="1"/>
  <c r="DV262" i="1"/>
  <c r="DW262" i="1"/>
  <c r="DX262" i="1"/>
  <c r="DY262" i="1"/>
  <c r="DZ262" i="1"/>
  <c r="EA262" i="1"/>
  <c r="EB262" i="1"/>
  <c r="EC262" i="1"/>
  <c r="ED262" i="1"/>
  <c r="EE262" i="1"/>
  <c r="EF262" i="1"/>
  <c r="EG262" i="1"/>
  <c r="EH262" i="1"/>
  <c r="EI262" i="1"/>
  <c r="EJ262" i="1"/>
  <c r="EK262" i="1"/>
  <c r="EL262" i="1"/>
  <c r="EM262" i="1"/>
  <c r="EN262" i="1"/>
  <c r="EO262" i="1"/>
  <c r="EP262" i="1"/>
  <c r="EQ262" i="1"/>
  <c r="ER262" i="1"/>
  <c r="ES262" i="1"/>
  <c r="ET262" i="1"/>
  <c r="EU262" i="1"/>
  <c r="EV262" i="1"/>
  <c r="EW262" i="1"/>
  <c r="EX262" i="1"/>
  <c r="EY262" i="1"/>
  <c r="EZ262" i="1"/>
  <c r="FA262" i="1"/>
  <c r="FB262" i="1"/>
  <c r="FC262" i="1"/>
  <c r="FD262" i="1"/>
  <c r="FE262" i="1"/>
  <c r="FF262" i="1"/>
  <c r="FG262" i="1"/>
  <c r="FH262" i="1"/>
  <c r="FI262" i="1"/>
  <c r="FJ262" i="1"/>
  <c r="FK262" i="1"/>
  <c r="FL262" i="1"/>
  <c r="FM262" i="1"/>
  <c r="FN262" i="1"/>
  <c r="FO262" i="1"/>
  <c r="FP262" i="1"/>
  <c r="FQ262" i="1"/>
  <c r="FR262" i="1"/>
  <c r="FS262" i="1"/>
  <c r="FT262" i="1"/>
  <c r="FU262" i="1"/>
  <c r="FV262" i="1"/>
  <c r="FW262" i="1"/>
  <c r="FX262" i="1"/>
  <c r="FY262" i="1"/>
  <c r="FZ262" i="1"/>
  <c r="GA262" i="1"/>
  <c r="GB262" i="1"/>
  <c r="GC262" i="1"/>
  <c r="GD262" i="1"/>
  <c r="GE262" i="1"/>
  <c r="GF262" i="1"/>
  <c r="GG262" i="1"/>
  <c r="GH262" i="1"/>
  <c r="GI262" i="1"/>
  <c r="GJ262" i="1"/>
  <c r="GK262" i="1"/>
  <c r="GL262" i="1"/>
  <c r="GM262" i="1"/>
  <c r="GN262" i="1"/>
  <c r="GO262" i="1"/>
  <c r="GP262" i="1"/>
  <c r="GQ262" i="1"/>
  <c r="GR262" i="1"/>
  <c r="GS262" i="1"/>
  <c r="GT262" i="1"/>
  <c r="GU262" i="1"/>
  <c r="GV262" i="1"/>
  <c r="GW262" i="1"/>
  <c r="GX262" i="1"/>
  <c r="C264" i="1"/>
  <c r="D264" i="1"/>
  <c r="W264" i="1"/>
  <c r="AC264" i="1"/>
  <c r="AD264" i="1"/>
  <c r="CR264" i="1" s="1"/>
  <c r="Q264" i="1" s="1"/>
  <c r="AE264" i="1"/>
  <c r="CS264" i="1" s="1"/>
  <c r="R264" i="1" s="1"/>
  <c r="AF264" i="1"/>
  <c r="AG264" i="1"/>
  <c r="AH264" i="1"/>
  <c r="AI264" i="1"/>
  <c r="CW264" i="1" s="1"/>
  <c r="V264" i="1" s="1"/>
  <c r="AJ264" i="1"/>
  <c r="CQ264" i="1"/>
  <c r="P264" i="1" s="1"/>
  <c r="CT264" i="1"/>
  <c r="S264" i="1" s="1"/>
  <c r="CU264" i="1"/>
  <c r="T264" i="1" s="1"/>
  <c r="CV264" i="1"/>
  <c r="U264" i="1" s="1"/>
  <c r="CX264" i="1"/>
  <c r="FR264" i="1"/>
  <c r="GK264" i="1"/>
  <c r="GL264" i="1"/>
  <c r="GN264" i="1"/>
  <c r="GP264" i="1"/>
  <c r="GV264" i="1"/>
  <c r="HC264" i="1"/>
  <c r="GX264" i="1" s="1"/>
  <c r="C265" i="1"/>
  <c r="D265" i="1"/>
  <c r="AC265" i="1"/>
  <c r="AE265" i="1"/>
  <c r="AD265" i="1" s="1"/>
  <c r="AF265" i="1"/>
  <c r="CT265" i="1" s="1"/>
  <c r="S265" i="1" s="1"/>
  <c r="AG265" i="1"/>
  <c r="AH265" i="1"/>
  <c r="AI265" i="1"/>
  <c r="CW265" i="1" s="1"/>
  <c r="V265" i="1" s="1"/>
  <c r="AJ265" i="1"/>
  <c r="CX265" i="1" s="1"/>
  <c r="W265" i="1" s="1"/>
  <c r="CQ265" i="1"/>
  <c r="P265" i="1" s="1"/>
  <c r="CS265" i="1"/>
  <c r="R265" i="1" s="1"/>
  <c r="CU265" i="1"/>
  <c r="T265" i="1" s="1"/>
  <c r="CV265" i="1"/>
  <c r="U265" i="1" s="1"/>
  <c r="FR265" i="1"/>
  <c r="GL265" i="1"/>
  <c r="GN265" i="1"/>
  <c r="GP265" i="1"/>
  <c r="GV265" i="1"/>
  <c r="HC265" i="1" s="1"/>
  <c r="GX265" i="1"/>
  <c r="I266" i="1"/>
  <c r="T266" i="1"/>
  <c r="AC266" i="1"/>
  <c r="AD266" i="1"/>
  <c r="CR266" i="1" s="1"/>
  <c r="Q266" i="1" s="1"/>
  <c r="AE266" i="1"/>
  <c r="AF266" i="1"/>
  <c r="AB266" i="1" s="1"/>
  <c r="AG266" i="1"/>
  <c r="AH266" i="1"/>
  <c r="CV266" i="1" s="1"/>
  <c r="U266" i="1" s="1"/>
  <c r="AI266" i="1"/>
  <c r="AJ266" i="1"/>
  <c r="CX266" i="1" s="1"/>
  <c r="W266" i="1" s="1"/>
  <c r="CQ266" i="1"/>
  <c r="P266" i="1" s="1"/>
  <c r="CS266" i="1"/>
  <c r="R266" i="1" s="1"/>
  <c r="GK266" i="1" s="1"/>
  <c r="CT266" i="1"/>
  <c r="S266" i="1" s="1"/>
  <c r="CU266" i="1"/>
  <c r="CW266" i="1"/>
  <c r="V266" i="1" s="1"/>
  <c r="FR266" i="1"/>
  <c r="GL266" i="1"/>
  <c r="GN266" i="1"/>
  <c r="GP266" i="1"/>
  <c r="GV266" i="1"/>
  <c r="GX266" i="1"/>
  <c r="HC266" i="1"/>
  <c r="C267" i="1"/>
  <c r="D267" i="1"/>
  <c r="I267" i="1"/>
  <c r="S267" i="1"/>
  <c r="AC267" i="1"/>
  <c r="AB267" i="1" s="1"/>
  <c r="AD267" i="1"/>
  <c r="CR267" i="1" s="1"/>
  <c r="Q267" i="1" s="1"/>
  <c r="AE267" i="1"/>
  <c r="AF267" i="1"/>
  <c r="AG267" i="1"/>
  <c r="AH267" i="1"/>
  <c r="CV267" i="1" s="1"/>
  <c r="U267" i="1" s="1"/>
  <c r="AI267" i="1"/>
  <c r="AJ267" i="1"/>
  <c r="CQ267" i="1"/>
  <c r="P267" i="1" s="1"/>
  <c r="CP267" i="1" s="1"/>
  <c r="O267" i="1" s="1"/>
  <c r="CS267" i="1"/>
  <c r="R267" i="1" s="1"/>
  <c r="GK267" i="1" s="1"/>
  <c r="CT267" i="1"/>
  <c r="CU267" i="1"/>
  <c r="T267" i="1" s="1"/>
  <c r="CW267" i="1"/>
  <c r="V267" i="1" s="1"/>
  <c r="CX267" i="1"/>
  <c r="W267" i="1" s="1"/>
  <c r="FR267" i="1"/>
  <c r="GL267" i="1"/>
  <c r="GN267" i="1"/>
  <c r="GP267" i="1"/>
  <c r="GV267" i="1"/>
  <c r="HC267" i="1"/>
  <c r="GX267" i="1" s="1"/>
  <c r="I268" i="1"/>
  <c r="P268" i="1"/>
  <c r="AC268" i="1"/>
  <c r="AE268" i="1"/>
  <c r="AD268" i="1" s="1"/>
  <c r="AF268" i="1"/>
  <c r="CT268" i="1" s="1"/>
  <c r="S268" i="1" s="1"/>
  <c r="AG268" i="1"/>
  <c r="AH268" i="1"/>
  <c r="CV268" i="1" s="1"/>
  <c r="U268" i="1" s="1"/>
  <c r="AI268" i="1"/>
  <c r="CW268" i="1" s="1"/>
  <c r="V268" i="1" s="1"/>
  <c r="AJ268" i="1"/>
  <c r="CX268" i="1" s="1"/>
  <c r="W268" i="1" s="1"/>
  <c r="CQ268" i="1"/>
  <c r="CS268" i="1"/>
  <c r="R268" i="1" s="1"/>
  <c r="CU268" i="1"/>
  <c r="T268" i="1" s="1"/>
  <c r="FR268" i="1"/>
  <c r="GL268" i="1"/>
  <c r="GN268" i="1"/>
  <c r="GP268" i="1"/>
  <c r="GV268" i="1"/>
  <c r="HC268" i="1" s="1"/>
  <c r="GX268" i="1" s="1"/>
  <c r="C269" i="1"/>
  <c r="D269" i="1"/>
  <c r="I269" i="1"/>
  <c r="AC269" i="1"/>
  <c r="AE269" i="1"/>
  <c r="AD269" i="1" s="1"/>
  <c r="AF269" i="1"/>
  <c r="CT269" i="1" s="1"/>
  <c r="S269" i="1" s="1"/>
  <c r="CY269" i="1" s="1"/>
  <c r="X269" i="1" s="1"/>
  <c r="AG269" i="1"/>
  <c r="AH269" i="1"/>
  <c r="AI269" i="1"/>
  <c r="CW269" i="1" s="1"/>
  <c r="V269" i="1" s="1"/>
  <c r="AJ269" i="1"/>
  <c r="CX269" i="1" s="1"/>
  <c r="W269" i="1" s="1"/>
  <c r="CQ269" i="1"/>
  <c r="P269" i="1" s="1"/>
  <c r="CS269" i="1"/>
  <c r="R269" i="1" s="1"/>
  <c r="CU269" i="1"/>
  <c r="T269" i="1" s="1"/>
  <c r="CV269" i="1"/>
  <c r="U269" i="1" s="1"/>
  <c r="FR269" i="1"/>
  <c r="GL269" i="1"/>
  <c r="GN269" i="1"/>
  <c r="GP269" i="1"/>
  <c r="GV269" i="1"/>
  <c r="HC269" i="1" s="1"/>
  <c r="GX269" i="1"/>
  <c r="I270" i="1"/>
  <c r="T270" i="1"/>
  <c r="AC270" i="1"/>
  <c r="AD270" i="1"/>
  <c r="CR270" i="1" s="1"/>
  <c r="Q270" i="1" s="1"/>
  <c r="AE270" i="1"/>
  <c r="AF270" i="1"/>
  <c r="AB270" i="1" s="1"/>
  <c r="AG270" i="1"/>
  <c r="AH270" i="1"/>
  <c r="CV270" i="1" s="1"/>
  <c r="U270" i="1" s="1"/>
  <c r="AI270" i="1"/>
  <c r="AJ270" i="1"/>
  <c r="CX270" i="1" s="1"/>
  <c r="W270" i="1" s="1"/>
  <c r="CQ270" i="1"/>
  <c r="P270" i="1" s="1"/>
  <c r="CP270" i="1" s="1"/>
  <c r="O270" i="1" s="1"/>
  <c r="CS270" i="1"/>
  <c r="R270" i="1" s="1"/>
  <c r="GK270" i="1" s="1"/>
  <c r="CT270" i="1"/>
  <c r="S270" i="1" s="1"/>
  <c r="CU270" i="1"/>
  <c r="CW270" i="1"/>
  <c r="V270" i="1" s="1"/>
  <c r="FR270" i="1"/>
  <c r="GL270" i="1"/>
  <c r="GN270" i="1"/>
  <c r="GP270" i="1"/>
  <c r="GV270" i="1"/>
  <c r="GX270" i="1"/>
  <c r="HC270" i="1"/>
  <c r="C271" i="1"/>
  <c r="D271" i="1"/>
  <c r="I271" i="1"/>
  <c r="S271" i="1"/>
  <c r="CY271" i="1" s="1"/>
  <c r="X271" i="1" s="1"/>
  <c r="AC271" i="1"/>
  <c r="AB271" i="1" s="1"/>
  <c r="AD271" i="1"/>
  <c r="CR271" i="1" s="1"/>
  <c r="AE271" i="1"/>
  <c r="AF271" i="1"/>
  <c r="AG271" i="1"/>
  <c r="AH271" i="1"/>
  <c r="CV271" i="1" s="1"/>
  <c r="U271" i="1" s="1"/>
  <c r="AI271" i="1"/>
  <c r="AJ271" i="1"/>
  <c r="CQ271" i="1"/>
  <c r="P271" i="1" s="1"/>
  <c r="CS271" i="1"/>
  <c r="R271" i="1" s="1"/>
  <c r="GK271" i="1" s="1"/>
  <c r="CT271" i="1"/>
  <c r="CU271" i="1"/>
  <c r="T271" i="1" s="1"/>
  <c r="CW271" i="1"/>
  <c r="V271" i="1" s="1"/>
  <c r="CX271" i="1"/>
  <c r="W271" i="1" s="1"/>
  <c r="FR271" i="1"/>
  <c r="GL271" i="1"/>
  <c r="GN271" i="1"/>
  <c r="GP271" i="1"/>
  <c r="GV271" i="1"/>
  <c r="HC271" i="1"/>
  <c r="GX271" i="1" s="1"/>
  <c r="I272" i="1"/>
  <c r="P272" i="1"/>
  <c r="AC272" i="1"/>
  <c r="AE272" i="1"/>
  <c r="AD272" i="1" s="1"/>
  <c r="AF272" i="1"/>
  <c r="CT272" i="1" s="1"/>
  <c r="S272" i="1" s="1"/>
  <c r="CY272" i="1" s="1"/>
  <c r="X272" i="1" s="1"/>
  <c r="AG272" i="1"/>
  <c r="AH272" i="1"/>
  <c r="CV272" i="1" s="1"/>
  <c r="U272" i="1" s="1"/>
  <c r="AI272" i="1"/>
  <c r="CW272" i="1" s="1"/>
  <c r="V272" i="1" s="1"/>
  <c r="AJ272" i="1"/>
  <c r="CX272" i="1" s="1"/>
  <c r="W272" i="1" s="1"/>
  <c r="CQ272" i="1"/>
  <c r="CS272" i="1"/>
  <c r="R272" i="1" s="1"/>
  <c r="CU272" i="1"/>
  <c r="T272" i="1" s="1"/>
  <c r="FR272" i="1"/>
  <c r="GL272" i="1"/>
  <c r="GN272" i="1"/>
  <c r="GP272" i="1"/>
  <c r="GV272" i="1"/>
  <c r="HC272" i="1" s="1"/>
  <c r="GX272" i="1"/>
  <c r="C273" i="1"/>
  <c r="D273" i="1"/>
  <c r="AC273" i="1"/>
  <c r="CQ273" i="1" s="1"/>
  <c r="P273" i="1" s="1"/>
  <c r="AE273" i="1"/>
  <c r="AD273" i="1" s="1"/>
  <c r="CR273" i="1" s="1"/>
  <c r="Q273" i="1" s="1"/>
  <c r="AF273" i="1"/>
  <c r="AG273" i="1"/>
  <c r="CU273" i="1" s="1"/>
  <c r="T273" i="1" s="1"/>
  <c r="AH273" i="1"/>
  <c r="AI273" i="1"/>
  <c r="CW273" i="1" s="1"/>
  <c r="V273" i="1" s="1"/>
  <c r="AJ273" i="1"/>
  <c r="CS273" i="1"/>
  <c r="R273" i="1" s="1"/>
  <c r="GK273" i="1" s="1"/>
  <c r="CT273" i="1"/>
  <c r="S273" i="1" s="1"/>
  <c r="CV273" i="1"/>
  <c r="U273" i="1" s="1"/>
  <c r="CX273" i="1"/>
  <c r="W273" i="1" s="1"/>
  <c r="FR273" i="1"/>
  <c r="GL273" i="1"/>
  <c r="GN273" i="1"/>
  <c r="GP273" i="1"/>
  <c r="GV273" i="1"/>
  <c r="HC273" i="1"/>
  <c r="GX273" i="1" s="1"/>
  <c r="B275" i="1"/>
  <c r="C275" i="1"/>
  <c r="D275" i="1"/>
  <c r="D262" i="1" s="1"/>
  <c r="F275" i="1"/>
  <c r="F262" i="1" s="1"/>
  <c r="G275" i="1"/>
  <c r="AO275" i="1"/>
  <c r="AO262" i="1" s="1"/>
  <c r="BC275" i="1"/>
  <c r="BC262" i="1" s="1"/>
  <c r="BX275" i="1"/>
  <c r="BX262" i="1" s="1"/>
  <c r="BY275" i="1"/>
  <c r="AP275" i="1" s="1"/>
  <c r="F284" i="1" s="1"/>
  <c r="CB275" i="1"/>
  <c r="CB262" i="1" s="1"/>
  <c r="CK275" i="1"/>
  <c r="BB275" i="1" s="1"/>
  <c r="F288" i="1" s="1"/>
  <c r="CL275" i="1"/>
  <c r="F279" i="1"/>
  <c r="F291" i="1"/>
  <c r="D304" i="1"/>
  <c r="E306" i="1"/>
  <c r="Z306" i="1"/>
  <c r="AA306" i="1"/>
  <c r="AM306" i="1"/>
  <c r="AN306" i="1"/>
  <c r="BD306" i="1"/>
  <c r="BE306" i="1"/>
  <c r="BF306" i="1"/>
  <c r="BG306" i="1"/>
  <c r="BH306" i="1"/>
  <c r="BI306" i="1"/>
  <c r="BJ306" i="1"/>
  <c r="BK306" i="1"/>
  <c r="BL306" i="1"/>
  <c r="BM306" i="1"/>
  <c r="BN306" i="1"/>
  <c r="BO306" i="1"/>
  <c r="BP306" i="1"/>
  <c r="BQ306" i="1"/>
  <c r="BR306" i="1"/>
  <c r="BS306" i="1"/>
  <c r="BT306" i="1"/>
  <c r="BU306" i="1"/>
  <c r="BV306" i="1"/>
  <c r="BW306" i="1"/>
  <c r="CL306" i="1"/>
  <c r="CM306" i="1"/>
  <c r="CN306" i="1"/>
  <c r="CO306" i="1"/>
  <c r="CP306" i="1"/>
  <c r="CQ306" i="1"/>
  <c r="CR306" i="1"/>
  <c r="CS306" i="1"/>
  <c r="CT306" i="1"/>
  <c r="CU306" i="1"/>
  <c r="CV306" i="1"/>
  <c r="CW306" i="1"/>
  <c r="CX306" i="1"/>
  <c r="CY306" i="1"/>
  <c r="CZ306" i="1"/>
  <c r="DA306" i="1"/>
  <c r="DB306" i="1"/>
  <c r="DC306" i="1"/>
  <c r="DD306" i="1"/>
  <c r="DE306" i="1"/>
  <c r="DF306" i="1"/>
  <c r="DG306" i="1"/>
  <c r="DH306" i="1"/>
  <c r="DI306" i="1"/>
  <c r="DJ306" i="1"/>
  <c r="DK306" i="1"/>
  <c r="DL306" i="1"/>
  <c r="DM306" i="1"/>
  <c r="DN306" i="1"/>
  <c r="DO306" i="1"/>
  <c r="DP306" i="1"/>
  <c r="DQ306" i="1"/>
  <c r="DR306" i="1"/>
  <c r="DS306" i="1"/>
  <c r="DT306" i="1"/>
  <c r="DU306" i="1"/>
  <c r="DV306" i="1"/>
  <c r="DW306" i="1"/>
  <c r="DX306" i="1"/>
  <c r="DY306" i="1"/>
  <c r="DZ306" i="1"/>
  <c r="EA306" i="1"/>
  <c r="EB306" i="1"/>
  <c r="EC306" i="1"/>
  <c r="ED306" i="1"/>
  <c r="EE306" i="1"/>
  <c r="EF306" i="1"/>
  <c r="EG306" i="1"/>
  <c r="EH306" i="1"/>
  <c r="EI306" i="1"/>
  <c r="EJ306" i="1"/>
  <c r="EK306" i="1"/>
  <c r="EL306" i="1"/>
  <c r="EM306" i="1"/>
  <c r="EN306" i="1"/>
  <c r="EO306" i="1"/>
  <c r="EP306" i="1"/>
  <c r="EQ306" i="1"/>
  <c r="ER306" i="1"/>
  <c r="ES306" i="1"/>
  <c r="ET306" i="1"/>
  <c r="EU306" i="1"/>
  <c r="EV306" i="1"/>
  <c r="EW306" i="1"/>
  <c r="EX306" i="1"/>
  <c r="EY306" i="1"/>
  <c r="EZ306" i="1"/>
  <c r="FA306" i="1"/>
  <c r="FB306" i="1"/>
  <c r="FC306" i="1"/>
  <c r="FD306" i="1"/>
  <c r="FE306" i="1"/>
  <c r="FF306" i="1"/>
  <c r="FG306" i="1"/>
  <c r="FH306" i="1"/>
  <c r="FI306" i="1"/>
  <c r="FJ306" i="1"/>
  <c r="FK306" i="1"/>
  <c r="FL306" i="1"/>
  <c r="FM306" i="1"/>
  <c r="FN306" i="1"/>
  <c r="FO306" i="1"/>
  <c r="FP306" i="1"/>
  <c r="FQ306" i="1"/>
  <c r="FR306" i="1"/>
  <c r="FS306" i="1"/>
  <c r="FT306" i="1"/>
  <c r="FU306" i="1"/>
  <c r="FV306" i="1"/>
  <c r="FW306" i="1"/>
  <c r="FX306" i="1"/>
  <c r="FY306" i="1"/>
  <c r="FZ306" i="1"/>
  <c r="GA306" i="1"/>
  <c r="GB306" i="1"/>
  <c r="GC306" i="1"/>
  <c r="GD306" i="1"/>
  <c r="GE306" i="1"/>
  <c r="GF306" i="1"/>
  <c r="GG306" i="1"/>
  <c r="GH306" i="1"/>
  <c r="GI306" i="1"/>
  <c r="GJ306" i="1"/>
  <c r="GK306" i="1"/>
  <c r="GL306" i="1"/>
  <c r="GM306" i="1"/>
  <c r="GN306" i="1"/>
  <c r="GO306" i="1"/>
  <c r="GP306" i="1"/>
  <c r="GQ306" i="1"/>
  <c r="GR306" i="1"/>
  <c r="GS306" i="1"/>
  <c r="GT306" i="1"/>
  <c r="GU306" i="1"/>
  <c r="GV306" i="1"/>
  <c r="GW306" i="1"/>
  <c r="GX306" i="1"/>
  <c r="C308" i="1"/>
  <c r="D308" i="1"/>
  <c r="I308" i="1"/>
  <c r="U308" i="1"/>
  <c r="AC308" i="1"/>
  <c r="CQ308" i="1" s="1"/>
  <c r="P308" i="1" s="1"/>
  <c r="AE308" i="1"/>
  <c r="CS308" i="1" s="1"/>
  <c r="R308" i="1" s="1"/>
  <c r="AF308" i="1"/>
  <c r="AG308" i="1"/>
  <c r="AH308" i="1"/>
  <c r="AI308" i="1"/>
  <c r="CW308" i="1" s="1"/>
  <c r="V308" i="1" s="1"/>
  <c r="AJ308" i="1"/>
  <c r="CT308" i="1"/>
  <c r="S308" i="1" s="1"/>
  <c r="CU308" i="1"/>
  <c r="T308" i="1" s="1"/>
  <c r="CV308" i="1"/>
  <c r="CX308" i="1"/>
  <c r="W308" i="1" s="1"/>
  <c r="FR308" i="1"/>
  <c r="GK308" i="1"/>
  <c r="GL308" i="1"/>
  <c r="BZ319" i="1" s="1"/>
  <c r="GN308" i="1"/>
  <c r="GP308" i="1"/>
  <c r="CD319" i="1" s="1"/>
  <c r="GV308" i="1"/>
  <c r="HC308" i="1" s="1"/>
  <c r="GX308" i="1" s="1"/>
  <c r="I309" i="1"/>
  <c r="AB309" i="1"/>
  <c r="AC309" i="1"/>
  <c r="CQ309" i="1" s="1"/>
  <c r="P309" i="1" s="1"/>
  <c r="AE309" i="1"/>
  <c r="AD309" i="1" s="1"/>
  <c r="AF309" i="1"/>
  <c r="AG309" i="1"/>
  <c r="CU309" i="1" s="1"/>
  <c r="T309" i="1" s="1"/>
  <c r="AH309" i="1"/>
  <c r="AI309" i="1"/>
  <c r="AJ309" i="1"/>
  <c r="CX309" i="1" s="1"/>
  <c r="W309" i="1" s="1"/>
  <c r="CR309" i="1"/>
  <c r="Q309" i="1" s="1"/>
  <c r="CP309" i="1" s="1"/>
  <c r="O309" i="1" s="1"/>
  <c r="CS309" i="1"/>
  <c r="R309" i="1" s="1"/>
  <c r="CT309" i="1"/>
  <c r="S309" i="1" s="1"/>
  <c r="CV309" i="1"/>
  <c r="U309" i="1" s="1"/>
  <c r="CW309" i="1"/>
  <c r="V309" i="1" s="1"/>
  <c r="FR309" i="1"/>
  <c r="GL309" i="1"/>
  <c r="GN309" i="1"/>
  <c r="GP309" i="1"/>
  <c r="GV309" i="1"/>
  <c r="GX309" i="1"/>
  <c r="HC309" i="1"/>
  <c r="C310" i="1"/>
  <c r="D310" i="1"/>
  <c r="I310" i="1"/>
  <c r="I312" i="1" s="1"/>
  <c r="AC310" i="1"/>
  <c r="CQ310" i="1" s="1"/>
  <c r="AE310" i="1"/>
  <c r="AD310" i="1" s="1"/>
  <c r="CR310" i="1" s="1"/>
  <c r="Q310" i="1" s="1"/>
  <c r="AF310" i="1"/>
  <c r="AB310" i="1" s="1"/>
  <c r="AG310" i="1"/>
  <c r="CU310" i="1" s="1"/>
  <c r="AH310" i="1"/>
  <c r="AI310" i="1"/>
  <c r="CW310" i="1" s="1"/>
  <c r="V310" i="1" s="1"/>
  <c r="AJ310" i="1"/>
  <c r="CX310" i="1" s="1"/>
  <c r="W310" i="1" s="1"/>
  <c r="CT310" i="1"/>
  <c r="S310" i="1" s="1"/>
  <c r="CV310" i="1"/>
  <c r="U310" i="1" s="1"/>
  <c r="FR310" i="1"/>
  <c r="GL310" i="1"/>
  <c r="GN310" i="1"/>
  <c r="GP310" i="1"/>
  <c r="GV310" i="1"/>
  <c r="HC310" i="1" s="1"/>
  <c r="GX310" i="1" s="1"/>
  <c r="AC311" i="1"/>
  <c r="AB311" i="1" s="1"/>
  <c r="AD311" i="1"/>
  <c r="CR311" i="1" s="1"/>
  <c r="AE311" i="1"/>
  <c r="CS311" i="1" s="1"/>
  <c r="AF311" i="1"/>
  <c r="AG311" i="1"/>
  <c r="AH311" i="1"/>
  <c r="AI311" i="1"/>
  <c r="CW311" i="1" s="1"/>
  <c r="AJ311" i="1"/>
  <c r="CT311" i="1"/>
  <c r="CU311" i="1"/>
  <c r="CV311" i="1"/>
  <c r="CX311" i="1"/>
  <c r="FR311" i="1"/>
  <c r="GL311" i="1"/>
  <c r="GN311" i="1"/>
  <c r="GP311" i="1"/>
  <c r="GV311" i="1"/>
  <c r="HC311" i="1" s="1"/>
  <c r="AC312" i="1"/>
  <c r="CQ312" i="1" s="1"/>
  <c r="AE312" i="1"/>
  <c r="AD312" i="1" s="1"/>
  <c r="AF312" i="1"/>
  <c r="AG312" i="1"/>
  <c r="CU312" i="1" s="1"/>
  <c r="AH312" i="1"/>
  <c r="AI312" i="1"/>
  <c r="AJ312" i="1"/>
  <c r="CR312" i="1"/>
  <c r="CS312" i="1"/>
  <c r="R312" i="1" s="1"/>
  <c r="GK312" i="1" s="1"/>
  <c r="CT312" i="1"/>
  <c r="S312" i="1" s="1"/>
  <c r="CV312" i="1"/>
  <c r="U312" i="1" s="1"/>
  <c r="CW312" i="1"/>
  <c r="CX312" i="1"/>
  <c r="W312" i="1" s="1"/>
  <c r="FR312" i="1"/>
  <c r="GL312" i="1"/>
  <c r="GN312" i="1"/>
  <c r="GP312" i="1"/>
  <c r="GV312" i="1"/>
  <c r="HC312" i="1"/>
  <c r="GX312" i="1" s="1"/>
  <c r="C313" i="1"/>
  <c r="D313" i="1"/>
  <c r="I313" i="1"/>
  <c r="CX462" i="3" s="1"/>
  <c r="U313" i="1"/>
  <c r="AC313" i="1"/>
  <c r="CQ313" i="1" s="1"/>
  <c r="P313" i="1" s="1"/>
  <c r="AE313" i="1"/>
  <c r="AD313" i="1" s="1"/>
  <c r="AF313" i="1"/>
  <c r="CT313" i="1" s="1"/>
  <c r="S313" i="1" s="1"/>
  <c r="AG313" i="1"/>
  <c r="CU313" i="1" s="1"/>
  <c r="T313" i="1" s="1"/>
  <c r="AH313" i="1"/>
  <c r="AI313" i="1"/>
  <c r="AJ313" i="1"/>
  <c r="CX313" i="1" s="1"/>
  <c r="W313" i="1" s="1"/>
  <c r="CS313" i="1"/>
  <c r="R313" i="1" s="1"/>
  <c r="GK313" i="1" s="1"/>
  <c r="CV313" i="1"/>
  <c r="CW313" i="1"/>
  <c r="V313" i="1" s="1"/>
  <c r="FR313" i="1"/>
  <c r="GL313" i="1"/>
  <c r="GO313" i="1"/>
  <c r="GP313" i="1"/>
  <c r="GV313" i="1"/>
  <c r="GX313" i="1"/>
  <c r="HC313" i="1"/>
  <c r="C314" i="1"/>
  <c r="D314" i="1"/>
  <c r="I314" i="1"/>
  <c r="I315" i="1" s="1"/>
  <c r="AC314" i="1"/>
  <c r="CQ314" i="1" s="1"/>
  <c r="P314" i="1" s="1"/>
  <c r="AE314" i="1"/>
  <c r="AD314" i="1" s="1"/>
  <c r="AF314" i="1"/>
  <c r="CT314" i="1" s="1"/>
  <c r="S314" i="1" s="1"/>
  <c r="AG314" i="1"/>
  <c r="CU314" i="1" s="1"/>
  <c r="T314" i="1" s="1"/>
  <c r="AH314" i="1"/>
  <c r="AI314" i="1"/>
  <c r="AJ314" i="1"/>
  <c r="CX314" i="1" s="1"/>
  <c r="W314" i="1" s="1"/>
  <c r="CS314" i="1"/>
  <c r="R314" i="1" s="1"/>
  <c r="GK314" i="1" s="1"/>
  <c r="CV314" i="1"/>
  <c r="U314" i="1" s="1"/>
  <c r="CW314" i="1"/>
  <c r="V314" i="1" s="1"/>
  <c r="FR314" i="1"/>
  <c r="GL314" i="1"/>
  <c r="GN314" i="1"/>
  <c r="GP314" i="1"/>
  <c r="GV314" i="1"/>
  <c r="GX314" i="1"/>
  <c r="HC314" i="1"/>
  <c r="AC315" i="1"/>
  <c r="AB315" i="1" s="1"/>
  <c r="AD315" i="1"/>
  <c r="CR315" i="1" s="1"/>
  <c r="AE315" i="1"/>
  <c r="CS315" i="1" s="1"/>
  <c r="R315" i="1" s="1"/>
  <c r="GK315" i="1" s="1"/>
  <c r="AF315" i="1"/>
  <c r="AG315" i="1"/>
  <c r="AH315" i="1"/>
  <c r="CV315" i="1" s="1"/>
  <c r="AI315" i="1"/>
  <c r="CW315" i="1" s="1"/>
  <c r="V315" i="1" s="1"/>
  <c r="AJ315" i="1"/>
  <c r="CQ315" i="1"/>
  <c r="CT315" i="1"/>
  <c r="CU315" i="1"/>
  <c r="T315" i="1" s="1"/>
  <c r="CX315" i="1"/>
  <c r="FR315" i="1"/>
  <c r="GL315" i="1"/>
  <c r="GN315" i="1"/>
  <c r="GP315" i="1"/>
  <c r="GV315" i="1"/>
  <c r="HC315" i="1" s="1"/>
  <c r="C316" i="1"/>
  <c r="D316" i="1"/>
  <c r="I316" i="1"/>
  <c r="AC316" i="1"/>
  <c r="AB316" i="1" s="1"/>
  <c r="AD316" i="1"/>
  <c r="CR316" i="1" s="1"/>
  <c r="Q316" i="1" s="1"/>
  <c r="AE316" i="1"/>
  <c r="CS316" i="1" s="1"/>
  <c r="R316" i="1" s="1"/>
  <c r="GK316" i="1" s="1"/>
  <c r="AF316" i="1"/>
  <c r="AG316" i="1"/>
  <c r="AH316" i="1"/>
  <c r="CV316" i="1" s="1"/>
  <c r="U316" i="1" s="1"/>
  <c r="AI316" i="1"/>
  <c r="CW316" i="1" s="1"/>
  <c r="V316" i="1" s="1"/>
  <c r="AJ316" i="1"/>
  <c r="CQ316" i="1"/>
  <c r="P316" i="1" s="1"/>
  <c r="CT316" i="1"/>
  <c r="S316" i="1" s="1"/>
  <c r="CU316" i="1"/>
  <c r="T316" i="1" s="1"/>
  <c r="CX316" i="1"/>
  <c r="W316" i="1" s="1"/>
  <c r="FR316" i="1"/>
  <c r="GL316" i="1"/>
  <c r="GN316" i="1"/>
  <c r="GP316" i="1"/>
  <c r="GV316" i="1"/>
  <c r="HC316" i="1" s="1"/>
  <c r="GX316" i="1" s="1"/>
  <c r="I317" i="1"/>
  <c r="AC317" i="1"/>
  <c r="CQ317" i="1" s="1"/>
  <c r="P317" i="1" s="1"/>
  <c r="AE317" i="1"/>
  <c r="AD317" i="1" s="1"/>
  <c r="AF317" i="1"/>
  <c r="CT317" i="1" s="1"/>
  <c r="S317" i="1" s="1"/>
  <c r="AG317" i="1"/>
  <c r="CU317" i="1" s="1"/>
  <c r="T317" i="1" s="1"/>
  <c r="AH317" i="1"/>
  <c r="AI317" i="1"/>
  <c r="AJ317" i="1"/>
  <c r="CS317" i="1"/>
  <c r="R317" i="1" s="1"/>
  <c r="GK317" i="1" s="1"/>
  <c r="CV317" i="1"/>
  <c r="U317" i="1" s="1"/>
  <c r="CW317" i="1"/>
  <c r="V317" i="1" s="1"/>
  <c r="CX317" i="1"/>
  <c r="W317" i="1" s="1"/>
  <c r="FR317" i="1"/>
  <c r="GL317" i="1"/>
  <c r="GN317" i="1"/>
  <c r="GP317" i="1"/>
  <c r="GV317" i="1"/>
  <c r="HC317" i="1"/>
  <c r="GX317" i="1" s="1"/>
  <c r="B319" i="1"/>
  <c r="B306" i="1" s="1"/>
  <c r="C319" i="1"/>
  <c r="C306" i="1" s="1"/>
  <c r="D319" i="1"/>
  <c r="D306" i="1" s="1"/>
  <c r="F319" i="1"/>
  <c r="F306" i="1" s="1"/>
  <c r="G319" i="1"/>
  <c r="G306" i="1" s="1"/>
  <c r="AO319" i="1"/>
  <c r="AO306" i="1" s="1"/>
  <c r="BC319" i="1"/>
  <c r="BC306" i="1" s="1"/>
  <c r="BX319" i="1"/>
  <c r="BX306" i="1" s="1"/>
  <c r="BY319" i="1"/>
  <c r="BY306" i="1" s="1"/>
  <c r="CK319" i="1"/>
  <c r="CK306" i="1" s="1"/>
  <c r="CL319" i="1"/>
  <c r="F323" i="1"/>
  <c r="F335" i="1"/>
  <c r="B348" i="1"/>
  <c r="B22" i="1" s="1"/>
  <c r="C348" i="1"/>
  <c r="C22" i="1" s="1"/>
  <c r="D348" i="1"/>
  <c r="D22" i="1" s="1"/>
  <c r="F348" i="1"/>
  <c r="F22" i="1" s="1"/>
  <c r="G348" i="1"/>
  <c r="G22" i="1" s="1"/>
  <c r="B380" i="1"/>
  <c r="B18" i="1" s="1"/>
  <c r="C380" i="1"/>
  <c r="C18" i="1" s="1"/>
  <c r="D380" i="1"/>
  <c r="D18" i="1" s="1"/>
  <c r="F380" i="1"/>
  <c r="F18" i="1" s="1"/>
  <c r="G380" i="1"/>
  <c r="J593" i="5" l="1"/>
  <c r="P593" i="5" s="1"/>
  <c r="X717" i="5"/>
  <c r="J473" i="5"/>
  <c r="P473" i="5" s="1"/>
  <c r="J620" i="5" s="1"/>
  <c r="X481" i="5"/>
  <c r="G222" i="5"/>
  <c r="O222" i="5" s="1"/>
  <c r="J717" i="5"/>
  <c r="P717" i="5" s="1"/>
  <c r="G122" i="5"/>
  <c r="O122" i="5" s="1"/>
  <c r="G339" i="5"/>
  <c r="O339" i="5" s="1"/>
  <c r="W396" i="5"/>
  <c r="G297" i="5"/>
  <c r="O297" i="5" s="1"/>
  <c r="X545" i="5"/>
  <c r="X645" i="5"/>
  <c r="X593" i="5"/>
  <c r="G81" i="5"/>
  <c r="O81" i="5" s="1"/>
  <c r="G523" i="5"/>
  <c r="O523" i="5" s="1"/>
  <c r="G20" i="5"/>
  <c r="G665" i="5"/>
  <c r="O665" i="5" s="1"/>
  <c r="X636" i="5"/>
  <c r="G374" i="5"/>
  <c r="O374" i="5" s="1"/>
  <c r="G318" i="5"/>
  <c r="O318" i="5" s="1"/>
  <c r="W81" i="5"/>
  <c r="J222" i="5"/>
  <c r="P222" i="5" s="1"/>
  <c r="G687" i="5"/>
  <c r="O687" i="5" s="1"/>
  <c r="J134" i="5"/>
  <c r="P134" i="5" s="1"/>
  <c r="J731" i="5" s="1"/>
  <c r="G273" i="5"/>
  <c r="O273" i="5" s="1"/>
  <c r="W249" i="5"/>
  <c r="W134" i="5"/>
  <c r="W297" i="5"/>
  <c r="G645" i="5"/>
  <c r="O645" i="5" s="1"/>
  <c r="G674" i="5" s="1"/>
  <c r="J492" i="5"/>
  <c r="P492" i="5" s="1"/>
  <c r="G405" i="5"/>
  <c r="G211" i="5"/>
  <c r="O211" i="5" s="1"/>
  <c r="G352" i="5" s="1"/>
  <c r="G699" i="5"/>
  <c r="O699" i="5" s="1"/>
  <c r="X557" i="5"/>
  <c r="X728" i="5"/>
  <c r="W122" i="5"/>
  <c r="X699" i="5"/>
  <c r="G654" i="5"/>
  <c r="O654" i="5" s="1"/>
  <c r="J674" i="5"/>
  <c r="X654" i="5"/>
  <c r="G534" i="5"/>
  <c r="O534" i="5" s="1"/>
  <c r="G18" i="1"/>
  <c r="AG1006" i="6"/>
  <c r="C1006" i="6"/>
  <c r="W222" i="5"/>
  <c r="J405" i="5"/>
  <c r="J730" i="5"/>
  <c r="G22" i="5"/>
  <c r="S315" i="1"/>
  <c r="CY314" i="1"/>
  <c r="X314" i="1" s="1"/>
  <c r="CZ314" i="1"/>
  <c r="Y314" i="1" s="1"/>
  <c r="CY312" i="1"/>
  <c r="X312" i="1" s="1"/>
  <c r="CZ312" i="1"/>
  <c r="Y312" i="1" s="1"/>
  <c r="CY317" i="1"/>
  <c r="X317" i="1" s="1"/>
  <c r="CZ317" i="1"/>
  <c r="Y317" i="1" s="1"/>
  <c r="CP316" i="1"/>
  <c r="O316" i="1" s="1"/>
  <c r="GX315" i="1"/>
  <c r="AB269" i="1"/>
  <c r="CR269" i="1"/>
  <c r="Q269" i="1" s="1"/>
  <c r="GK265" i="1"/>
  <c r="CY265" i="1"/>
  <c r="X265" i="1" s="1"/>
  <c r="CZ265" i="1"/>
  <c r="Y265" i="1" s="1"/>
  <c r="AE275" i="1"/>
  <c r="CR317" i="1"/>
  <c r="Q317" i="1" s="1"/>
  <c r="AB317" i="1"/>
  <c r="W315" i="1"/>
  <c r="V312" i="1"/>
  <c r="Q312" i="1"/>
  <c r="GK309" i="1"/>
  <c r="AU319" i="1"/>
  <c r="CD306" i="1"/>
  <c r="CY308" i="1"/>
  <c r="X308" i="1" s="1"/>
  <c r="CZ308" i="1"/>
  <c r="Y308" i="1" s="1"/>
  <c r="GK269" i="1"/>
  <c r="CZ269" i="1"/>
  <c r="Y269" i="1" s="1"/>
  <c r="CY268" i="1"/>
  <c r="X268" i="1" s="1"/>
  <c r="CP266" i="1"/>
  <c r="O266" i="1" s="1"/>
  <c r="AF275" i="1"/>
  <c r="CY264" i="1"/>
  <c r="X264" i="1" s="1"/>
  <c r="CZ264" i="1"/>
  <c r="Y264" i="1" s="1"/>
  <c r="CY273" i="1"/>
  <c r="X273" i="1" s="1"/>
  <c r="CZ273" i="1"/>
  <c r="Y273" i="1" s="1"/>
  <c r="CP273" i="1"/>
  <c r="O273" i="1" s="1"/>
  <c r="CP271" i="1"/>
  <c r="O271" i="1" s="1"/>
  <c r="CP269" i="1"/>
  <c r="O269" i="1" s="1"/>
  <c r="CR268" i="1"/>
  <c r="Q268" i="1" s="1"/>
  <c r="CP268" i="1" s="1"/>
  <c r="O268" i="1" s="1"/>
  <c r="AB268" i="1"/>
  <c r="CJ275" i="1"/>
  <c r="CY267" i="1"/>
  <c r="X267" i="1" s="1"/>
  <c r="GO267" i="1" s="1"/>
  <c r="AC275" i="1"/>
  <c r="CP264" i="1"/>
  <c r="O264" i="1" s="1"/>
  <c r="CP317" i="1"/>
  <c r="O317" i="1" s="1"/>
  <c r="Q315" i="1"/>
  <c r="CZ313" i="1"/>
  <c r="Y313" i="1" s="1"/>
  <c r="CY313" i="1"/>
  <c r="X313" i="1" s="1"/>
  <c r="BZ306" i="1"/>
  <c r="AQ319" i="1"/>
  <c r="CG319" i="1"/>
  <c r="AB272" i="1"/>
  <c r="CR272" i="1"/>
  <c r="Q272" i="1" s="1"/>
  <c r="GK268" i="1"/>
  <c r="CZ268" i="1"/>
  <c r="Y268" i="1" s="1"/>
  <c r="CZ266" i="1"/>
  <c r="Y266" i="1" s="1"/>
  <c r="CY266" i="1"/>
  <c r="X266" i="1" s="1"/>
  <c r="AI275" i="1"/>
  <c r="AB265" i="1"/>
  <c r="CR265" i="1"/>
  <c r="Q265" i="1" s="1"/>
  <c r="CP265" i="1" s="1"/>
  <c r="O265" i="1" s="1"/>
  <c r="AH275" i="1"/>
  <c r="CZ316" i="1"/>
  <c r="Y316" i="1" s="1"/>
  <c r="CY316" i="1"/>
  <c r="X316" i="1" s="1"/>
  <c r="U315" i="1"/>
  <c r="P315" i="1"/>
  <c r="CP315" i="1" s="1"/>
  <c r="O315" i="1" s="1"/>
  <c r="CR314" i="1"/>
  <c r="Q314" i="1" s="1"/>
  <c r="CP314" i="1" s="1"/>
  <c r="O314" i="1" s="1"/>
  <c r="AB314" i="1"/>
  <c r="CR313" i="1"/>
  <c r="Q313" i="1" s="1"/>
  <c r="CP313" i="1" s="1"/>
  <c r="O313" i="1" s="1"/>
  <c r="AB313" i="1"/>
  <c r="CZ310" i="1"/>
  <c r="Y310" i="1" s="1"/>
  <c r="CY309" i="1"/>
  <c r="X309" i="1" s="1"/>
  <c r="GO309" i="1" s="1"/>
  <c r="CZ309" i="1"/>
  <c r="Y309" i="1" s="1"/>
  <c r="GK272" i="1"/>
  <c r="CZ272" i="1"/>
  <c r="Y272" i="1" s="1"/>
  <c r="CZ270" i="1"/>
  <c r="Y270" i="1" s="1"/>
  <c r="GO270" i="1" s="1"/>
  <c r="CY270" i="1"/>
  <c r="X270" i="1" s="1"/>
  <c r="GM270" i="1" s="1"/>
  <c r="AG275" i="1"/>
  <c r="CI319" i="1"/>
  <c r="AB312" i="1"/>
  <c r="CS310" i="1"/>
  <c r="R310" i="1" s="1"/>
  <c r="GK310" i="1" s="1"/>
  <c r="AB273" i="1"/>
  <c r="BB319" i="1"/>
  <c r="AP319" i="1"/>
  <c r="CX476" i="3"/>
  <c r="CX480" i="3"/>
  <c r="CX475" i="3"/>
  <c r="CX477" i="3"/>
  <c r="CX483" i="3"/>
  <c r="CX474" i="3"/>
  <c r="CX482" i="3"/>
  <c r="CX479" i="3"/>
  <c r="CX481" i="3"/>
  <c r="CX478" i="3"/>
  <c r="P310" i="1"/>
  <c r="CP310" i="1" s="1"/>
  <c r="O310" i="1" s="1"/>
  <c r="AD308" i="1"/>
  <c r="CR308" i="1" s="1"/>
  <c r="Q308" i="1" s="1"/>
  <c r="CI275" i="1"/>
  <c r="AS275" i="1"/>
  <c r="BY262" i="1"/>
  <c r="CZ224" i="1"/>
  <c r="Y224" i="1" s="1"/>
  <c r="CY224" i="1"/>
  <c r="X224" i="1" s="1"/>
  <c r="CZ223" i="1"/>
  <c r="Y223" i="1" s="1"/>
  <c r="CY223" i="1"/>
  <c r="X223" i="1" s="1"/>
  <c r="CZ214" i="1"/>
  <c r="Y214" i="1" s="1"/>
  <c r="CY214" i="1"/>
  <c r="X214" i="1" s="1"/>
  <c r="AB210" i="1"/>
  <c r="CR210" i="1"/>
  <c r="Q210" i="1" s="1"/>
  <c r="CZ209" i="1"/>
  <c r="Y209" i="1" s="1"/>
  <c r="CY209" i="1"/>
  <c r="X209" i="1" s="1"/>
  <c r="GO209" i="1" s="1"/>
  <c r="AB208" i="1"/>
  <c r="CR208" i="1"/>
  <c r="Q208" i="1" s="1"/>
  <c r="GK207" i="1"/>
  <c r="CZ207" i="1"/>
  <c r="Y207" i="1" s="1"/>
  <c r="AB204" i="1"/>
  <c r="CR204" i="1"/>
  <c r="Q204" i="1" s="1"/>
  <c r="CP204" i="1" s="1"/>
  <c r="O204" i="1" s="1"/>
  <c r="GK203" i="1"/>
  <c r="CY203" i="1"/>
  <c r="X203" i="1" s="1"/>
  <c r="CZ203" i="1"/>
  <c r="Y203" i="1" s="1"/>
  <c r="GK200" i="1"/>
  <c r="CY200" i="1"/>
  <c r="X200" i="1" s="1"/>
  <c r="CZ200" i="1"/>
  <c r="Y200" i="1" s="1"/>
  <c r="CP196" i="1"/>
  <c r="O196" i="1" s="1"/>
  <c r="CR195" i="1"/>
  <c r="Q195" i="1" s="1"/>
  <c r="AB195" i="1"/>
  <c r="CZ193" i="1"/>
  <c r="Y193" i="1" s="1"/>
  <c r="CY193" i="1"/>
  <c r="X193" i="1" s="1"/>
  <c r="CP193" i="1"/>
  <c r="O193" i="1" s="1"/>
  <c r="AG228" i="1"/>
  <c r="CQ311" i="1"/>
  <c r="T310" i="1"/>
  <c r="AB308" i="1"/>
  <c r="CP272" i="1"/>
  <c r="O272" i="1" s="1"/>
  <c r="CZ271" i="1"/>
  <c r="Y271" i="1" s="1"/>
  <c r="CX435" i="3"/>
  <c r="CX439" i="3"/>
  <c r="CX443" i="3"/>
  <c r="CX436" i="3"/>
  <c r="CX440" i="3"/>
  <c r="CX433" i="3"/>
  <c r="CX437" i="3"/>
  <c r="CX441" i="3"/>
  <c r="CX434" i="3"/>
  <c r="CX438" i="3"/>
  <c r="CX442" i="3"/>
  <c r="CZ267" i="1"/>
  <c r="Y267" i="1" s="1"/>
  <c r="CX423" i="3"/>
  <c r="CX427" i="3"/>
  <c r="CX424" i="3"/>
  <c r="CX428" i="3"/>
  <c r="CX425" i="3"/>
  <c r="CX426" i="3"/>
  <c r="AJ275" i="1"/>
  <c r="CR224" i="1"/>
  <c r="Q224" i="1" s="1"/>
  <c r="AB224" i="1"/>
  <c r="CR223" i="1"/>
  <c r="Q223" i="1" s="1"/>
  <c r="AB223" i="1"/>
  <c r="CY221" i="1"/>
  <c r="X221" i="1" s="1"/>
  <c r="CZ221" i="1"/>
  <c r="Y221" i="1" s="1"/>
  <c r="GK210" i="1"/>
  <c r="CY210" i="1"/>
  <c r="X210" i="1" s="1"/>
  <c r="CZ210" i="1"/>
  <c r="Y210" i="1" s="1"/>
  <c r="GK208" i="1"/>
  <c r="CY208" i="1"/>
  <c r="X208" i="1" s="1"/>
  <c r="CZ208" i="1"/>
  <c r="Y208" i="1" s="1"/>
  <c r="CZ205" i="1"/>
  <c r="Y205" i="1" s="1"/>
  <c r="CY205" i="1"/>
  <c r="X205" i="1" s="1"/>
  <c r="GK204" i="1"/>
  <c r="CY204" i="1"/>
  <c r="X204" i="1" s="1"/>
  <c r="CZ204" i="1"/>
  <c r="Y204" i="1" s="1"/>
  <c r="CP201" i="1"/>
  <c r="O201" i="1" s="1"/>
  <c r="CP200" i="1"/>
  <c r="O200" i="1" s="1"/>
  <c r="CY199" i="1"/>
  <c r="X199" i="1" s="1"/>
  <c r="CY198" i="1"/>
  <c r="X198" i="1" s="1"/>
  <c r="GM198" i="1" s="1"/>
  <c r="CP197" i="1"/>
  <c r="O197" i="1" s="1"/>
  <c r="CX463" i="3"/>
  <c r="CX467" i="3"/>
  <c r="CX471" i="3"/>
  <c r="CX464" i="3"/>
  <c r="CX468" i="3"/>
  <c r="CX472" i="3"/>
  <c r="CX466" i="3"/>
  <c r="CX470" i="3"/>
  <c r="CX465" i="3"/>
  <c r="CX469" i="3"/>
  <c r="CX473" i="3"/>
  <c r="P312" i="1"/>
  <c r="CP312" i="1" s="1"/>
  <c r="O312" i="1" s="1"/>
  <c r="CX451" i="3"/>
  <c r="CX455" i="3"/>
  <c r="CX459" i="3"/>
  <c r="CX452" i="3"/>
  <c r="CX456" i="3"/>
  <c r="CX460" i="3"/>
  <c r="CX450" i="3"/>
  <c r="CX454" i="3"/>
  <c r="CX458" i="3"/>
  <c r="CX453" i="3"/>
  <c r="CX457" i="3"/>
  <c r="CX461" i="3"/>
  <c r="I311" i="1"/>
  <c r="W311" i="1" s="1"/>
  <c r="AJ319" i="1" s="1"/>
  <c r="Q271" i="1"/>
  <c r="AB264" i="1"/>
  <c r="BB262" i="1"/>
  <c r="CL183" i="1"/>
  <c r="BC228" i="1"/>
  <c r="BZ183" i="1"/>
  <c r="CG228" i="1"/>
  <c r="AQ228" i="1"/>
  <c r="CI228" i="1"/>
  <c r="CY226" i="1"/>
  <c r="X226" i="1" s="1"/>
  <c r="GM226" i="1" s="1"/>
  <c r="CZ226" i="1"/>
  <c r="Y226" i="1" s="1"/>
  <c r="CY225" i="1"/>
  <c r="X225" i="1" s="1"/>
  <c r="CZ225" i="1"/>
  <c r="Y225" i="1" s="1"/>
  <c r="CP224" i="1"/>
  <c r="O224" i="1" s="1"/>
  <c r="CP223" i="1"/>
  <c r="O223" i="1" s="1"/>
  <c r="CR222" i="1"/>
  <c r="Q222" i="1" s="1"/>
  <c r="CP222" i="1" s="1"/>
  <c r="O222" i="1" s="1"/>
  <c r="AB222" i="1"/>
  <c r="CZ218" i="1"/>
  <c r="Y218" i="1" s="1"/>
  <c r="CY218" i="1"/>
  <c r="X218" i="1" s="1"/>
  <c r="CY211" i="1"/>
  <c r="X211" i="1" s="1"/>
  <c r="CZ211" i="1"/>
  <c r="Y211" i="1" s="1"/>
  <c r="CP211" i="1"/>
  <c r="O211" i="1" s="1"/>
  <c r="CP210" i="1"/>
  <c r="O210" i="1" s="1"/>
  <c r="GM209" i="1"/>
  <c r="CP208" i="1"/>
  <c r="O208" i="1" s="1"/>
  <c r="GM206" i="1"/>
  <c r="GO206" i="1"/>
  <c r="CR199" i="1"/>
  <c r="Q199" i="1" s="1"/>
  <c r="CP199" i="1" s="1"/>
  <c r="O199" i="1" s="1"/>
  <c r="AB199" i="1"/>
  <c r="AB196" i="1"/>
  <c r="CR196" i="1"/>
  <c r="Q196" i="1" s="1"/>
  <c r="CP195" i="1"/>
  <c r="O195" i="1" s="1"/>
  <c r="T312" i="1"/>
  <c r="CX431" i="3"/>
  <c r="CX432" i="3"/>
  <c r="CX429" i="3"/>
  <c r="CX430" i="3"/>
  <c r="CD275" i="1"/>
  <c r="BZ275" i="1"/>
  <c r="CK262" i="1"/>
  <c r="AP262" i="1"/>
  <c r="GP226" i="1"/>
  <c r="CY220" i="1"/>
  <c r="X220" i="1" s="1"/>
  <c r="CZ220" i="1"/>
  <c r="Y220" i="1" s="1"/>
  <c r="CZ216" i="1"/>
  <c r="Y216" i="1" s="1"/>
  <c r="CY216" i="1"/>
  <c r="X216" i="1" s="1"/>
  <c r="GK213" i="1"/>
  <c r="CY213" i="1"/>
  <c r="X213" i="1" s="1"/>
  <c r="GO213" i="1" s="1"/>
  <c r="CZ213" i="1"/>
  <c r="Y213" i="1" s="1"/>
  <c r="CY212" i="1"/>
  <c r="X212" i="1" s="1"/>
  <c r="CZ212" i="1"/>
  <c r="Y212" i="1" s="1"/>
  <c r="CR207" i="1"/>
  <c r="Q207" i="1" s="1"/>
  <c r="AB207" i="1"/>
  <c r="GM205" i="1"/>
  <c r="GO205" i="1"/>
  <c r="CR203" i="1"/>
  <c r="Q203" i="1" s="1"/>
  <c r="CP203" i="1" s="1"/>
  <c r="O203" i="1" s="1"/>
  <c r="AB203" i="1"/>
  <c r="CZ201" i="1"/>
  <c r="Y201" i="1" s="1"/>
  <c r="CY201" i="1"/>
  <c r="X201" i="1" s="1"/>
  <c r="AB200" i="1"/>
  <c r="CR200" i="1"/>
  <c r="Q200" i="1" s="1"/>
  <c r="GK199" i="1"/>
  <c r="CZ199" i="1"/>
  <c r="Y199" i="1" s="1"/>
  <c r="CZ197" i="1"/>
  <c r="Y197" i="1" s="1"/>
  <c r="CY197" i="1"/>
  <c r="X197" i="1" s="1"/>
  <c r="GK196" i="1"/>
  <c r="CY196" i="1"/>
  <c r="X196" i="1" s="1"/>
  <c r="CZ196" i="1"/>
  <c r="Y196" i="1" s="1"/>
  <c r="AI228" i="1"/>
  <c r="CJ228" i="1"/>
  <c r="CX447" i="3"/>
  <c r="CX448" i="3"/>
  <c r="CX446" i="3"/>
  <c r="CX449" i="3"/>
  <c r="W219" i="1"/>
  <c r="S219" i="1"/>
  <c r="W217" i="1"/>
  <c r="S217" i="1"/>
  <c r="W215" i="1"/>
  <c r="S215" i="1"/>
  <c r="CP215" i="1" s="1"/>
  <c r="O215" i="1" s="1"/>
  <c r="AB211" i="1"/>
  <c r="T193" i="1"/>
  <c r="AB193" i="1"/>
  <c r="CR191" i="1"/>
  <c r="Q191" i="1" s="1"/>
  <c r="CP191" i="1" s="1"/>
  <c r="O191" i="1" s="1"/>
  <c r="AB191" i="1"/>
  <c r="P190" i="1"/>
  <c r="CZ189" i="1"/>
  <c r="Y189" i="1" s="1"/>
  <c r="CY189" i="1"/>
  <c r="X189" i="1" s="1"/>
  <c r="GO189" i="1" s="1"/>
  <c r="CS188" i="1"/>
  <c r="R188" i="1" s="1"/>
  <c r="GK188" i="1" s="1"/>
  <c r="CS186" i="1"/>
  <c r="R186" i="1" s="1"/>
  <c r="U186" i="1"/>
  <c r="CR185" i="1"/>
  <c r="Q185" i="1" s="1"/>
  <c r="AB185" i="1"/>
  <c r="CR150" i="1"/>
  <c r="Q150" i="1" s="1"/>
  <c r="AB150" i="1"/>
  <c r="CR149" i="1"/>
  <c r="Q149" i="1" s="1"/>
  <c r="AB149" i="1"/>
  <c r="BZ139" i="1"/>
  <c r="AQ152" i="1"/>
  <c r="CY148" i="1"/>
  <c r="X148" i="1" s="1"/>
  <c r="CY147" i="1"/>
  <c r="X147" i="1" s="1"/>
  <c r="CY146" i="1"/>
  <c r="X146" i="1" s="1"/>
  <c r="CQ225" i="1"/>
  <c r="P225" i="1" s="1"/>
  <c r="CP225" i="1" s="1"/>
  <c r="O225" i="1" s="1"/>
  <c r="CS222" i="1"/>
  <c r="R222" i="1" s="1"/>
  <c r="GK222" i="1" s="1"/>
  <c r="CQ221" i="1"/>
  <c r="P221" i="1" s="1"/>
  <c r="CP221" i="1" s="1"/>
  <c r="O221" i="1" s="1"/>
  <c r="CQ220" i="1"/>
  <c r="P220" i="1" s="1"/>
  <c r="CP220" i="1" s="1"/>
  <c r="O220" i="1" s="1"/>
  <c r="CQ218" i="1"/>
  <c r="P218" i="1" s="1"/>
  <c r="CP218" i="1" s="1"/>
  <c r="O218" i="1" s="1"/>
  <c r="CQ216" i="1"/>
  <c r="P216" i="1" s="1"/>
  <c r="CP216" i="1" s="1"/>
  <c r="O216" i="1" s="1"/>
  <c r="CQ214" i="1"/>
  <c r="P214" i="1" s="1"/>
  <c r="CP214" i="1" s="1"/>
  <c r="O214" i="1" s="1"/>
  <c r="CP207" i="1"/>
  <c r="O207" i="1" s="1"/>
  <c r="CZ206" i="1"/>
  <c r="Y206" i="1" s="1"/>
  <c r="CX337" i="3"/>
  <c r="CX341" i="3"/>
  <c r="CX345" i="3"/>
  <c r="CX343" i="3"/>
  <c r="CX340" i="3"/>
  <c r="CX342" i="3"/>
  <c r="CX339" i="3"/>
  <c r="CX338" i="3"/>
  <c r="CX344" i="3"/>
  <c r="AB205" i="1"/>
  <c r="CZ202" i="1"/>
  <c r="Y202" i="1" s="1"/>
  <c r="GO202" i="1" s="1"/>
  <c r="CX317" i="3"/>
  <c r="CX321" i="3"/>
  <c r="CX319" i="3"/>
  <c r="CX316" i="3"/>
  <c r="CX318" i="3"/>
  <c r="CX324" i="3"/>
  <c r="CX315" i="3"/>
  <c r="CX323" i="3"/>
  <c r="CX314" i="3"/>
  <c r="CX320" i="3"/>
  <c r="CX322" i="3"/>
  <c r="CZ198" i="1"/>
  <c r="Y198" i="1" s="1"/>
  <c r="CX301" i="3"/>
  <c r="CX303" i="3"/>
  <c r="CX302" i="3"/>
  <c r="CX304" i="3"/>
  <c r="S195" i="1"/>
  <c r="CZ194" i="1"/>
  <c r="Y194" i="1" s="1"/>
  <c r="GM194" i="1" s="1"/>
  <c r="CY192" i="1"/>
  <c r="X192" i="1" s="1"/>
  <c r="AD192" i="1"/>
  <c r="CR192" i="1" s="1"/>
  <c r="Q192" i="1" s="1"/>
  <c r="CP192" i="1" s="1"/>
  <c r="O192" i="1" s="1"/>
  <c r="CS192" i="1"/>
  <c r="R192" i="1" s="1"/>
  <c r="GK150" i="1"/>
  <c r="CZ150" i="1"/>
  <c r="Y150" i="1" s="1"/>
  <c r="GK149" i="1"/>
  <c r="CZ149" i="1"/>
  <c r="Y149" i="1" s="1"/>
  <c r="AB147" i="1"/>
  <c r="CR147" i="1"/>
  <c r="Q147" i="1" s="1"/>
  <c r="AB146" i="1"/>
  <c r="CR146" i="1"/>
  <c r="Q146" i="1" s="1"/>
  <c r="CP146" i="1" s="1"/>
  <c r="O146" i="1" s="1"/>
  <c r="CZ145" i="1"/>
  <c r="Y145" i="1" s="1"/>
  <c r="CY145" i="1"/>
  <c r="X145" i="1" s="1"/>
  <c r="CY144" i="1"/>
  <c r="X144" i="1" s="1"/>
  <c r="CZ144" i="1"/>
  <c r="Y144" i="1" s="1"/>
  <c r="GK141" i="1"/>
  <c r="CZ141" i="1"/>
  <c r="Y141" i="1" s="1"/>
  <c r="CX403" i="3"/>
  <c r="CX402" i="3"/>
  <c r="AB192" i="1"/>
  <c r="CR190" i="1"/>
  <c r="Q190" i="1" s="1"/>
  <c r="AB190" i="1"/>
  <c r="GM189" i="1"/>
  <c r="GK147" i="1"/>
  <c r="CZ147" i="1"/>
  <c r="Y147" i="1" s="1"/>
  <c r="GK146" i="1"/>
  <c r="CZ146" i="1"/>
  <c r="Y146" i="1" s="1"/>
  <c r="CX387" i="3"/>
  <c r="CX391" i="3"/>
  <c r="CX395" i="3"/>
  <c r="CX399" i="3"/>
  <c r="CX390" i="3"/>
  <c r="CX394" i="3"/>
  <c r="CX389" i="3"/>
  <c r="CX393" i="3"/>
  <c r="CX397" i="3"/>
  <c r="CX388" i="3"/>
  <c r="CX392" i="3"/>
  <c r="CX396" i="3"/>
  <c r="CX398" i="3"/>
  <c r="AD212" i="1"/>
  <c r="CR212" i="1" s="1"/>
  <c r="Q212" i="1" s="1"/>
  <c r="CP212" i="1" s="1"/>
  <c r="O212" i="1" s="1"/>
  <c r="CX349" i="3"/>
  <c r="CX353" i="3"/>
  <c r="CX351" i="3"/>
  <c r="CX348" i="3"/>
  <c r="CX350" i="3"/>
  <c r="CX356" i="3"/>
  <c r="CX347" i="3"/>
  <c r="CX355" i="3"/>
  <c r="CX346" i="3"/>
  <c r="CX352" i="3"/>
  <c r="CX354" i="3"/>
  <c r="CX325" i="3"/>
  <c r="CX329" i="3"/>
  <c r="CX333" i="3"/>
  <c r="CX327" i="3"/>
  <c r="CX335" i="3"/>
  <c r="CX326" i="3"/>
  <c r="CX332" i="3"/>
  <c r="CX334" i="3"/>
  <c r="CX331" i="3"/>
  <c r="CX328" i="3"/>
  <c r="CX330" i="3"/>
  <c r="CX336" i="3"/>
  <c r="CX305" i="3"/>
  <c r="CX309" i="3"/>
  <c r="CX313" i="3"/>
  <c r="CX311" i="3"/>
  <c r="CX308" i="3"/>
  <c r="CX310" i="3"/>
  <c r="CX307" i="3"/>
  <c r="CX306" i="3"/>
  <c r="CX312" i="3"/>
  <c r="CX297" i="3"/>
  <c r="CX295" i="3"/>
  <c r="CX300" i="3"/>
  <c r="CX294" i="3"/>
  <c r="CX299" i="3"/>
  <c r="CX296" i="3"/>
  <c r="CX298" i="3"/>
  <c r="CS190" i="1"/>
  <c r="R190" i="1" s="1"/>
  <c r="GK190" i="1" s="1"/>
  <c r="U190" i="1"/>
  <c r="CZ188" i="1"/>
  <c r="Y188" i="1" s="1"/>
  <c r="CP188" i="1"/>
  <c r="O188" i="1" s="1"/>
  <c r="CP187" i="1"/>
  <c r="O187" i="1" s="1"/>
  <c r="CR186" i="1"/>
  <c r="Q186" i="1" s="1"/>
  <c r="AB186" i="1"/>
  <c r="CX233" i="3"/>
  <c r="CX237" i="3"/>
  <c r="CX236" i="3"/>
  <c r="CX235" i="3"/>
  <c r="CX234" i="3"/>
  <c r="CX238" i="3"/>
  <c r="CY150" i="1"/>
  <c r="X150" i="1" s="1"/>
  <c r="CY149" i="1"/>
  <c r="X149" i="1" s="1"/>
  <c r="CP147" i="1"/>
  <c r="O147" i="1" s="1"/>
  <c r="CP145" i="1"/>
  <c r="O145" i="1" s="1"/>
  <c r="CX277" i="3"/>
  <c r="CX281" i="3"/>
  <c r="CX285" i="3"/>
  <c r="CX279" i="3"/>
  <c r="CX283" i="3"/>
  <c r="CX287" i="3"/>
  <c r="CX280" i="3"/>
  <c r="CX282" i="3"/>
  <c r="CX284" i="3"/>
  <c r="CX286" i="3"/>
  <c r="CX278" i="3"/>
  <c r="W191" i="1"/>
  <c r="S191" i="1"/>
  <c r="W190" i="1"/>
  <c r="S190" i="1"/>
  <c r="W186" i="1"/>
  <c r="S186" i="1"/>
  <c r="W185" i="1"/>
  <c r="AJ228" i="1" s="1"/>
  <c r="S185" i="1"/>
  <c r="BC152" i="1"/>
  <c r="P144" i="1"/>
  <c r="CP144" i="1" s="1"/>
  <c r="O144" i="1" s="1"/>
  <c r="CS142" i="1"/>
  <c r="R142" i="1" s="1"/>
  <c r="P142" i="1"/>
  <c r="CX204" i="3"/>
  <c r="CX203" i="3"/>
  <c r="CX202" i="3"/>
  <c r="GN106" i="1"/>
  <c r="GM106" i="1"/>
  <c r="CY101" i="1"/>
  <c r="X101" i="1" s="1"/>
  <c r="CZ101" i="1"/>
  <c r="Y101" i="1" s="1"/>
  <c r="CY100" i="1"/>
  <c r="X100" i="1" s="1"/>
  <c r="CZ100" i="1"/>
  <c r="Y100" i="1" s="1"/>
  <c r="CY98" i="1"/>
  <c r="X98" i="1" s="1"/>
  <c r="CZ98" i="1"/>
  <c r="Y98" i="1" s="1"/>
  <c r="GN98" i="1" s="1"/>
  <c r="U97" i="1"/>
  <c r="V97" i="1"/>
  <c r="CY94" i="1"/>
  <c r="X94" i="1" s="1"/>
  <c r="CZ94" i="1"/>
  <c r="Y94" i="1" s="1"/>
  <c r="W91" i="1"/>
  <c r="CY85" i="1"/>
  <c r="X85" i="1" s="1"/>
  <c r="CZ85" i="1"/>
  <c r="Y85" i="1" s="1"/>
  <c r="CP85" i="1"/>
  <c r="O85" i="1" s="1"/>
  <c r="CP150" i="1"/>
  <c r="O150" i="1" s="1"/>
  <c r="CP149" i="1"/>
  <c r="O149" i="1" s="1"/>
  <c r="CZ148" i="1"/>
  <c r="Y148" i="1" s="1"/>
  <c r="BY152" i="1"/>
  <c r="CP141" i="1"/>
  <c r="O141" i="1" s="1"/>
  <c r="CY102" i="1"/>
  <c r="X102" i="1" s="1"/>
  <c r="CZ102" i="1"/>
  <c r="Y102" i="1" s="1"/>
  <c r="CP102" i="1"/>
  <c r="O102" i="1" s="1"/>
  <c r="W99" i="1"/>
  <c r="GM98" i="1"/>
  <c r="CY97" i="1"/>
  <c r="X97" i="1" s="1"/>
  <c r="CZ97" i="1"/>
  <c r="Y97" i="1" s="1"/>
  <c r="CY95" i="1"/>
  <c r="X95" i="1" s="1"/>
  <c r="CZ95" i="1"/>
  <c r="Y95" i="1" s="1"/>
  <c r="W93" i="1"/>
  <c r="P93" i="1"/>
  <c r="CY92" i="1"/>
  <c r="X92" i="1" s="1"/>
  <c r="CZ92" i="1"/>
  <c r="Y92" i="1" s="1"/>
  <c r="CY88" i="1"/>
  <c r="X88" i="1" s="1"/>
  <c r="CZ88" i="1"/>
  <c r="Y88" i="1" s="1"/>
  <c r="CX241" i="3"/>
  <c r="CX245" i="3"/>
  <c r="CX239" i="3"/>
  <c r="CX243" i="3"/>
  <c r="CX244" i="3"/>
  <c r="CX240" i="3"/>
  <c r="CX242" i="3"/>
  <c r="AU152" i="1"/>
  <c r="U148" i="1"/>
  <c r="Q148" i="1"/>
  <c r="CP148" i="1" s="1"/>
  <c r="O148" i="1" s="1"/>
  <c r="AB143" i="1"/>
  <c r="CY142" i="1"/>
  <c r="X142" i="1" s="1"/>
  <c r="GM105" i="1"/>
  <c r="GN105" i="1"/>
  <c r="CP104" i="1"/>
  <c r="O104" i="1" s="1"/>
  <c r="U99" i="1"/>
  <c r="U93" i="1"/>
  <c r="CP92" i="1"/>
  <c r="O92" i="1" s="1"/>
  <c r="CY91" i="1"/>
  <c r="X91" i="1" s="1"/>
  <c r="CZ91" i="1"/>
  <c r="Y91" i="1" s="1"/>
  <c r="CY89" i="1"/>
  <c r="X89" i="1" s="1"/>
  <c r="CZ89" i="1"/>
  <c r="Y89" i="1" s="1"/>
  <c r="CY86" i="1"/>
  <c r="X86" i="1" s="1"/>
  <c r="CZ86" i="1"/>
  <c r="Y86" i="1" s="1"/>
  <c r="AB188" i="1"/>
  <c r="F165" i="1"/>
  <c r="BX139" i="1"/>
  <c r="AO152" i="1"/>
  <c r="CG152" i="1"/>
  <c r="CX225" i="3"/>
  <c r="CX229" i="3"/>
  <c r="CX224" i="3"/>
  <c r="CX228" i="3"/>
  <c r="CX227" i="3"/>
  <c r="CX231" i="3"/>
  <c r="CX226" i="3"/>
  <c r="CX230" i="3"/>
  <c r="CX205" i="3"/>
  <c r="CX209" i="3"/>
  <c r="CX213" i="3"/>
  <c r="CX208" i="3"/>
  <c r="CX212" i="3"/>
  <c r="CX207" i="3"/>
  <c r="CX211" i="3"/>
  <c r="CX215" i="3"/>
  <c r="CX214" i="3"/>
  <c r="CX210" i="3"/>
  <c r="CX206" i="3"/>
  <c r="I143" i="1"/>
  <c r="S143" i="1" s="1"/>
  <c r="AF152" i="1" s="1"/>
  <c r="CY141" i="1"/>
  <c r="X141" i="1" s="1"/>
  <c r="T99" i="1"/>
  <c r="T93" i="1"/>
  <c r="GM86" i="1"/>
  <c r="GN86" i="1"/>
  <c r="CZ80" i="1"/>
  <c r="Y80" i="1" s="1"/>
  <c r="CY80" i="1"/>
  <c r="X80" i="1" s="1"/>
  <c r="CS104" i="1"/>
  <c r="R104" i="1" s="1"/>
  <c r="GK104" i="1" s="1"/>
  <c r="AB103" i="1"/>
  <c r="CX189" i="3"/>
  <c r="CX193" i="3"/>
  <c r="CX197" i="3"/>
  <c r="CX188" i="3"/>
  <c r="CX192" i="3"/>
  <c r="CX196" i="3"/>
  <c r="CX187" i="3"/>
  <c r="CX191" i="3"/>
  <c r="CX195" i="3"/>
  <c r="CX199" i="3"/>
  <c r="CX194" i="3"/>
  <c r="CX190" i="3"/>
  <c r="CX198" i="3"/>
  <c r="I103" i="1"/>
  <c r="T103" i="1" s="1"/>
  <c r="T101" i="1"/>
  <c r="AB101" i="1"/>
  <c r="P100" i="1"/>
  <c r="CP100" i="1" s="1"/>
  <c r="O100" i="1" s="1"/>
  <c r="AD96" i="1"/>
  <c r="CR96" i="1" s="1"/>
  <c r="T95" i="1"/>
  <c r="AB95" i="1"/>
  <c r="P94" i="1"/>
  <c r="CP94" i="1" s="1"/>
  <c r="O94" i="1" s="1"/>
  <c r="AD90" i="1"/>
  <c r="CR90" i="1" s="1"/>
  <c r="T89" i="1"/>
  <c r="AB89" i="1"/>
  <c r="P88" i="1"/>
  <c r="CP88" i="1" s="1"/>
  <c r="O88" i="1" s="1"/>
  <c r="AD84" i="1"/>
  <c r="CR84" i="1" s="1"/>
  <c r="Q84" i="1" s="1"/>
  <c r="CP84" i="1" s="1"/>
  <c r="O84" i="1" s="1"/>
  <c r="AB82" i="1"/>
  <c r="CQ82" i="1"/>
  <c r="P82" i="1" s="1"/>
  <c r="P81" i="1"/>
  <c r="T79" i="1"/>
  <c r="CZ78" i="1"/>
  <c r="Y78" i="1" s="1"/>
  <c r="CY78" i="1"/>
  <c r="X78" i="1" s="1"/>
  <c r="CP70" i="1"/>
  <c r="O70" i="1" s="1"/>
  <c r="R71" i="1"/>
  <c r="GK71" i="1" s="1"/>
  <c r="P71" i="1"/>
  <c r="GX71" i="1"/>
  <c r="CY61" i="1"/>
  <c r="X61" i="1" s="1"/>
  <c r="AB60" i="1"/>
  <c r="CR60" i="1"/>
  <c r="Q60" i="1" s="1"/>
  <c r="W58" i="1"/>
  <c r="CI108" i="1"/>
  <c r="BC108" i="1"/>
  <c r="AU108" i="1"/>
  <c r="AQ108" i="1"/>
  <c r="CX182" i="3"/>
  <c r="CX186" i="3"/>
  <c r="CX185" i="3"/>
  <c r="CX184" i="3"/>
  <c r="CX183" i="3"/>
  <c r="V99" i="1"/>
  <c r="AB96" i="1"/>
  <c r="CX171" i="3"/>
  <c r="CX170" i="3"/>
  <c r="CX172" i="3"/>
  <c r="I96" i="1"/>
  <c r="U96" i="1" s="1"/>
  <c r="V93" i="1"/>
  <c r="AB90" i="1"/>
  <c r="CX151" i="3"/>
  <c r="CX155" i="3"/>
  <c r="CX159" i="3"/>
  <c r="CX154" i="3"/>
  <c r="CX156" i="3"/>
  <c r="CX153" i="3"/>
  <c r="CX150" i="3"/>
  <c r="CX152" i="3"/>
  <c r="CX158" i="3"/>
  <c r="CX160" i="3"/>
  <c r="CX149" i="3"/>
  <c r="CX157" i="3"/>
  <c r="I90" i="1"/>
  <c r="U90" i="1" s="1"/>
  <c r="AB84" i="1"/>
  <c r="CS83" i="1"/>
  <c r="R83" i="1" s="1"/>
  <c r="GK83" i="1" s="1"/>
  <c r="AD83" i="1"/>
  <c r="CR83" i="1" s="1"/>
  <c r="Q83" i="1" s="1"/>
  <c r="W81" i="1"/>
  <c r="T81" i="1"/>
  <c r="AB80" i="1"/>
  <c r="CQ80" i="1"/>
  <c r="P80" i="1" s="1"/>
  <c r="CZ74" i="1"/>
  <c r="Y74" i="1" s="1"/>
  <c r="CY74" i="1"/>
  <c r="X74" i="1" s="1"/>
  <c r="AB69" i="1"/>
  <c r="CR69" i="1"/>
  <c r="Q69" i="1" s="1"/>
  <c r="AB68" i="1"/>
  <c r="CR68" i="1"/>
  <c r="Q68" i="1" s="1"/>
  <c r="Q66" i="1"/>
  <c r="CY53" i="1"/>
  <c r="X53" i="1" s="1"/>
  <c r="CZ53" i="1"/>
  <c r="Y53" i="1" s="1"/>
  <c r="BB108" i="1"/>
  <c r="AX108" i="1"/>
  <c r="AT108" i="1"/>
  <c r="AP108" i="1"/>
  <c r="V103" i="1"/>
  <c r="R103" i="1"/>
  <c r="GK103" i="1" s="1"/>
  <c r="AD99" i="1"/>
  <c r="CR99" i="1" s="1"/>
  <c r="T98" i="1"/>
  <c r="AB98" i="1"/>
  <c r="CR97" i="1"/>
  <c r="Q97" i="1" s="1"/>
  <c r="P97" i="1"/>
  <c r="AD93" i="1"/>
  <c r="CR93" i="1" s="1"/>
  <c r="Q93" i="1" s="1"/>
  <c r="AB92" i="1"/>
  <c r="P91" i="1"/>
  <c r="CP91" i="1" s="1"/>
  <c r="O91" i="1" s="1"/>
  <c r="AD87" i="1"/>
  <c r="CR87" i="1" s="1"/>
  <c r="AB86" i="1"/>
  <c r="AB83" i="1"/>
  <c r="CQ83" i="1"/>
  <c r="P83" i="1" s="1"/>
  <c r="CP83" i="1" s="1"/>
  <c r="O83" i="1" s="1"/>
  <c r="V66" i="1"/>
  <c r="CP60" i="1"/>
  <c r="O60" i="1" s="1"/>
  <c r="AB102" i="1"/>
  <c r="P101" i="1"/>
  <c r="CP101" i="1" s="1"/>
  <c r="O101" i="1" s="1"/>
  <c r="GX99" i="1"/>
  <c r="AB99" i="1"/>
  <c r="CX175" i="3"/>
  <c r="CX178" i="3"/>
  <c r="CX177" i="3"/>
  <c r="CX181" i="3"/>
  <c r="CX174" i="3"/>
  <c r="CX176" i="3"/>
  <c r="CX180" i="3"/>
  <c r="CX173" i="3"/>
  <c r="CX179" i="3"/>
  <c r="I99" i="1"/>
  <c r="S99" i="1" s="1"/>
  <c r="T97" i="1"/>
  <c r="V96" i="1"/>
  <c r="R96" i="1"/>
  <c r="GK96" i="1" s="1"/>
  <c r="P95" i="1"/>
  <c r="CP95" i="1" s="1"/>
  <c r="O95" i="1" s="1"/>
  <c r="GX93" i="1"/>
  <c r="AB93" i="1"/>
  <c r="CX163" i="3"/>
  <c r="CX167" i="3"/>
  <c r="CX162" i="3"/>
  <c r="CX164" i="3"/>
  <c r="CX161" i="3"/>
  <c r="CX169" i="3"/>
  <c r="CX166" i="3"/>
  <c r="CX168" i="3"/>
  <c r="CX165" i="3"/>
  <c r="I93" i="1"/>
  <c r="S93" i="1" s="1"/>
  <c r="T91" i="1"/>
  <c r="AB91" i="1"/>
  <c r="V90" i="1"/>
  <c r="P89" i="1"/>
  <c r="CP89" i="1" s="1"/>
  <c r="O89" i="1" s="1"/>
  <c r="AB87" i="1"/>
  <c r="CX144" i="3"/>
  <c r="CX143" i="3"/>
  <c r="CX147" i="3"/>
  <c r="CX146" i="3"/>
  <c r="CX148" i="3"/>
  <c r="CX145" i="3"/>
  <c r="CX142" i="3"/>
  <c r="I87" i="1"/>
  <c r="S87" i="1" s="1"/>
  <c r="AB85" i="1"/>
  <c r="V84" i="1"/>
  <c r="R84" i="1"/>
  <c r="GK84" i="1" s="1"/>
  <c r="CS82" i="1"/>
  <c r="R82" i="1" s="1"/>
  <c r="GK82" i="1" s="1"/>
  <c r="AD82" i="1"/>
  <c r="CR82" i="1" s="1"/>
  <c r="Q82" i="1" s="1"/>
  <c r="S81" i="1"/>
  <c r="V81" i="1"/>
  <c r="AD81" i="1"/>
  <c r="CR81" i="1" s="1"/>
  <c r="Q81" i="1" s="1"/>
  <c r="CS81" i="1"/>
  <c r="CP79" i="1"/>
  <c r="O79" i="1" s="1"/>
  <c r="AB78" i="1"/>
  <c r="AB75" i="1"/>
  <c r="CR75" i="1"/>
  <c r="Q75" i="1" s="1"/>
  <c r="CP75" i="1" s="1"/>
  <c r="O75" i="1" s="1"/>
  <c r="CP74" i="1"/>
  <c r="O74" i="1" s="1"/>
  <c r="V72" i="1"/>
  <c r="CP68" i="1"/>
  <c r="O68" i="1" s="1"/>
  <c r="CZ67" i="1"/>
  <c r="Y67" i="1" s="1"/>
  <c r="GM67" i="1" s="1"/>
  <c r="CY67" i="1"/>
  <c r="X67" i="1" s="1"/>
  <c r="T66" i="1"/>
  <c r="CY65" i="1"/>
  <c r="X65" i="1" s="1"/>
  <c r="CR64" i="1"/>
  <c r="Q64" i="1" s="1"/>
  <c r="CP64" i="1" s="1"/>
  <c r="O64" i="1" s="1"/>
  <c r="AB64" i="1"/>
  <c r="CZ58" i="1"/>
  <c r="Y58" i="1" s="1"/>
  <c r="AB81" i="1"/>
  <c r="I81" i="1"/>
  <c r="U81" i="1" s="1"/>
  <c r="AD80" i="1"/>
  <c r="CR80" i="1" s="1"/>
  <c r="Q80" i="1" s="1"/>
  <c r="CS79" i="1"/>
  <c r="R79" i="1" s="1"/>
  <c r="GK79" i="1" s="1"/>
  <c r="AB79" i="1"/>
  <c r="CQ78" i="1"/>
  <c r="P78" i="1" s="1"/>
  <c r="AD78" i="1"/>
  <c r="CR78" i="1" s="1"/>
  <c r="Q78" i="1" s="1"/>
  <c r="AB76" i="1"/>
  <c r="CQ73" i="1"/>
  <c r="P73" i="1" s="1"/>
  <c r="CP73" i="1" s="1"/>
  <c r="O73" i="1" s="1"/>
  <c r="U73" i="1"/>
  <c r="Q73" i="1"/>
  <c r="I72" i="1"/>
  <c r="S72" i="1" s="1"/>
  <c r="AB70" i="1"/>
  <c r="I66" i="1"/>
  <c r="CQ65" i="1"/>
  <c r="P65" i="1" s="1"/>
  <c r="U65" i="1"/>
  <c r="Q65" i="1"/>
  <c r="W64" i="1"/>
  <c r="S64" i="1"/>
  <c r="I63" i="1"/>
  <c r="P63" i="1" s="1"/>
  <c r="AB61" i="1"/>
  <c r="AB59" i="1"/>
  <c r="CS58" i="1"/>
  <c r="R58" i="1" s="1"/>
  <c r="GK58" i="1" s="1"/>
  <c r="AB57" i="1"/>
  <c r="W56" i="1"/>
  <c r="AB55" i="1"/>
  <c r="S54" i="1"/>
  <c r="CS54" i="1"/>
  <c r="AD54" i="1"/>
  <c r="CR54" i="1" s="1"/>
  <c r="GX53" i="1"/>
  <c r="U53" i="1"/>
  <c r="V53" i="1"/>
  <c r="Q53" i="1"/>
  <c r="R52" i="1"/>
  <c r="GK52" i="1" s="1"/>
  <c r="CY51" i="1"/>
  <c r="X51" i="1" s="1"/>
  <c r="GM51" i="1" s="1"/>
  <c r="CZ51" i="1"/>
  <c r="Y51" i="1" s="1"/>
  <c r="GN51" i="1" s="1"/>
  <c r="Q46" i="1"/>
  <c r="CP41" i="1"/>
  <c r="O41" i="1" s="1"/>
  <c r="CP37" i="1"/>
  <c r="O37" i="1" s="1"/>
  <c r="CP35" i="1"/>
  <c r="O35" i="1" s="1"/>
  <c r="AB77" i="1"/>
  <c r="CP77" i="1"/>
  <c r="O77" i="1" s="1"/>
  <c r="CZ76" i="1"/>
  <c r="Y76" i="1" s="1"/>
  <c r="U72" i="1"/>
  <c r="Q72" i="1"/>
  <c r="W71" i="1"/>
  <c r="S71" i="1"/>
  <c r="AB71" i="1"/>
  <c r="CZ70" i="1"/>
  <c r="Y70" i="1" s="1"/>
  <c r="AB62" i="1"/>
  <c r="CP62" i="1"/>
  <c r="O62" i="1" s="1"/>
  <c r="CZ61" i="1"/>
  <c r="Y61" i="1" s="1"/>
  <c r="T58" i="1"/>
  <c r="GX57" i="1"/>
  <c r="AB54" i="1"/>
  <c r="CQ54" i="1"/>
  <c r="P54" i="1" s="1"/>
  <c r="CY47" i="1"/>
  <c r="X47" i="1" s="1"/>
  <c r="CZ47" i="1"/>
  <c r="Y47" i="1" s="1"/>
  <c r="GN45" i="1"/>
  <c r="GN40" i="1"/>
  <c r="CX136" i="3"/>
  <c r="CX140" i="3"/>
  <c r="CX139" i="3"/>
  <c r="CX137" i="3"/>
  <c r="CX141" i="3"/>
  <c r="CX138" i="3"/>
  <c r="U76" i="1"/>
  <c r="Q76" i="1"/>
  <c r="CP76" i="1" s="1"/>
  <c r="O76" i="1" s="1"/>
  <c r="W75" i="1"/>
  <c r="S75" i="1"/>
  <c r="CX121" i="3"/>
  <c r="CX125" i="3"/>
  <c r="CX120" i="3"/>
  <c r="CX124" i="3"/>
  <c r="CX128" i="3"/>
  <c r="CX132" i="3"/>
  <c r="CX119" i="3"/>
  <c r="CX123" i="3"/>
  <c r="CX127" i="3"/>
  <c r="CX131" i="3"/>
  <c r="CX135" i="3"/>
  <c r="CX122" i="3"/>
  <c r="CX129" i="3"/>
  <c r="CX133" i="3"/>
  <c r="CX118" i="3"/>
  <c r="CX126" i="3"/>
  <c r="CX130" i="3"/>
  <c r="CX134" i="3"/>
  <c r="U70" i="1"/>
  <c r="Q70" i="1"/>
  <c r="W69" i="1"/>
  <c r="S69" i="1"/>
  <c r="CP69" i="1" s="1"/>
  <c r="O69" i="1" s="1"/>
  <c r="W68" i="1"/>
  <c r="S68" i="1"/>
  <c r="U61" i="1"/>
  <c r="Q61" i="1"/>
  <c r="CP61" i="1" s="1"/>
  <c r="O61" i="1" s="1"/>
  <c r="W60" i="1"/>
  <c r="S60" i="1"/>
  <c r="R57" i="1"/>
  <c r="GK57" i="1" s="1"/>
  <c r="CX90" i="3"/>
  <c r="CX94" i="3"/>
  <c r="CX98" i="3"/>
  <c r="CX102" i="3"/>
  <c r="CX93" i="3"/>
  <c r="CX97" i="3"/>
  <c r="CX101" i="3"/>
  <c r="CX105" i="3"/>
  <c r="CX92" i="3"/>
  <c r="CX96" i="3"/>
  <c r="CX100" i="3"/>
  <c r="CX104" i="3"/>
  <c r="CX91" i="3"/>
  <c r="CX95" i="3"/>
  <c r="CX99" i="3"/>
  <c r="CX103" i="3"/>
  <c r="CX107" i="3"/>
  <c r="CX106" i="3"/>
  <c r="I57" i="1"/>
  <c r="S57" i="1" s="1"/>
  <c r="I59" i="1"/>
  <c r="CX86" i="3"/>
  <c r="CX85" i="3"/>
  <c r="CX89" i="3"/>
  <c r="CX84" i="3"/>
  <c r="CX88" i="3"/>
  <c r="CX87" i="3"/>
  <c r="I54" i="1"/>
  <c r="I55" i="1"/>
  <c r="S55" i="1" s="1"/>
  <c r="CX78" i="3"/>
  <c r="CX82" i="3"/>
  <c r="CX81" i="3"/>
  <c r="CX80" i="3"/>
  <c r="CX79" i="3"/>
  <c r="CX83" i="3"/>
  <c r="CS50" i="1"/>
  <c r="R50" i="1" s="1"/>
  <c r="GK50" i="1" s="1"/>
  <c r="CQ50" i="1"/>
  <c r="P50" i="1" s="1"/>
  <c r="CP50" i="1" s="1"/>
  <c r="O50" i="1" s="1"/>
  <c r="AB50" i="1"/>
  <c r="U46" i="1"/>
  <c r="CY44" i="1"/>
  <c r="X44" i="1" s="1"/>
  <c r="GM44" i="1" s="1"/>
  <c r="CZ44" i="1"/>
  <c r="Y44" i="1" s="1"/>
  <c r="CY43" i="1"/>
  <c r="X43" i="1" s="1"/>
  <c r="CZ43" i="1"/>
  <c r="Y43" i="1" s="1"/>
  <c r="CZ73" i="1"/>
  <c r="Y73" i="1" s="1"/>
  <c r="CX113" i="3"/>
  <c r="CX117" i="3"/>
  <c r="CX116" i="3"/>
  <c r="CX115" i="3"/>
  <c r="CX114" i="3"/>
  <c r="AB72" i="1"/>
  <c r="CX109" i="3"/>
  <c r="CX108" i="3"/>
  <c r="CX112" i="3"/>
  <c r="CX111" i="3"/>
  <c r="CX110" i="3"/>
  <c r="W66" i="1"/>
  <c r="S66" i="1"/>
  <c r="CZ65" i="1"/>
  <c r="Y65" i="1" s="1"/>
  <c r="AB63" i="1"/>
  <c r="V59" i="1"/>
  <c r="V58" i="1"/>
  <c r="Q58" i="1"/>
  <c r="CY56" i="1"/>
  <c r="X56" i="1" s="1"/>
  <c r="GM56" i="1" s="1"/>
  <c r="P55" i="1"/>
  <c r="CY48" i="1"/>
  <c r="X48" i="1" s="1"/>
  <c r="CZ48" i="1"/>
  <c r="Y48" i="1" s="1"/>
  <c r="CY45" i="1"/>
  <c r="X45" i="1" s="1"/>
  <c r="CZ45" i="1"/>
  <c r="Y45" i="1" s="1"/>
  <c r="GM45" i="1" s="1"/>
  <c r="GN44" i="1"/>
  <c r="CY42" i="1"/>
  <c r="X42" i="1" s="1"/>
  <c r="CZ42" i="1"/>
  <c r="Y42" i="1" s="1"/>
  <c r="P58" i="1"/>
  <c r="T53" i="1"/>
  <c r="AB53" i="1"/>
  <c r="P52" i="1"/>
  <c r="CP52" i="1" s="1"/>
  <c r="O52" i="1" s="1"/>
  <c r="AD49" i="1"/>
  <c r="CR49" i="1" s="1"/>
  <c r="T48" i="1"/>
  <c r="AB48" i="1"/>
  <c r="P47" i="1"/>
  <c r="CP47" i="1" s="1"/>
  <c r="O47" i="1" s="1"/>
  <c r="AD43" i="1"/>
  <c r="CR43" i="1" s="1"/>
  <c r="Q43" i="1" s="1"/>
  <c r="CP43" i="1" s="1"/>
  <c r="O43" i="1" s="1"/>
  <c r="P42" i="1"/>
  <c r="CY41" i="1"/>
  <c r="X41" i="1" s="1"/>
  <c r="AD38" i="1"/>
  <c r="CR35" i="1"/>
  <c r="Q35" i="1" s="1"/>
  <c r="AB35" i="1"/>
  <c r="CZ33" i="1"/>
  <c r="Y33" i="1" s="1"/>
  <c r="CY33" i="1"/>
  <c r="X33" i="1" s="1"/>
  <c r="GN33" i="1" s="1"/>
  <c r="CP29" i="1"/>
  <c r="O29" i="1" s="1"/>
  <c r="CY28" i="1"/>
  <c r="X28" i="1" s="1"/>
  <c r="CZ28" i="1"/>
  <c r="Y28" i="1" s="1"/>
  <c r="AB49" i="1"/>
  <c r="CX66" i="3"/>
  <c r="CX70" i="3"/>
  <c r="CX65" i="3"/>
  <c r="CX69" i="3"/>
  <c r="CX68" i="3"/>
  <c r="CX67" i="3"/>
  <c r="I49" i="1"/>
  <c r="T47" i="1"/>
  <c r="R46" i="1"/>
  <c r="AB43" i="1"/>
  <c r="T42" i="1"/>
  <c r="CZ40" i="1"/>
  <c r="Y40" i="1" s="1"/>
  <c r="GM40" i="1" s="1"/>
  <c r="GM33" i="1"/>
  <c r="CP36" i="1"/>
  <c r="O36" i="1" s="1"/>
  <c r="GN28" i="1"/>
  <c r="P53" i="1"/>
  <c r="CX74" i="3"/>
  <c r="CX73" i="3"/>
  <c r="CX77" i="3"/>
  <c r="CX72" i="3"/>
  <c r="CX76" i="3"/>
  <c r="CX71" i="3"/>
  <c r="CX75" i="3"/>
  <c r="T50" i="1"/>
  <c r="R49" i="1"/>
  <c r="GK49" i="1" s="1"/>
  <c r="P48" i="1"/>
  <c r="CP48" i="1" s="1"/>
  <c r="O48" i="1" s="1"/>
  <c r="AB46" i="1"/>
  <c r="CX58" i="3"/>
  <c r="CX62" i="3"/>
  <c r="CX57" i="3"/>
  <c r="CX61" i="3"/>
  <c r="CX56" i="3"/>
  <c r="CX60" i="3"/>
  <c r="CX64" i="3"/>
  <c r="CX55" i="3"/>
  <c r="CX59" i="3"/>
  <c r="CX63" i="3"/>
  <c r="I46" i="1"/>
  <c r="T46" i="1" s="1"/>
  <c r="AB44" i="1"/>
  <c r="AB41" i="1"/>
  <c r="AD39" i="1"/>
  <c r="CY36" i="1"/>
  <c r="X36" i="1" s="1"/>
  <c r="CY35" i="1"/>
  <c r="X35" i="1" s="1"/>
  <c r="CZ29" i="1"/>
  <c r="Y29" i="1" s="1"/>
  <c r="CY29" i="1"/>
  <c r="X29" i="1" s="1"/>
  <c r="W34" i="1"/>
  <c r="S34" i="1"/>
  <c r="CX18" i="3"/>
  <c r="CX22" i="3"/>
  <c r="CX21" i="3"/>
  <c r="CX20" i="3"/>
  <c r="CX19" i="3"/>
  <c r="CX23" i="3"/>
  <c r="AB32" i="1"/>
  <c r="U30" i="1"/>
  <c r="Q30" i="1"/>
  <c r="CP30" i="1" s="1"/>
  <c r="O30" i="1" s="1"/>
  <c r="CX2" i="3"/>
  <c r="CX1" i="3"/>
  <c r="CX3" i="3"/>
  <c r="CX42" i="3"/>
  <c r="CX44" i="3"/>
  <c r="CX43" i="3"/>
  <c r="CX41" i="3"/>
  <c r="CX40" i="3"/>
  <c r="CX34" i="3"/>
  <c r="CX38" i="3"/>
  <c r="CX33" i="3"/>
  <c r="CX37" i="3"/>
  <c r="CX32" i="3"/>
  <c r="CX36" i="3"/>
  <c r="CX31" i="3"/>
  <c r="CX35" i="3"/>
  <c r="CX39" i="3"/>
  <c r="CX26" i="3"/>
  <c r="CX30" i="3"/>
  <c r="CX25" i="3"/>
  <c r="CX29" i="3"/>
  <c r="CX28" i="3"/>
  <c r="CX27" i="3"/>
  <c r="CZ32" i="1"/>
  <c r="Y32" i="1" s="1"/>
  <c r="GN32" i="1" s="1"/>
  <c r="CX17" i="3"/>
  <c r="CX16" i="3"/>
  <c r="CX15" i="3"/>
  <c r="GX31" i="1"/>
  <c r="AB31" i="1"/>
  <c r="V30" i="1"/>
  <c r="CZ31" i="1"/>
  <c r="Y31" i="1" s="1"/>
  <c r="GM31" i="1" s="1"/>
  <c r="CX14" i="3"/>
  <c r="CX13" i="3"/>
  <c r="CX12" i="3"/>
  <c r="GX30" i="1"/>
  <c r="T30" i="1"/>
  <c r="CZ30" i="1"/>
  <c r="Y30" i="1" s="1"/>
  <c r="G731" i="5" l="1"/>
  <c r="J352" i="5"/>
  <c r="G730" i="5"/>
  <c r="G16" i="5"/>
  <c r="G17" i="5"/>
  <c r="G620" i="5"/>
  <c r="G18" i="5"/>
  <c r="GM30" i="1"/>
  <c r="GN30" i="1"/>
  <c r="AF139" i="1"/>
  <c r="S152" i="1"/>
  <c r="GO203" i="1"/>
  <c r="GM203" i="1"/>
  <c r="GO199" i="1"/>
  <c r="GM199" i="1"/>
  <c r="GO204" i="1"/>
  <c r="GM204" i="1"/>
  <c r="GM314" i="1"/>
  <c r="GO314" i="1"/>
  <c r="GN43" i="1"/>
  <c r="GM43" i="1"/>
  <c r="GM146" i="1"/>
  <c r="GN146" i="1"/>
  <c r="GN313" i="1"/>
  <c r="CB319" i="1" s="1"/>
  <c r="GM313" i="1"/>
  <c r="GO265" i="1"/>
  <c r="GM265" i="1"/>
  <c r="GM61" i="1"/>
  <c r="GN61" i="1"/>
  <c r="GM76" i="1"/>
  <c r="GN76" i="1"/>
  <c r="GM148" i="1"/>
  <c r="GN148" i="1"/>
  <c r="GO212" i="1"/>
  <c r="GM212" i="1"/>
  <c r="GO268" i="1"/>
  <c r="GM268" i="1"/>
  <c r="AJ306" i="1"/>
  <c r="W319" i="1"/>
  <c r="GM32" i="1"/>
  <c r="Q59" i="1"/>
  <c r="GX59" i="1"/>
  <c r="GN31" i="1"/>
  <c r="T54" i="1"/>
  <c r="U54" i="1"/>
  <c r="GM29" i="1"/>
  <c r="GN29" i="1"/>
  <c r="CP42" i="1"/>
  <c r="O42" i="1" s="1"/>
  <c r="R59" i="1"/>
  <c r="GK59" i="1" s="1"/>
  <c r="P46" i="1"/>
  <c r="W54" i="1"/>
  <c r="S59" i="1"/>
  <c r="Q63" i="1"/>
  <c r="CP63" i="1" s="1"/>
  <c r="O63" i="1" s="1"/>
  <c r="R54" i="1"/>
  <c r="GK54" i="1" s="1"/>
  <c r="T55" i="1"/>
  <c r="CY64" i="1"/>
  <c r="X64" i="1" s="1"/>
  <c r="GM64" i="1" s="1"/>
  <c r="CZ64" i="1"/>
  <c r="Y64" i="1" s="1"/>
  <c r="CY58" i="1"/>
  <c r="X58" i="1" s="1"/>
  <c r="AB39" i="1"/>
  <c r="CR39" i="1"/>
  <c r="Q39" i="1" s="1"/>
  <c r="CP39" i="1" s="1"/>
  <c r="O39" i="1" s="1"/>
  <c r="GM48" i="1"/>
  <c r="GN48" i="1"/>
  <c r="GM28" i="1"/>
  <c r="Q49" i="1"/>
  <c r="CP58" i="1"/>
  <c r="O58" i="1" s="1"/>
  <c r="GX54" i="1"/>
  <c r="CY60" i="1"/>
  <c r="X60" i="1" s="1"/>
  <c r="CZ60" i="1"/>
  <c r="Y60" i="1" s="1"/>
  <c r="CY68" i="1"/>
  <c r="X68" i="1" s="1"/>
  <c r="CZ68" i="1"/>
  <c r="Y68" i="1" s="1"/>
  <c r="GM68" i="1" s="1"/>
  <c r="CY75" i="1"/>
  <c r="X75" i="1" s="1"/>
  <c r="GM75" i="1" s="1"/>
  <c r="CZ75" i="1"/>
  <c r="Y75" i="1" s="1"/>
  <c r="CY50" i="1"/>
  <c r="X50" i="1" s="1"/>
  <c r="U63" i="1"/>
  <c r="GM77" i="1"/>
  <c r="GN77" i="1"/>
  <c r="GN41" i="1"/>
  <c r="GM41" i="1"/>
  <c r="V54" i="1"/>
  <c r="P66" i="1"/>
  <c r="CP66" i="1" s="1"/>
  <c r="O66" i="1" s="1"/>
  <c r="GX66" i="1"/>
  <c r="R66" i="1"/>
  <c r="GK66" i="1" s="1"/>
  <c r="CP78" i="1"/>
  <c r="O78" i="1" s="1"/>
  <c r="W59" i="1"/>
  <c r="P72" i="1"/>
  <c r="CP72" i="1" s="1"/>
  <c r="O72" i="1" s="1"/>
  <c r="R81" i="1"/>
  <c r="GK81" i="1" s="1"/>
  <c r="R90" i="1"/>
  <c r="GK90" i="1" s="1"/>
  <c r="CZ93" i="1"/>
  <c r="Y93" i="1" s="1"/>
  <c r="CY93" i="1"/>
  <c r="X93" i="1" s="1"/>
  <c r="GM95" i="1"/>
  <c r="GN95" i="1"/>
  <c r="GM101" i="1"/>
  <c r="GN101" i="1"/>
  <c r="P59" i="1"/>
  <c r="Q87" i="1"/>
  <c r="CP97" i="1"/>
  <c r="O97" i="1" s="1"/>
  <c r="Q99" i="1"/>
  <c r="AT26" i="1"/>
  <c r="F126" i="1"/>
  <c r="U59" i="1"/>
  <c r="U66" i="1"/>
  <c r="CP80" i="1"/>
  <c r="O80" i="1" s="1"/>
  <c r="V87" i="1"/>
  <c r="R93" i="1"/>
  <c r="GK93" i="1" s="1"/>
  <c r="R99" i="1"/>
  <c r="GK99" i="1" s="1"/>
  <c r="AU26" i="1"/>
  <c r="F127" i="1"/>
  <c r="GN56" i="1"/>
  <c r="CP71" i="1"/>
  <c r="O71" i="1" s="1"/>
  <c r="CP82" i="1"/>
  <c r="O82" i="1" s="1"/>
  <c r="GX81" i="1"/>
  <c r="CY84" i="1"/>
  <c r="X84" i="1" s="1"/>
  <c r="GM84" i="1" s="1"/>
  <c r="P90" i="1"/>
  <c r="P99" i="1"/>
  <c r="CP99" i="1" s="1"/>
  <c r="O99" i="1" s="1"/>
  <c r="CY82" i="1"/>
  <c r="X82" i="1" s="1"/>
  <c r="P87" i="1"/>
  <c r="CP87" i="1" s="1"/>
  <c r="O87" i="1" s="1"/>
  <c r="P96" i="1"/>
  <c r="W103" i="1"/>
  <c r="AU139" i="1"/>
  <c r="F171" i="1"/>
  <c r="CY104" i="1"/>
  <c r="X104" i="1" s="1"/>
  <c r="GN104" i="1" s="1"/>
  <c r="GN85" i="1"/>
  <c r="GM85" i="1"/>
  <c r="S90" i="1"/>
  <c r="W96" i="1"/>
  <c r="GK142" i="1"/>
  <c r="CZ142" i="1"/>
  <c r="Y142" i="1" s="1"/>
  <c r="BC139" i="1"/>
  <c r="F168" i="1"/>
  <c r="CY188" i="1"/>
  <c r="X188" i="1" s="1"/>
  <c r="GK192" i="1"/>
  <c r="CZ192" i="1"/>
  <c r="Y192" i="1" s="1"/>
  <c r="GM192" i="1" s="1"/>
  <c r="CY195" i="1"/>
  <c r="X195" i="1" s="1"/>
  <c r="CZ195" i="1"/>
  <c r="Y195" i="1" s="1"/>
  <c r="GM218" i="1"/>
  <c r="GO218" i="1"/>
  <c r="GP225" i="1"/>
  <c r="GM225" i="1"/>
  <c r="GK186" i="1"/>
  <c r="AE228" i="1"/>
  <c r="CP190" i="1"/>
  <c r="O190" i="1" s="1"/>
  <c r="AC228" i="1"/>
  <c r="AI183" i="1"/>
  <c r="V228" i="1"/>
  <c r="BZ262" i="1"/>
  <c r="AQ275" i="1"/>
  <c r="CG275" i="1"/>
  <c r="CI183" i="1"/>
  <c r="AZ228" i="1"/>
  <c r="BC183" i="1"/>
  <c r="F244" i="1"/>
  <c r="GM202" i="1"/>
  <c r="AJ262" i="1"/>
  <c r="W275" i="1"/>
  <c r="P311" i="1"/>
  <c r="GO198" i="1"/>
  <c r="GO310" i="1"/>
  <c r="CY310" i="1"/>
  <c r="X310" i="1" s="1"/>
  <c r="GM310" i="1" s="1"/>
  <c r="CG306" i="1"/>
  <c r="AX319" i="1"/>
  <c r="AB275" i="1"/>
  <c r="GM264" i="1"/>
  <c r="GO264" i="1"/>
  <c r="AF262" i="1"/>
  <c r="S275" i="1"/>
  <c r="GM267" i="1"/>
  <c r="F338" i="1"/>
  <c r="AU306" i="1"/>
  <c r="GX311" i="1"/>
  <c r="CJ319" i="1" s="1"/>
  <c r="R275" i="1"/>
  <c r="AE262" i="1"/>
  <c r="GO316" i="1"/>
  <c r="GM316" i="1"/>
  <c r="U55" i="1"/>
  <c r="Q55" i="1"/>
  <c r="CP55" i="1" s="1"/>
  <c r="O55" i="1" s="1"/>
  <c r="W55" i="1"/>
  <c r="GM62" i="1"/>
  <c r="GN62" i="1"/>
  <c r="CZ54" i="1"/>
  <c r="Y54" i="1" s="1"/>
  <c r="CY54" i="1"/>
  <c r="X54" i="1" s="1"/>
  <c r="GM73" i="1"/>
  <c r="GN73" i="1"/>
  <c r="T59" i="1"/>
  <c r="GM60" i="1"/>
  <c r="GN60" i="1"/>
  <c r="GN91" i="1"/>
  <c r="GM91" i="1"/>
  <c r="AX26" i="1"/>
  <c r="F115" i="1"/>
  <c r="CZ52" i="1"/>
  <c r="Y52" i="1" s="1"/>
  <c r="V55" i="1"/>
  <c r="BC26" i="1"/>
  <c r="F124" i="1"/>
  <c r="BC348" i="1"/>
  <c r="CZ83" i="1"/>
  <c r="Y83" i="1" s="1"/>
  <c r="T90" i="1"/>
  <c r="CZ143" i="1"/>
  <c r="Y143" i="1" s="1"/>
  <c r="AL152" i="1" s="1"/>
  <c r="GX143" i="1"/>
  <c r="CJ152" i="1" s="1"/>
  <c r="W87" i="1"/>
  <c r="T96" i="1"/>
  <c r="GM141" i="1"/>
  <c r="GN141" i="1"/>
  <c r="GM149" i="1"/>
  <c r="GN149" i="1"/>
  <c r="GX103" i="1"/>
  <c r="R143" i="1"/>
  <c r="CY185" i="1"/>
  <c r="X185" i="1" s="1"/>
  <c r="CZ185" i="1"/>
  <c r="Y185" i="1" s="1"/>
  <c r="AF228" i="1"/>
  <c r="CZ190" i="1"/>
  <c r="Y190" i="1" s="1"/>
  <c r="CY190" i="1"/>
  <c r="X190" i="1" s="1"/>
  <c r="GM147" i="1"/>
  <c r="GN147" i="1"/>
  <c r="GO187" i="1"/>
  <c r="GM187" i="1"/>
  <c r="GO207" i="1"/>
  <c r="GM207" i="1"/>
  <c r="GO220" i="1"/>
  <c r="GM220" i="1"/>
  <c r="CY217" i="1"/>
  <c r="X217" i="1" s="1"/>
  <c r="CZ217" i="1"/>
  <c r="Y217" i="1" s="1"/>
  <c r="CJ183" i="1"/>
  <c r="BA228" i="1"/>
  <c r="CP217" i="1"/>
  <c r="O217" i="1" s="1"/>
  <c r="CD262" i="1"/>
  <c r="AU275" i="1"/>
  <c r="AQ183" i="1"/>
  <c r="F238" i="1"/>
  <c r="GO200" i="1"/>
  <c r="GM200" i="1"/>
  <c r="GM213" i="1"/>
  <c r="GO272" i="1"/>
  <c r="GM272" i="1"/>
  <c r="AG183" i="1"/>
  <c r="T228" i="1"/>
  <c r="F292" i="1"/>
  <c r="AS262" i="1"/>
  <c r="R311" i="1"/>
  <c r="F328" i="1"/>
  <c r="AP306" i="1"/>
  <c r="GO315" i="1"/>
  <c r="V275" i="1"/>
  <c r="AI262" i="1"/>
  <c r="AQ306" i="1"/>
  <c r="F329" i="1"/>
  <c r="CH275" i="1"/>
  <c r="AC262" i="1"/>
  <c r="CF275" i="1"/>
  <c r="P275" i="1"/>
  <c r="CE275" i="1"/>
  <c r="GM271" i="1"/>
  <c r="GO271" i="1"/>
  <c r="AD275" i="1"/>
  <c r="Q311" i="1"/>
  <c r="U49" i="1"/>
  <c r="T49" i="1"/>
  <c r="AG108" i="1" s="1"/>
  <c r="GM47" i="1"/>
  <c r="GN47" i="1"/>
  <c r="CZ34" i="1"/>
  <c r="Y34" i="1" s="1"/>
  <c r="CY34" i="1"/>
  <c r="X34" i="1" s="1"/>
  <c r="GK46" i="1"/>
  <c r="AE108" i="1"/>
  <c r="CY69" i="1"/>
  <c r="X69" i="1" s="1"/>
  <c r="GN69" i="1" s="1"/>
  <c r="CZ69" i="1"/>
  <c r="Y69" i="1" s="1"/>
  <c r="S49" i="1"/>
  <c r="GM35" i="1"/>
  <c r="GN35" i="1"/>
  <c r="P49" i="1"/>
  <c r="CP49" i="1" s="1"/>
  <c r="O49" i="1" s="1"/>
  <c r="Q54" i="1"/>
  <c r="CP54" i="1" s="1"/>
  <c r="O54" i="1" s="1"/>
  <c r="T57" i="1"/>
  <c r="T63" i="1"/>
  <c r="GX63" i="1"/>
  <c r="R63" i="1"/>
  <c r="GK63" i="1" s="1"/>
  <c r="T72" i="1"/>
  <c r="GX72" i="1"/>
  <c r="R72" i="1"/>
  <c r="GK72" i="1" s="1"/>
  <c r="GN68" i="1"/>
  <c r="GM74" i="1"/>
  <c r="GN74" i="1"/>
  <c r="GM79" i="1"/>
  <c r="GX87" i="1"/>
  <c r="GX55" i="1"/>
  <c r="W63" i="1"/>
  <c r="BB26" i="1"/>
  <c r="F121" i="1"/>
  <c r="BB348" i="1"/>
  <c r="CY52" i="1"/>
  <c r="X52" i="1" s="1"/>
  <c r="GM52" i="1" s="1"/>
  <c r="P57" i="1"/>
  <c r="CP57" i="1" s="1"/>
  <c r="O57" i="1" s="1"/>
  <c r="V63" i="1"/>
  <c r="GN67" i="1"/>
  <c r="CI26" i="1"/>
  <c r="AZ108" i="1"/>
  <c r="Q57" i="1"/>
  <c r="GM70" i="1"/>
  <c r="GN70" i="1"/>
  <c r="Q90" i="1"/>
  <c r="Q96" i="1"/>
  <c r="CY83" i="1"/>
  <c r="X83" i="1" s="1"/>
  <c r="GN83" i="1" s="1"/>
  <c r="P103" i="1"/>
  <c r="CG139" i="1"/>
  <c r="AX152" i="1"/>
  <c r="GM92" i="1"/>
  <c r="GN92" i="1"/>
  <c r="CP93" i="1"/>
  <c r="O93" i="1" s="1"/>
  <c r="S103" i="1"/>
  <c r="BY139" i="1"/>
  <c r="CI152" i="1"/>
  <c r="AP152" i="1"/>
  <c r="GM150" i="1"/>
  <c r="GN150" i="1"/>
  <c r="V143" i="1"/>
  <c r="AI152" i="1" s="1"/>
  <c r="AJ183" i="1"/>
  <c r="W228" i="1"/>
  <c r="U143" i="1"/>
  <c r="AH152" i="1" s="1"/>
  <c r="GO188" i="1"/>
  <c r="GM188" i="1"/>
  <c r="W143" i="1"/>
  <c r="AJ152" i="1" s="1"/>
  <c r="GM214" i="1"/>
  <c r="GO214" i="1"/>
  <c r="GO221" i="1"/>
  <c r="GM221" i="1"/>
  <c r="T143" i="1"/>
  <c r="AG152" i="1" s="1"/>
  <c r="AD228" i="1"/>
  <c r="AB212" i="1"/>
  <c r="GO194" i="1"/>
  <c r="GO210" i="1"/>
  <c r="GM210" i="1"/>
  <c r="GM223" i="1"/>
  <c r="GP223" i="1"/>
  <c r="CG183" i="1"/>
  <c r="AX228" i="1"/>
  <c r="GM312" i="1"/>
  <c r="GO312" i="1"/>
  <c r="GM197" i="1"/>
  <c r="GO197" i="1"/>
  <c r="GM201" i="1"/>
  <c r="GO201" i="1"/>
  <c r="CZ222" i="1"/>
  <c r="Y222" i="1" s="1"/>
  <c r="GM193" i="1"/>
  <c r="GO193" i="1"/>
  <c r="CI262" i="1"/>
  <c r="AZ275" i="1"/>
  <c r="V311" i="1"/>
  <c r="AI319" i="1" s="1"/>
  <c r="BB306" i="1"/>
  <c r="F332" i="1"/>
  <c r="AZ319" i="1"/>
  <c r="CI306" i="1"/>
  <c r="AH262" i="1"/>
  <c r="U275" i="1"/>
  <c r="GO269" i="1"/>
  <c r="GM269" i="1"/>
  <c r="GO273" i="1"/>
  <c r="GM273" i="1"/>
  <c r="GM309" i="1"/>
  <c r="AL275" i="1"/>
  <c r="GM266" i="1"/>
  <c r="GO266" i="1"/>
  <c r="T311" i="1"/>
  <c r="AG319" i="1" s="1"/>
  <c r="AB38" i="1"/>
  <c r="CR38" i="1"/>
  <c r="Q38" i="1" s="1"/>
  <c r="CP38" i="1" s="1"/>
  <c r="O38" i="1" s="1"/>
  <c r="CJ108" i="1"/>
  <c r="V49" i="1"/>
  <c r="GN36" i="1"/>
  <c r="GM36" i="1"/>
  <c r="CP34" i="1"/>
  <c r="O34" i="1" s="1"/>
  <c r="CY57" i="1"/>
  <c r="X57" i="1" s="1"/>
  <c r="CZ57" i="1"/>
  <c r="Y57" i="1" s="1"/>
  <c r="V57" i="1"/>
  <c r="W46" i="1"/>
  <c r="S46" i="1"/>
  <c r="GX46" i="1"/>
  <c r="CP53" i="1"/>
  <c r="O53" i="1" s="1"/>
  <c r="V46" i="1"/>
  <c r="AI108" i="1" s="1"/>
  <c r="GX49" i="1"/>
  <c r="W49" i="1"/>
  <c r="CZ50" i="1"/>
  <c r="Y50" i="1" s="1"/>
  <c r="GM50" i="1" s="1"/>
  <c r="CY71" i="1"/>
  <c r="X71" i="1" s="1"/>
  <c r="CZ71" i="1"/>
  <c r="Y71" i="1" s="1"/>
  <c r="GN37" i="1"/>
  <c r="GM37" i="1"/>
  <c r="CP65" i="1"/>
  <c r="O65" i="1" s="1"/>
  <c r="S63" i="1"/>
  <c r="CY79" i="1"/>
  <c r="X79" i="1" s="1"/>
  <c r="GN79" i="1" s="1"/>
  <c r="CY81" i="1"/>
  <c r="X81" i="1" s="1"/>
  <c r="GM89" i="1"/>
  <c r="GN89" i="1"/>
  <c r="U57" i="1"/>
  <c r="AH108" i="1" s="1"/>
  <c r="AP26" i="1"/>
  <c r="F117" i="1"/>
  <c r="W57" i="1"/>
  <c r="AJ108" i="1" s="1"/>
  <c r="R87" i="1"/>
  <c r="GK87" i="1" s="1"/>
  <c r="GX90" i="1"/>
  <c r="GX96" i="1"/>
  <c r="AQ26" i="1"/>
  <c r="F118" i="1"/>
  <c r="AQ348" i="1"/>
  <c r="R55" i="1"/>
  <c r="GK55" i="1" s="1"/>
  <c r="W72" i="1"/>
  <c r="CP81" i="1"/>
  <c r="O81" i="1" s="1"/>
  <c r="GM88" i="1"/>
  <c r="GN88" i="1"/>
  <c r="GM94" i="1"/>
  <c r="GN94" i="1"/>
  <c r="GM100" i="1"/>
  <c r="GN100" i="1"/>
  <c r="CZ84" i="1"/>
  <c r="Y84" i="1" s="1"/>
  <c r="GN84" i="1" s="1"/>
  <c r="U87" i="1"/>
  <c r="S96" i="1"/>
  <c r="U103" i="1"/>
  <c r="AO139" i="1"/>
  <c r="F156" i="1"/>
  <c r="AO348" i="1"/>
  <c r="CZ82" i="1"/>
  <c r="Y82" i="1" s="1"/>
  <c r="Q103" i="1"/>
  <c r="AD108" i="1" s="1"/>
  <c r="W90" i="1"/>
  <c r="GN102" i="1"/>
  <c r="GM102" i="1"/>
  <c r="CZ104" i="1"/>
  <c r="Y104" i="1" s="1"/>
  <c r="Q143" i="1"/>
  <c r="AD152" i="1" s="1"/>
  <c r="CZ79" i="1"/>
  <c r="Y79" i="1" s="1"/>
  <c r="T87" i="1"/>
  <c r="CP142" i="1"/>
  <c r="O142" i="1" s="1"/>
  <c r="GM144" i="1"/>
  <c r="GN144" i="1"/>
  <c r="CZ186" i="1"/>
  <c r="Y186" i="1" s="1"/>
  <c r="CY186" i="1"/>
  <c r="X186" i="1" s="1"/>
  <c r="CZ191" i="1"/>
  <c r="Y191" i="1" s="1"/>
  <c r="CY191" i="1"/>
  <c r="X191" i="1" s="1"/>
  <c r="GN191" i="1" s="1"/>
  <c r="GM145" i="1"/>
  <c r="GN145" i="1"/>
  <c r="CP185" i="1"/>
  <c r="O185" i="1" s="1"/>
  <c r="CP186" i="1"/>
  <c r="O186" i="1" s="1"/>
  <c r="GM216" i="1"/>
  <c r="GO216" i="1"/>
  <c r="P143" i="1"/>
  <c r="CP143" i="1" s="1"/>
  <c r="O143" i="1" s="1"/>
  <c r="AQ139" i="1"/>
  <c r="F162" i="1"/>
  <c r="AH228" i="1"/>
  <c r="CY215" i="1"/>
  <c r="X215" i="1" s="1"/>
  <c r="GO215" i="1" s="1"/>
  <c r="CZ215" i="1"/>
  <c r="Y215" i="1" s="1"/>
  <c r="CY219" i="1"/>
  <c r="X219" i="1" s="1"/>
  <c r="CZ219" i="1"/>
  <c r="Y219" i="1" s="1"/>
  <c r="GO195" i="1"/>
  <c r="GM195" i="1"/>
  <c r="GO208" i="1"/>
  <c r="GM208" i="1"/>
  <c r="GO211" i="1"/>
  <c r="GM211" i="1"/>
  <c r="GM224" i="1"/>
  <c r="GP224" i="1"/>
  <c r="CP219" i="1"/>
  <c r="O219" i="1" s="1"/>
  <c r="CY222" i="1"/>
  <c r="X222" i="1" s="1"/>
  <c r="GM222" i="1" s="1"/>
  <c r="GO196" i="1"/>
  <c r="GM196" i="1"/>
  <c r="AD319" i="1"/>
  <c r="AG262" i="1"/>
  <c r="T275" i="1"/>
  <c r="U311" i="1"/>
  <c r="AH319" i="1" s="1"/>
  <c r="GM317" i="1"/>
  <c r="GO317" i="1"/>
  <c r="CJ262" i="1"/>
  <c r="BA275" i="1"/>
  <c r="AK275" i="1"/>
  <c r="S311" i="1"/>
  <c r="CP308" i="1"/>
  <c r="O308" i="1" s="1"/>
  <c r="CZ315" i="1"/>
  <c r="Y315" i="1" s="1"/>
  <c r="CY315" i="1"/>
  <c r="X315" i="1" s="1"/>
  <c r="GM315" i="1" s="1"/>
  <c r="AG26" i="1" l="1"/>
  <c r="T108" i="1"/>
  <c r="AH26" i="1"/>
  <c r="U108" i="1"/>
  <c r="GM55" i="1"/>
  <c r="AD26" i="1"/>
  <c r="Q108" i="1"/>
  <c r="AJ26" i="1"/>
  <c r="W108" i="1"/>
  <c r="AG306" i="1"/>
  <c r="T319" i="1"/>
  <c r="AI26" i="1"/>
  <c r="V108" i="1"/>
  <c r="GN54" i="1"/>
  <c r="GM54" i="1"/>
  <c r="AL139" i="1"/>
  <c r="Y152" i="1"/>
  <c r="GM308" i="1"/>
  <c r="GO308" i="1"/>
  <c r="T262" i="1"/>
  <c r="F296" i="1"/>
  <c r="GM142" i="1"/>
  <c r="GN142" i="1"/>
  <c r="GN53" i="1"/>
  <c r="GM53" i="1"/>
  <c r="GM34" i="1"/>
  <c r="GN34" i="1"/>
  <c r="GN93" i="1"/>
  <c r="GM93" i="1"/>
  <c r="AZ26" i="1"/>
  <c r="F119" i="1"/>
  <c r="CZ311" i="1"/>
  <c r="Y311" i="1" s="1"/>
  <c r="AL319" i="1" s="1"/>
  <c r="CY311" i="1"/>
  <c r="X311" i="1" s="1"/>
  <c r="AK319" i="1" s="1"/>
  <c r="AF319" i="1"/>
  <c r="Q319" i="1"/>
  <c r="AD306" i="1"/>
  <c r="GN185" i="1"/>
  <c r="AB228" i="1"/>
  <c r="GM185" i="1"/>
  <c r="AO22" i="1"/>
  <c r="AO380" i="1"/>
  <c r="F352" i="1"/>
  <c r="CY96" i="1"/>
  <c r="X96" i="1" s="1"/>
  <c r="CZ96" i="1"/>
  <c r="Y96" i="1" s="1"/>
  <c r="CZ63" i="1"/>
  <c r="Y63" i="1" s="1"/>
  <c r="CY63" i="1"/>
  <c r="X63" i="1" s="1"/>
  <c r="GN63" i="1" s="1"/>
  <c r="BA262" i="1"/>
  <c r="F295" i="1"/>
  <c r="AH306" i="1"/>
  <c r="U319" i="1"/>
  <c r="AH183" i="1"/>
  <c r="U228" i="1"/>
  <c r="AC152" i="1"/>
  <c r="AD139" i="1"/>
  <c r="Q152" i="1"/>
  <c r="CZ81" i="1"/>
  <c r="Y81" i="1" s="1"/>
  <c r="GN81" i="1" s="1"/>
  <c r="GM65" i="1"/>
  <c r="GN65" i="1"/>
  <c r="F297" i="1"/>
  <c r="U262" i="1"/>
  <c r="CD228" i="1"/>
  <c r="AJ139" i="1"/>
  <c r="W152" i="1"/>
  <c r="W183" i="1"/>
  <c r="F252" i="1"/>
  <c r="CY103" i="1"/>
  <c r="X103" i="1" s="1"/>
  <c r="CZ103" i="1"/>
  <c r="Y103" i="1" s="1"/>
  <c r="AX139" i="1"/>
  <c r="F159" i="1"/>
  <c r="GN50" i="1"/>
  <c r="Q275" i="1"/>
  <c r="AD262" i="1"/>
  <c r="P262" i="1"/>
  <c r="F278" i="1"/>
  <c r="GK311" i="1"/>
  <c r="AE319" i="1"/>
  <c r="AU262" i="1"/>
  <c r="F294" i="1"/>
  <c r="GK143" i="1"/>
  <c r="AE152" i="1"/>
  <c r="GM104" i="1"/>
  <c r="CY143" i="1"/>
  <c r="X143" i="1" s="1"/>
  <c r="AK152" i="1" s="1"/>
  <c r="BC22" i="1"/>
  <c r="F364" i="1"/>
  <c r="BC380" i="1"/>
  <c r="F326" i="1"/>
  <c r="AX306" i="1"/>
  <c r="AZ183" i="1"/>
  <c r="F239" i="1"/>
  <c r="GN190" i="1"/>
  <c r="GM190" i="1"/>
  <c r="GM78" i="1"/>
  <c r="GN78" i="1"/>
  <c r="GM58" i="1"/>
  <c r="GN58" i="1"/>
  <c r="GM69" i="1"/>
  <c r="GO192" i="1"/>
  <c r="GN64" i="1"/>
  <c r="GO222" i="1"/>
  <c r="GM191" i="1"/>
  <c r="CZ55" i="1"/>
  <c r="Y55" i="1" s="1"/>
  <c r="AE26" i="1"/>
  <c r="R108" i="1"/>
  <c r="AF183" i="1"/>
  <c r="S228" i="1"/>
  <c r="AB152" i="1"/>
  <c r="CC275" i="1"/>
  <c r="V183" i="1"/>
  <c r="F251" i="1"/>
  <c r="AE183" i="1"/>
  <c r="R228" i="1"/>
  <c r="CP96" i="1"/>
  <c r="O96" i="1" s="1"/>
  <c r="GN82" i="1"/>
  <c r="GM82" i="1"/>
  <c r="GN97" i="1"/>
  <c r="GM97" i="1"/>
  <c r="CY66" i="1"/>
  <c r="X66" i="1" s="1"/>
  <c r="GM66" i="1" s="1"/>
  <c r="GM39" i="1"/>
  <c r="GN39" i="1"/>
  <c r="CZ59" i="1"/>
  <c r="Y59" i="1" s="1"/>
  <c r="CY59" i="1"/>
  <c r="X59" i="1" s="1"/>
  <c r="AC108" i="1"/>
  <c r="CY55" i="1"/>
  <c r="X55" i="1" s="1"/>
  <c r="GN55" i="1" s="1"/>
  <c r="CJ26" i="1"/>
  <c r="BA108" i="1"/>
  <c r="AP139" i="1"/>
  <c r="F161" i="1"/>
  <c r="GO186" i="1"/>
  <c r="GM186" i="1"/>
  <c r="AP348" i="1"/>
  <c r="GN38" i="1"/>
  <c r="GM38" i="1"/>
  <c r="AL262" i="1"/>
  <c r="Y275" i="1"/>
  <c r="AI306" i="1"/>
  <c r="V319" i="1"/>
  <c r="AX183" i="1"/>
  <c r="F235" i="1"/>
  <c r="AD183" i="1"/>
  <c r="Q228" i="1"/>
  <c r="AI139" i="1"/>
  <c r="V152" i="1"/>
  <c r="CI139" i="1"/>
  <c r="AZ152" i="1"/>
  <c r="AZ348" i="1" s="1"/>
  <c r="CP103" i="1"/>
  <c r="O103" i="1" s="1"/>
  <c r="CZ49" i="1"/>
  <c r="Y49" i="1" s="1"/>
  <c r="GN49" i="1" s="1"/>
  <c r="CY49" i="1"/>
  <c r="X49" i="1" s="1"/>
  <c r="GO217" i="1"/>
  <c r="GM217" i="1"/>
  <c r="AL228" i="1"/>
  <c r="GM83" i="1"/>
  <c r="CY87" i="1"/>
  <c r="X87" i="1" s="1"/>
  <c r="GN87" i="1" s="1"/>
  <c r="R262" i="1"/>
  <c r="F289" i="1"/>
  <c r="CA275" i="1"/>
  <c r="CP311" i="1"/>
  <c r="O311" i="1" s="1"/>
  <c r="AB319" i="1" s="1"/>
  <c r="AC319" i="1"/>
  <c r="AX275" i="1"/>
  <c r="CG262" i="1"/>
  <c r="CY90" i="1"/>
  <c r="X90" i="1" s="1"/>
  <c r="CZ90" i="1"/>
  <c r="Y90" i="1" s="1"/>
  <c r="CP90" i="1"/>
  <c r="O90" i="1" s="1"/>
  <c r="GM71" i="1"/>
  <c r="GN71" i="1"/>
  <c r="GM80" i="1"/>
  <c r="GN80" i="1"/>
  <c r="CY99" i="1"/>
  <c r="X99" i="1" s="1"/>
  <c r="GN99" i="1" s="1"/>
  <c r="CZ66" i="1"/>
  <c r="Y66" i="1" s="1"/>
  <c r="GM42" i="1"/>
  <c r="GN42" i="1"/>
  <c r="GN52" i="1"/>
  <c r="W306" i="1"/>
  <c r="F343" i="1"/>
  <c r="CY72" i="1"/>
  <c r="X72" i="1" s="1"/>
  <c r="GN72" i="1" s="1"/>
  <c r="CB306" i="1"/>
  <c r="AS319" i="1"/>
  <c r="GN75" i="1"/>
  <c r="GM215" i="1"/>
  <c r="S139" i="1"/>
  <c r="F167" i="1"/>
  <c r="GN57" i="1"/>
  <c r="GM57" i="1"/>
  <c r="CF262" i="1"/>
  <c r="AW275" i="1"/>
  <c r="X275" i="1"/>
  <c r="AK262" i="1"/>
  <c r="GO219" i="1"/>
  <c r="GM219" i="1"/>
  <c r="AQ22" i="1"/>
  <c r="F358" i="1"/>
  <c r="AQ380" i="1"/>
  <c r="CZ46" i="1"/>
  <c r="Y46" i="1" s="1"/>
  <c r="AL108" i="1" s="1"/>
  <c r="CY46" i="1"/>
  <c r="X46" i="1" s="1"/>
  <c r="AZ306" i="1"/>
  <c r="F330" i="1"/>
  <c r="AZ262" i="1"/>
  <c r="F286" i="1"/>
  <c r="AG139" i="1"/>
  <c r="T152" i="1"/>
  <c r="AH139" i="1"/>
  <c r="U152" i="1"/>
  <c r="BB22" i="1"/>
  <c r="F361" i="1"/>
  <c r="BB380" i="1"/>
  <c r="GM49" i="1"/>
  <c r="AF108" i="1"/>
  <c r="CE262" i="1"/>
  <c r="AV275" i="1"/>
  <c r="CH262" i="1"/>
  <c r="AY275" i="1"/>
  <c r="V262" i="1"/>
  <c r="F298" i="1"/>
  <c r="T183" i="1"/>
  <c r="F249" i="1"/>
  <c r="BA183" i="1"/>
  <c r="F248" i="1"/>
  <c r="AK228" i="1"/>
  <c r="CJ139" i="1"/>
  <c r="BA152" i="1"/>
  <c r="CZ87" i="1"/>
  <c r="Y87" i="1" s="1"/>
  <c r="BA319" i="1"/>
  <c r="CJ306" i="1"/>
  <c r="F290" i="1"/>
  <c r="S262" i="1"/>
  <c r="AB262" i="1"/>
  <c r="O275" i="1"/>
  <c r="F299" i="1"/>
  <c r="W262" i="1"/>
  <c r="AQ262" i="1"/>
  <c r="F285" i="1"/>
  <c r="AC183" i="1"/>
  <c r="CE228" i="1"/>
  <c r="P228" i="1"/>
  <c r="CF228" i="1"/>
  <c r="CH228" i="1"/>
  <c r="CP59" i="1"/>
  <c r="O59" i="1" s="1"/>
  <c r="CZ99" i="1"/>
  <c r="Y99" i="1" s="1"/>
  <c r="GN66" i="1"/>
  <c r="CP46" i="1"/>
  <c r="O46" i="1" s="1"/>
  <c r="CZ72" i="1"/>
  <c r="Y72" i="1" s="1"/>
  <c r="AL26" i="1" l="1"/>
  <c r="Y108" i="1"/>
  <c r="AZ22" i="1"/>
  <c r="F359" i="1"/>
  <c r="AZ380" i="1"/>
  <c r="O319" i="1"/>
  <c r="AB306" i="1"/>
  <c r="AF26" i="1"/>
  <c r="S108" i="1"/>
  <c r="T139" i="1"/>
  <c r="F173" i="1"/>
  <c r="GN90" i="1"/>
  <c r="GM90" i="1"/>
  <c r="R183" i="1"/>
  <c r="F242" i="1"/>
  <c r="R26" i="1"/>
  <c r="F122" i="1"/>
  <c r="R348" i="1"/>
  <c r="BA306" i="1"/>
  <c r="F339" i="1"/>
  <c r="GM87" i="1"/>
  <c r="CC228" i="1"/>
  <c r="GM99" i="1"/>
  <c r="AK139" i="1"/>
  <c r="X152" i="1"/>
  <c r="Q262" i="1"/>
  <c r="F287" i="1"/>
  <c r="W139" i="1"/>
  <c r="F176" i="1"/>
  <c r="GM81" i="1"/>
  <c r="CB228" i="1"/>
  <c r="GN46" i="1"/>
  <c r="GM46" i="1"/>
  <c r="CA108" i="1" s="1"/>
  <c r="GM59" i="1"/>
  <c r="GN59" i="1"/>
  <c r="CE183" i="1"/>
  <c r="AV228" i="1"/>
  <c r="AV262" i="1"/>
  <c r="F280" i="1"/>
  <c r="U139" i="1"/>
  <c r="F174" i="1"/>
  <c r="AK108" i="1"/>
  <c r="X262" i="1"/>
  <c r="F300" i="1"/>
  <c r="GM72" i="1"/>
  <c r="AX262" i="1"/>
  <c r="F282" i="1"/>
  <c r="AX348" i="1"/>
  <c r="S183" i="1"/>
  <c r="F243" i="1"/>
  <c r="BC18" i="1"/>
  <c r="F396" i="1"/>
  <c r="U183" i="1"/>
  <c r="F250" i="1"/>
  <c r="GM143" i="1"/>
  <c r="CA152" i="1" s="1"/>
  <c r="AF306" i="1"/>
  <c r="S319" i="1"/>
  <c r="CB108" i="1"/>
  <c r="GM63" i="1"/>
  <c r="U26" i="1"/>
  <c r="F130" i="1"/>
  <c r="U348" i="1"/>
  <c r="GN103" i="1"/>
  <c r="GM103" i="1"/>
  <c r="AB108" i="1"/>
  <c r="P183" i="1"/>
  <c r="F231" i="1"/>
  <c r="CH183" i="1"/>
  <c r="AY228" i="1"/>
  <c r="BA139" i="1"/>
  <c r="F172" i="1"/>
  <c r="BB18" i="1"/>
  <c r="F393" i="1"/>
  <c r="AW262" i="1"/>
  <c r="F281" i="1"/>
  <c r="AS306" i="1"/>
  <c r="F336" i="1"/>
  <c r="AC306" i="1"/>
  <c r="CF319" i="1"/>
  <c r="CH319" i="1"/>
  <c r="CE319" i="1"/>
  <c r="P319" i="1"/>
  <c r="AL183" i="1"/>
  <c r="Y228" i="1"/>
  <c r="V139" i="1"/>
  <c r="F175" i="1"/>
  <c r="F301" i="1"/>
  <c r="Y262" i="1"/>
  <c r="AP22" i="1"/>
  <c r="AP380" i="1"/>
  <c r="F357" i="1"/>
  <c r="G16" i="2" s="1"/>
  <c r="G18" i="2" s="1"/>
  <c r="AC26" i="1"/>
  <c r="CH108" i="1"/>
  <c r="CE108" i="1"/>
  <c r="P108" i="1"/>
  <c r="CF108" i="1"/>
  <c r="GN96" i="1"/>
  <c r="GM96" i="1"/>
  <c r="CD183" i="1"/>
  <c r="AU228" i="1"/>
  <c r="Q139" i="1"/>
  <c r="F164" i="1"/>
  <c r="CA228" i="1"/>
  <c r="GN143" i="1"/>
  <c r="CB152" i="1" s="1"/>
  <c r="AK306" i="1"/>
  <c r="X319" i="1"/>
  <c r="Y139" i="1"/>
  <c r="F178" i="1"/>
  <c r="V26" i="1"/>
  <c r="F131" i="1"/>
  <c r="V348" i="1"/>
  <c r="W26" i="1"/>
  <c r="F132" i="1"/>
  <c r="W348" i="1"/>
  <c r="CF183" i="1"/>
  <c r="AW228" i="1"/>
  <c r="AY262" i="1"/>
  <c r="F283" i="1"/>
  <c r="AQ18" i="1"/>
  <c r="F390" i="1"/>
  <c r="GM311" i="1"/>
  <c r="CA319" i="1" s="1"/>
  <c r="GO311" i="1"/>
  <c r="CC319" i="1" s="1"/>
  <c r="AT275" i="1"/>
  <c r="CC262" i="1"/>
  <c r="AE139" i="1"/>
  <c r="R152" i="1"/>
  <c r="R319" i="1"/>
  <c r="AE306" i="1"/>
  <c r="U306" i="1"/>
  <c r="F341" i="1"/>
  <c r="AB183" i="1"/>
  <c r="O228" i="1"/>
  <c r="AL306" i="1"/>
  <c r="Y319" i="1"/>
  <c r="T26" i="1"/>
  <c r="F129" i="1"/>
  <c r="T348" i="1"/>
  <c r="O262" i="1"/>
  <c r="F277" i="1"/>
  <c r="BA26" i="1"/>
  <c r="F128" i="1"/>
  <c r="BA348" i="1"/>
  <c r="AK183" i="1"/>
  <c r="X228" i="1"/>
  <c r="CA262" i="1"/>
  <c r="AR275" i="1"/>
  <c r="AZ139" i="1"/>
  <c r="F163" i="1"/>
  <c r="Q183" i="1"/>
  <c r="F240" i="1"/>
  <c r="V306" i="1"/>
  <c r="F342" i="1"/>
  <c r="AB139" i="1"/>
  <c r="O152" i="1"/>
  <c r="AC139" i="1"/>
  <c r="P152" i="1"/>
  <c r="CE152" i="1"/>
  <c r="CF152" i="1"/>
  <c r="CH152" i="1"/>
  <c r="AO18" i="1"/>
  <c r="F384" i="1"/>
  <c r="Q306" i="1"/>
  <c r="F331" i="1"/>
  <c r="T306" i="1"/>
  <c r="F340" i="1"/>
  <c r="Q26" i="1"/>
  <c r="F120" i="1"/>
  <c r="Q348" i="1"/>
  <c r="CC306" i="1" l="1"/>
  <c r="AT319" i="1"/>
  <c r="CA306" i="1"/>
  <c r="AR319" i="1"/>
  <c r="CA26" i="1"/>
  <c r="AR108" i="1"/>
  <c r="AB26" i="1"/>
  <c r="O108" i="1"/>
  <c r="CH139" i="1"/>
  <c r="AY152" i="1"/>
  <c r="O183" i="1"/>
  <c r="F230" i="1"/>
  <c r="AW183" i="1"/>
  <c r="F234" i="1"/>
  <c r="AU183" i="1"/>
  <c r="F247" i="1"/>
  <c r="AU348" i="1"/>
  <c r="AY319" i="1"/>
  <c r="CH306" i="1"/>
  <c r="S26" i="1"/>
  <c r="F123" i="1"/>
  <c r="S348" i="1"/>
  <c r="CF139" i="1"/>
  <c r="AW152" i="1"/>
  <c r="O139" i="1"/>
  <c r="F154" i="1"/>
  <c r="AR262" i="1"/>
  <c r="F302" i="1"/>
  <c r="F333" i="1"/>
  <c r="R306" i="1"/>
  <c r="AT262" i="1"/>
  <c r="F293" i="1"/>
  <c r="V22" i="1"/>
  <c r="V380" i="1"/>
  <c r="F371" i="1"/>
  <c r="CA183" i="1"/>
  <c r="AR228" i="1"/>
  <c r="P26" i="1"/>
  <c r="F111" i="1"/>
  <c r="P348" i="1"/>
  <c r="CF306" i="1"/>
  <c r="AW319" i="1"/>
  <c r="AX22" i="1"/>
  <c r="F355" i="1"/>
  <c r="AX380" i="1"/>
  <c r="AZ18" i="1"/>
  <c r="F391" i="1"/>
  <c r="CE139" i="1"/>
  <c r="AV152" i="1"/>
  <c r="T22" i="1"/>
  <c r="F369" i="1"/>
  <c r="T380" i="1"/>
  <c r="Y306" i="1"/>
  <c r="F345" i="1"/>
  <c r="R139" i="1"/>
  <c r="F166" i="1"/>
  <c r="W22" i="1"/>
  <c r="F372" i="1"/>
  <c r="W380" i="1"/>
  <c r="X306" i="1"/>
  <c r="F344" i="1"/>
  <c r="CE26" i="1"/>
  <c r="AV108" i="1"/>
  <c r="AP18" i="1"/>
  <c r="F389" i="1"/>
  <c r="P306" i="1"/>
  <c r="F322" i="1"/>
  <c r="U22" i="1"/>
  <c r="F370" i="1"/>
  <c r="U380" i="1"/>
  <c r="CA139" i="1"/>
  <c r="AR152" i="1"/>
  <c r="CB183" i="1"/>
  <c r="AS228" i="1"/>
  <c r="Q22" i="1"/>
  <c r="F360" i="1"/>
  <c r="Q380" i="1"/>
  <c r="X183" i="1"/>
  <c r="F253" i="1"/>
  <c r="CH26" i="1"/>
  <c r="AY108" i="1"/>
  <c r="AV319" i="1"/>
  <c r="CE306" i="1"/>
  <c r="AK26" i="1"/>
  <c r="X108" i="1"/>
  <c r="CC183" i="1"/>
  <c r="AT228" i="1"/>
  <c r="R22" i="1"/>
  <c r="R380" i="1"/>
  <c r="F362" i="1"/>
  <c r="O306" i="1"/>
  <c r="F321" i="1"/>
  <c r="CB26" i="1"/>
  <c r="AS108" i="1"/>
  <c r="Y183" i="1"/>
  <c r="F254" i="1"/>
  <c r="S306" i="1"/>
  <c r="F334" i="1"/>
  <c r="X139" i="1"/>
  <c r="F177" i="1"/>
  <c r="Y26" i="1"/>
  <c r="F134" i="1"/>
  <c r="Y348" i="1"/>
  <c r="P139" i="1"/>
  <c r="F155" i="1"/>
  <c r="AY183" i="1"/>
  <c r="F236" i="1"/>
  <c r="CB139" i="1"/>
  <c r="AS152" i="1"/>
  <c r="CF26" i="1"/>
  <c r="AW108" i="1"/>
  <c r="AV183" i="1"/>
  <c r="F233" i="1"/>
  <c r="BA22" i="1"/>
  <c r="BA380" i="1"/>
  <c r="F368" i="1"/>
  <c r="BA18" i="1" l="1"/>
  <c r="F400" i="1"/>
  <c r="AW26" i="1"/>
  <c r="F114" i="1"/>
  <c r="AW348" i="1"/>
  <c r="AT183" i="1"/>
  <c r="F246" i="1"/>
  <c r="AT348" i="1"/>
  <c r="AV26" i="1"/>
  <c r="F113" i="1"/>
  <c r="AV348" i="1"/>
  <c r="W18" i="1"/>
  <c r="F404" i="1"/>
  <c r="AS26" i="1"/>
  <c r="F125" i="1"/>
  <c r="AS348" i="1"/>
  <c r="AV306" i="1"/>
  <c r="F324" i="1"/>
  <c r="AS183" i="1"/>
  <c r="F245" i="1"/>
  <c r="U18" i="1"/>
  <c r="F402" i="1"/>
  <c r="AW306" i="1"/>
  <c r="F325" i="1"/>
  <c r="V18" i="1"/>
  <c r="F403" i="1"/>
  <c r="S22" i="1"/>
  <c r="F363" i="1"/>
  <c r="J16" i="2" s="1"/>
  <c r="J18" i="2" s="1"/>
  <c r="S380" i="1"/>
  <c r="F327" i="1"/>
  <c r="AY306" i="1"/>
  <c r="AY139" i="1"/>
  <c r="F160" i="1"/>
  <c r="AR26" i="1"/>
  <c r="F135" i="1"/>
  <c r="AR348" i="1"/>
  <c r="AT306" i="1"/>
  <c r="F337" i="1"/>
  <c r="AS139" i="1"/>
  <c r="F169" i="1"/>
  <c r="R18" i="1"/>
  <c r="F394" i="1"/>
  <c r="X26" i="1"/>
  <c r="F133" i="1"/>
  <c r="X348" i="1"/>
  <c r="AY26" i="1"/>
  <c r="F116" i="1"/>
  <c r="AY348" i="1"/>
  <c r="Q18" i="1"/>
  <c r="F392" i="1"/>
  <c r="AV139" i="1"/>
  <c r="F157" i="1"/>
  <c r="AX18" i="1"/>
  <c r="F387" i="1"/>
  <c r="AR183" i="1"/>
  <c r="F255" i="1"/>
  <c r="F256" i="1" s="1"/>
  <c r="AU22" i="1"/>
  <c r="AU380" i="1"/>
  <c r="F367" i="1"/>
  <c r="H16" i="2" s="1"/>
  <c r="H18" i="2" s="1"/>
  <c r="AR139" i="1"/>
  <c r="F179" i="1"/>
  <c r="T18" i="1"/>
  <c r="F401" i="1"/>
  <c r="P22" i="1"/>
  <c r="F351" i="1"/>
  <c r="P380" i="1"/>
  <c r="AW139" i="1"/>
  <c r="F158" i="1"/>
  <c r="O26" i="1"/>
  <c r="F110" i="1"/>
  <c r="O348" i="1"/>
  <c r="F346" i="1"/>
  <c r="AR306" i="1"/>
  <c r="Y22" i="1"/>
  <c r="F374" i="1"/>
  <c r="Y380" i="1"/>
  <c r="O22" i="1" l="1"/>
  <c r="F350" i="1"/>
  <c r="O380" i="1"/>
  <c r="AV22" i="1"/>
  <c r="F353" i="1"/>
  <c r="AV380" i="1"/>
  <c r="P18" i="1"/>
  <c r="F383" i="1"/>
  <c r="AU18" i="1"/>
  <c r="F399" i="1"/>
  <c r="X22" i="1"/>
  <c r="F373" i="1"/>
  <c r="X380" i="1"/>
  <c r="S18" i="1"/>
  <c r="F395" i="1"/>
  <c r="AW22" i="1"/>
  <c r="AW380" i="1"/>
  <c r="F354" i="1"/>
  <c r="Y18" i="1"/>
  <c r="F406" i="1"/>
  <c r="F257" i="1"/>
  <c r="F258" i="1"/>
  <c r="AY22" i="1"/>
  <c r="F356" i="1"/>
  <c r="AY380" i="1"/>
  <c r="AR22" i="1"/>
  <c r="F375" i="1"/>
  <c r="F376" i="1" s="1"/>
  <c r="AR380" i="1"/>
  <c r="AS22" i="1"/>
  <c r="AS380" i="1"/>
  <c r="F365" i="1"/>
  <c r="E16" i="2" s="1"/>
  <c r="AT22" i="1"/>
  <c r="F366" i="1"/>
  <c r="F16" i="2" s="1"/>
  <c r="F18" i="2" s="1"/>
  <c r="AT380" i="1"/>
  <c r="I16" i="2" l="1"/>
  <c r="I18" i="2" s="1"/>
  <c r="E18" i="2"/>
  <c r="F377" i="1"/>
  <c r="F378" i="1" s="1"/>
  <c r="O18" i="1"/>
  <c r="F382" i="1"/>
  <c r="AT18" i="1"/>
  <c r="F398" i="1"/>
  <c r="AS18" i="1"/>
  <c r="F397" i="1"/>
  <c r="AV18" i="1"/>
  <c r="F385" i="1"/>
  <c r="AY18" i="1"/>
  <c r="F388" i="1"/>
  <c r="AW18" i="1"/>
  <c r="F386" i="1"/>
  <c r="X18" i="1"/>
  <c r="F405" i="1"/>
  <c r="AR18" i="1"/>
  <c r="F407" i="1"/>
</calcChain>
</file>

<file path=xl/sharedStrings.xml><?xml version="1.0" encoding="utf-8"?>
<sst xmlns="http://schemas.openxmlformats.org/spreadsheetml/2006/main" count="13900" uniqueCount="1261">
  <si>
    <t>Smeta.RU  (495) 974-1589</t>
  </si>
  <si>
    <t>_PS_</t>
  </si>
  <si>
    <t>Smeta.RU</t>
  </si>
  <si>
    <t>НИЯУ МИФИ  Доп. раб. место  MCCS-0027251</t>
  </si>
  <si>
    <t>Новый объект_(Копия)_(Копия)_(Копия)</t>
  </si>
  <si>
    <t>на капитальный ремонт помещений  №212,213,214,215  2-го этажа Корпуса К НИЯУ МИФИ по адресу: г.Москва,Каширское шоссе,д.31,стр.46_(Копия)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</si>
  <si>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</si>
  <si>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</si>
  <si>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</si>
  <si>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</si>
  <si>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</si>
  <si>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</si>
  <si>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</si>
  <si>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</si>
  <si>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1 Общестроительные работы</t>
  </si>
  <si>
    <t>1</t>
  </si>
  <si>
    <t>46-04-012-03</t>
  </si>
  <si>
    <t>Разборка деревянных заполнений проемов дверных и воротных (отбивка штукатурки откосов 24,86м2 входит в состав работ)</t>
  </si>
  <si>
    <t>100 м2</t>
  </si>
  <si>
    <t>ФЕР-2001, 46-04-012-03,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</si>
  <si>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</si>
  <si>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</si>
  <si>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</si>
  <si>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</si>
  <si>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</si>
  <si>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</si>
  <si>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09-04-012-01</t>
  </si>
  <si>
    <t>Демонтаж: Установка металлических дверных блоков в готовые проемы</t>
  </si>
  <si>
    <t>м2</t>
  </si>
  <si>
    <t>ФЕР-2001, 09-04-012-01, приказ Минстроя России №1039/пр от 30.12.2016г.</t>
  </si>
  <si>
    <t>Поправка: Прил. 9.3, п.5  Наименование: Разборка (демонтаж) металлических конструкций</t>
  </si>
  <si>
    <t>)*0</t>
  </si>
  <si>
    <t>)*0,7</t>
  </si>
  <si>
    <t>Металлические конструкции</t>
  </si>
  <si>
    <t>ФЕР-09</t>
  </si>
  <si>
    <t>Поправка: Прил. 9.3, п.5</t>
  </si>
  <si>
    <t>3</t>
  </si>
  <si>
    <t>57-3-1</t>
  </si>
  <si>
    <t>Разборка плинтусов деревянных и из пластмассовых материалов</t>
  </si>
  <si>
    <t>100 м</t>
  </si>
  <si>
    <t>ФЕР-2001, 57-3-1, приказ Минстроя России №1039/пр от 30.12.2016г.</t>
  </si>
  <si>
    <t>Ремонтно-строительные работы</t>
  </si>
  <si>
    <t>Полы</t>
  </si>
  <si>
    <t>рФЕР-57</t>
  </si>
  <si>
    <t>4</t>
  </si>
  <si>
    <t>57-2-1</t>
  </si>
  <si>
    <t>Разборка покрытий полов из линолеума и релина</t>
  </si>
  <si>
    <t>ФЕРр-2001, 57-2-1, приказ Минстроя России №1039/пр от 30.12.2016г.</t>
  </si>
  <si>
    <t>5</t>
  </si>
  <si>
    <t>46-04-010-03</t>
  </si>
  <si>
    <t>Разборка покрытий полов паркетных</t>
  </si>
  <si>
    <t>ФЕР-2001, 46-04-010-03, приказ Минстроя России №1039/пр от 30.12.2016г.</t>
  </si>
  <si>
    <t>6</t>
  </si>
  <si>
    <t>65-33-1</t>
  </si>
  <si>
    <t>Смена жалюзийных решеток</t>
  </si>
  <si>
    <t>100 ШТ</t>
  </si>
  <si>
    <t>ФЕР-2001, 65-33-1, приказ Минстроя России №1039/пр от 30.12.2016г.</t>
  </si>
  <si>
    <t>Внтуренниие с/техработы: смена труб</t>
  </si>
  <si>
    <t>рФЕР-65</t>
  </si>
  <si>
    <t>6,1</t>
  </si>
  <si>
    <t>19.2.03.07-0028</t>
  </si>
  <si>
    <t>Решетки пластиковые вентиляционные прим.(согласно тех.заданию)</t>
  </si>
  <si>
    <t>шт.</t>
  </si>
  <si>
    <t>ФССЦ-2001, 19.2.03.07-0028, приказ Минстроя России №1039/пр от 30.12.2016г.</t>
  </si>
  <si>
    <t>7</t>
  </si>
  <si>
    <t>46-02-009-02</t>
  </si>
  <si>
    <t>Отбивка штукатурки с поверхностей стен</t>
  </si>
  <si>
    <t>ФЕР-2001, 46-02-009-02, приказ Минстроя России №1039/пр от 30.12.2016г.</t>
  </si>
  <si>
    <t>8</t>
  </si>
  <si>
    <t>20-06-001-01</t>
  </si>
  <si>
    <t>Демонтаж: Установка кондиционеров доводчиков эжекционных</t>
  </si>
  <si>
    <t>10 ШТ</t>
  </si>
  <si>
    <t>ФЕР-2001, 20-06-001-01, приказ Минстроя России №1039/пр от 30.12.2016г.</t>
  </si>
  <si>
    <t>Поправка: Табл.2, п.3  Наименование: При демонтаже (разборке) систем инженерно-технического обеспечения</t>
  </si>
  <si>
    <t>)*0,4</t>
  </si>
  <si>
    <t>Вентиляция и кондиционирование</t>
  </si>
  <si>
    <t>ФЕР-20</t>
  </si>
  <si>
    <t>Поправка: Табл.2, п.3</t>
  </si>
  <si>
    <t>9</t>
  </si>
  <si>
    <t>15-01-049-04 прим</t>
  </si>
  <si>
    <t>Демонтаж школьной доски: Облицовка стен по готовому каркасу щитами-картинами из древесностружечных плит фанерованных шпоном</t>
  </si>
  <si>
    <t>ФЕР-2001, 15-01-049-04, приказ Минстроя России №1039/пр от 30.12.2016г.</t>
  </si>
  <si>
    <t>Поправка: Табл.2, п.2  Наименование: При демонтаже (разборке) сборных деревянных конструкций</t>
  </si>
  <si>
    <t>)*0,8</t>
  </si>
  <si>
    <t>Отделочные работы</t>
  </si>
  <si>
    <t>ФЕР-15</t>
  </si>
  <si>
    <t>Поправка: Табл.2, п.2</t>
  </si>
  <si>
    <t>10</t>
  </si>
  <si>
    <t>17-01-002-04 прим.</t>
  </si>
  <si>
    <t>Демонтаж :Установка гарнитуры туалетной: вешалок, подстаканников, поручней для ванн и т.д.</t>
  </si>
  <si>
    <t>ФЕР-2001, 17-01-002-04, приказ Минстроя России №1039/пр от 30.12.2016г.</t>
  </si>
  <si>
    <t>Поправка: МДС 81-36.2004, п.3.3.1.в  Наименование: При демонтаже внутренних санитарно-технических устройств (водопровода, газопровода, канализации, водостоков, отопления, вентиляции)</t>
  </si>
  <si>
    <t>Водопровод и канализация - внутренние устройства</t>
  </si>
  <si>
    <t>ФЕР-17</t>
  </si>
  <si>
    <t>Поправка: МДС 81-36.2004, п.3.3.1.в</t>
  </si>
  <si>
    <t>11</t>
  </si>
  <si>
    <t>Установка гарнитуры туалетной: вешалок, подстаканников, поручней для ванн и т.д.</t>
  </si>
  <si>
    <t>11,1</t>
  </si>
  <si>
    <t>18.2.06.03-0001</t>
  </si>
  <si>
    <t>Вешалки-крючки однорожковые В-К стальные с гальванопокрытием  20 крючков прим.</t>
  </si>
  <si>
    <t>ФССЦ-2001, 18.2.06.03-0001, приказ Минстроя России №1039/пр от 30.12.2016г.</t>
  </si>
  <si>
    <t>12</t>
  </si>
  <si>
    <t>Установка металлических дверных блоков в готовые проемы</t>
  </si>
  <si>
    <t>)*1,25</t>
  </si>
  <si>
    <t>)*1,15</t>
  </si>
  <si>
    <t>Поправка: МДС 81-35.2004, п.4.7</t>
  </si>
  <si>
    <t>12,1</t>
  </si>
  <si>
    <t>07.1.01.01-0020</t>
  </si>
  <si>
    <t>Дверь противопожарная металлическая однопольная ДПМ-01/60, размером 2300х900 мм прим.</t>
  </si>
  <si>
    <t>ФССЦ-2001, 07.1.01.01-0020, приказ Минстроя России №1039/пр от 30.12.2016г.</t>
  </si>
  <si>
    <t>12,2</t>
  </si>
  <si>
    <t>07.1.01.01-0008</t>
  </si>
  <si>
    <t>Дверь противопожарная металлическая двупольная ДПМ-02/60, размером 2400х1390 мм в комплекте прим.</t>
  </si>
  <si>
    <t>ФССЦ-2001, 07.1.01.01-0008, приказ Минстроя России №1039/пр от 30.12.2016г.</t>
  </si>
  <si>
    <t>12,3</t>
  </si>
  <si>
    <t>07.1.01.01-0006</t>
  </si>
  <si>
    <t>Дверь противопожарная металлическая двупольная ДПМ-02/60, размером 1280х2100 мм в комлекте прим.</t>
  </si>
  <si>
    <t>ФССЦ-2001, 07.1.01.01-0006, приказ Минстроя России №1039/пр от 30.12.2016г.</t>
  </si>
  <si>
    <t>13</t>
  </si>
  <si>
    <t>10-01-039-02</t>
  </si>
  <si>
    <t>Установка блоков в наружных и внутренних дверных проемах в каменных стенах, площадь проема более 3 м2</t>
  </si>
  <si>
    <t>ФЕР-2001, 10-01-039-02, приказ Минстроя России №1039/пр от 30.12.2016г.</t>
  </si>
  <si>
    <t>Деревянные конструкции</t>
  </si>
  <si>
    <t>ФЕР-10</t>
  </si>
  <si>
    <t>13,1</t>
  </si>
  <si>
    <t>01.7.04.07-0002</t>
  </si>
  <si>
    <t>Скобяные изделия для блоков входных дверей в помещение двупольных</t>
  </si>
  <si>
    <t>компл.</t>
  </si>
  <si>
    <t>ФССЦ-2001, 01.7.04.07-0002, приказ Минстроя России №1039/пр от 30.12.2016г.</t>
  </si>
  <si>
    <t>13,2</t>
  </si>
  <si>
    <t>11.2.02.01-0027</t>
  </si>
  <si>
    <t>Блоки дверные внутренние двупольные под стекло шлифованные, из массива сосны, тонированные</t>
  </si>
  <si>
    <t>ФССЦ-2001, 11.2.02.01-0027, приказ Минстроя России №1039/пр от 30.12.2016г.</t>
  </si>
  <si>
    <t>14</t>
  </si>
  <si>
    <t>57-10-3</t>
  </si>
  <si>
    <t>Заделка выбоин в полах цементных площадью до 1,0 м2</t>
  </si>
  <si>
    <t>100 мест</t>
  </si>
  <si>
    <t>ФЕР-2001, 57-10-3, приказ Минстроя России №1039/пр от 30.12.2016г.</t>
  </si>
  <si>
    <t>14,1</t>
  </si>
  <si>
    <t>04.3.01.09</t>
  </si>
  <si>
    <t>Раствор готовый кладочный тяжелый цементный</t>
  </si>
  <si>
    <t>м3</t>
  </si>
  <si>
    <t>14,2</t>
  </si>
  <si>
    <t>04.3.02.13-0103</t>
  </si>
  <si>
    <t>Смесь сухая  цементно-песчаная "БИРСС 11" (марка М150), бездобавочная</t>
  </si>
  <si>
    <t>т</t>
  </si>
  <si>
    <t>ФССЦ-2001, 04.3.02.13-0103, приказ Минстроя России №1039/пр от 30.12.2016г.</t>
  </si>
  <si>
    <t>15</t>
  </si>
  <si>
    <t>11-01-011-08</t>
  </si>
  <si>
    <t>Устройство стяжек из выравнивающей смеси типа "Ветонит" 5000, толщиной 5 мм</t>
  </si>
  <si>
    <t>ФЕР-2001, 11-01-011-08, приказ Минстроя России №1039/пр от 30.12.2016г.</t>
  </si>
  <si>
    <t>ФЕР-11</t>
  </si>
  <si>
    <t>16</t>
  </si>
  <si>
    <t>11-01-011-10</t>
  </si>
  <si>
    <t>Устройство стяжек на каждый последующий слой толщиной 1 мм добавлять к расценке 11-01-011-08</t>
  </si>
  <si>
    <t>ФЕР-2001, 11-01-011-10, приказ Минстроя России №1039/пр от 30.12.2016г.</t>
  </si>
  <si>
    <t>*5</t>
  </si>
  <si>
    <t>)*1,25*5</t>
  </si>
  <si>
    <t>)*1,15*5</t>
  </si>
  <si>
    <t>17</t>
  </si>
  <si>
    <t>11-01-034-04</t>
  </si>
  <si>
    <t>Устройство покрытий из досок ламинированных замковым способом</t>
  </si>
  <si>
    <t>ФЕР-2001, 11-01-034-04, приказ Минстроя России №1039/пр от 30.12.2016г.</t>
  </si>
  <si>
    <t>17,1</t>
  </si>
  <si>
    <t>11.2.03.02</t>
  </si>
  <si>
    <t>Покрытие напольное ламинированное (ламинат)</t>
  </si>
  <si>
    <t>17,2</t>
  </si>
  <si>
    <t>11.2.03.02-0037</t>
  </si>
  <si>
    <t>Покрытие напольное ламинированное марки "Quick Step", 33 класс износостойкости, толщина 9,5 мм</t>
  </si>
  <si>
    <t>ФССЦ-2001, 11.2.03.02-0037, приказ Минстроя России №1039/пр от 30.12.2016г.</t>
  </si>
  <si>
    <t>18</t>
  </si>
  <si>
    <t>11-01-040-03</t>
  </si>
  <si>
    <t>Устройство плинтусов поливинилхлоридных на винтах самонарезающих</t>
  </si>
  <si>
    <t>ФЕР-2001, 11-01-040-03, приказ Минстроя России №1039/пр от 30.12.2016г.</t>
  </si>
  <si>
    <t>18,1</t>
  </si>
  <si>
    <t>11.3.03.06</t>
  </si>
  <si>
    <t>Плинтуса для полов пластиковые</t>
  </si>
  <si>
    <t>м</t>
  </si>
  <si>
    <t>18,2</t>
  </si>
  <si>
    <t>11.3.03.06-0001</t>
  </si>
  <si>
    <t>Плинтуса для полов пластиковые, KronPlast Premium19х48 мм</t>
  </si>
  <si>
    <t>ФССЦ-2001, 11.3.03.06-0001, приказ Минстроя России №1039/пр от 30.12.2016г.</t>
  </si>
  <si>
    <t>18,3</t>
  </si>
  <si>
    <t>11.3.03.14</t>
  </si>
  <si>
    <t>Уголок наружный для пластикового плинтуса</t>
  </si>
  <si>
    <t>18,4</t>
  </si>
  <si>
    <t>11.3.03.14-0011</t>
  </si>
  <si>
    <t>Заглушки торцевая для пластикового плинтуса правая, высота 48 мм</t>
  </si>
  <si>
    <t>100 шт.</t>
  </si>
  <si>
    <t>ФССЦ-2001, 11.3.03.14-0011, приказ Минстроя России №1039/пр от 30.12.2016г.</t>
  </si>
  <si>
    <t>18,5</t>
  </si>
  <si>
    <t>11.3.03.14-0001</t>
  </si>
  <si>
    <t>Заглушка торцевая для пластикового плинтуса левая, высота 48 мм</t>
  </si>
  <si>
    <t>ФССЦ-2001, 11.3.03.14-0001, приказ Минстроя России №1039/пр от 30.12.2016г.</t>
  </si>
  <si>
    <t>18,6</t>
  </si>
  <si>
    <t>11.3.03.14-0021</t>
  </si>
  <si>
    <t>Соединитель для пластикового плинтуса, высота 48 мм</t>
  </si>
  <si>
    <t>ФССЦ-2001, 11.3.03.14-0021, приказ Минстроя России №1039/пр от 30.12.2016г.</t>
  </si>
  <si>
    <t>18,7</t>
  </si>
  <si>
    <t>11.3.03.14-0031</t>
  </si>
  <si>
    <t>Уголок внутренний для пластикового плинтуса, высота 48 мм</t>
  </si>
  <si>
    <t>ФССЦ-2001, 11.3.03.14-0031, приказ Минстроя России №1039/пр от 30.12.2016г.</t>
  </si>
  <si>
    <t>18,8</t>
  </si>
  <si>
    <t>11.3.03.14-0033</t>
  </si>
  <si>
    <t>Уголок наружный для пластикового плинтуса, высота 48 мм</t>
  </si>
  <si>
    <t>ФССЦ-2001, 11.3.03.14-0033, приказ Минстроя России №1039/пр от 30.12.2016г.</t>
  </si>
  <si>
    <t>18,9</t>
  </si>
  <si>
    <t>Уголок внутренний для пластикового плинтуса</t>
  </si>
  <si>
    <t>18,10</t>
  </si>
  <si>
    <t>Соединитель для пластикового плинтуса</t>
  </si>
  <si>
    <t>18,11</t>
  </si>
  <si>
    <t>Заглушка торцевая для пластикового плинтуса левая</t>
  </si>
  <si>
    <t>18,12</t>
  </si>
  <si>
    <t>Заглушка торцевая для пластикового плинтуса правая</t>
  </si>
  <si>
    <t>19</t>
  </si>
  <si>
    <t>11-01-049-01</t>
  </si>
  <si>
    <t>Укладка металлического накладного профиля (порога)</t>
  </si>
  <si>
    <t>ФЕР-2001, 11-01-049-01, приказ Минстроя России №1039/пр от 30.12.2016г.</t>
  </si>
  <si>
    <t>19,1</t>
  </si>
  <si>
    <t>09.2.03.02-0002</t>
  </si>
  <si>
    <t>Профили стыкоперекрывающие из алюминиевых сплавов (порожки) с покрытием и антискользящей вставкой, шириной 39 мм, длиной до 1,8 м</t>
  </si>
  <si>
    <t>ФССЦ-2001, 09.2.03.02-0002, приказ Минстроя России №1039/пр от 30.12.2016г.</t>
  </si>
  <si>
    <t>19,2</t>
  </si>
  <si>
    <t>09.2.03.02-0001</t>
  </si>
  <si>
    <t>Профили стыкоперекрывающие из алюминиевых сплавов (порожки) с покрытием и антискользящей вставкой, шириной 39 мм, длиной 0,9 м</t>
  </si>
  <si>
    <t>ФССЦ-2001, 09.2.03.02-0001, приказ Минстроя России №1039/пр от 30.12.2016г.</t>
  </si>
  <si>
    <t>19,3</t>
  </si>
  <si>
    <t>09.2.03.02</t>
  </si>
  <si>
    <t>Профили стыкоперекрывающие из алюминиевых сплавов (порожки) с покрытием</t>
  </si>
  <si>
    <t>20</t>
  </si>
  <si>
    <t>15-01-047-15</t>
  </si>
  <si>
    <t>Устройство подвесных потолков типа &lt;Армстронг&gt; по каркасу из оцинкованного профиля</t>
  </si>
  <si>
    <t>ФЕР-2001, 15-01-047-15, приказ Минстроя России №1039/пр от 30.12.2016г.</t>
  </si>
  <si>
    <t>21</t>
  </si>
  <si>
    <t>10-05-001-01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</si>
  <si>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глухих(короб)</t>
  </si>
  <si>
    <t>ФЕР-2001, 10-05-001-01, приказ Минстроя России №1039/пр от 30.12.2016г.</t>
  </si>
  <si>
    <t>21,1</t>
  </si>
  <si>
    <t>01.6.01.02</t>
  </si>
  <si>
    <t>Листы гипсокартонные</t>
  </si>
  <si>
    <t>21,2</t>
  </si>
  <si>
    <t>01.6.01.02-0006</t>
  </si>
  <si>
    <t>Листы гипсокартонные ГКЛ 12,5 мм</t>
  </si>
  <si>
    <t>ФССЦ-2001, 01.6.01.02-0006, приказ Минстроя России №1039/пр от 30.12.2016г.</t>
  </si>
  <si>
    <t>21,3</t>
  </si>
  <si>
    <t>01.7.06.01-0041</t>
  </si>
  <si>
    <t>Лента эластичная самоклеящаяся для профилей направляющих «Дихтунгсбанд» 30/30000 мм</t>
  </si>
  <si>
    <t>ФССЦ-2001, 01.7.06.01-0041, приказ Минстроя России №1039/пр от 30.12.2016г.</t>
  </si>
  <si>
    <t>21,4</t>
  </si>
  <si>
    <t>01.7.06.11</t>
  </si>
  <si>
    <t>Лента уплотнительная типа Дихтунгсбанд</t>
  </si>
  <si>
    <t>21,5</t>
  </si>
  <si>
    <t>07.2.06.03</t>
  </si>
  <si>
    <t>Профиль направляющий</t>
  </si>
  <si>
    <t>21,6</t>
  </si>
  <si>
    <t>07.2.06.03-0111</t>
  </si>
  <si>
    <t>Профиль направляющий ПН-2 50/30/0,6</t>
  </si>
  <si>
    <t>ФССЦ-2001, 07.2.06.03-0111, приказ Минстроя России №1039/пр от 30.12.2016г.</t>
  </si>
  <si>
    <t>21,7</t>
  </si>
  <si>
    <t>07.2.06.03-0194</t>
  </si>
  <si>
    <t>Профиль стоечный ПС-2 50/35/0,55</t>
  </si>
  <si>
    <t>ФССЦ-2001, 07.2.06.03-0194, приказ Минстроя России №1039/пр от 30.12.2016г.</t>
  </si>
  <si>
    <t>21,8</t>
  </si>
  <si>
    <t>Профиль стоечный</t>
  </si>
  <si>
    <t>22</t>
  </si>
  <si>
    <t>61-1-2</t>
  </si>
  <si>
    <t>Сплошное выравнивание штукатурки стен цементно-известковым раствором при толщине намета до 10 мм</t>
  </si>
  <si>
    <t>ФЕР-2001, 61-1-2, приказ Минстроя России №1039/пр от 30.12.2016г.</t>
  </si>
  <si>
    <t>Штукатрурные работы</t>
  </si>
  <si>
    <t>рФЕР-61</t>
  </si>
  <si>
    <t>22,1</t>
  </si>
  <si>
    <t>04.3.01.12-0111</t>
  </si>
  <si>
    <t>Раствор готовый отделочный тяжелый, цементно-известковый 1:1:6</t>
  </si>
  <si>
    <t>ФССЦ-2001, 04.3.01.12-0111, приказ Минстроя России №1039/пр от 30.12.2016г.</t>
  </si>
  <si>
    <t>22,2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</si>
  <si>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</si>
  <si>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</si>
  <si>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</si>
  <si>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</si>
  <si>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23</t>
  </si>
  <si>
    <t>15-04-006-04</t>
  </si>
  <si>
    <t>Покрытие поверхностей грунтовкой глубокого проникновения за 2 раза стен</t>
  </si>
  <si>
    <t>ФЕР-2001, 15-04-006-04, приказ Минстроя России №1039/пр от 30.12.2016г.</t>
  </si>
  <si>
    <t>23,1</t>
  </si>
  <si>
    <t>14.4.01.21</t>
  </si>
  <si>
    <t>Грунтовка</t>
  </si>
  <si>
    <t>23,2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</si>
  <si>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</si>
  <si>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</si>
  <si>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</si>
  <si>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24</t>
  </si>
  <si>
    <t>15-06-001-01</t>
  </si>
  <si>
    <t>Оклейка обоями стен по монолитной штукатурке и бетону простыми и средней плотности</t>
  </si>
  <si>
    <t>ФЕР-2001, 15-06-001-01, приказ Минстроя России №1039/пр от 30.12.2016г.</t>
  </si>
  <si>
    <t>24,1</t>
  </si>
  <si>
    <t>01.6.02.01</t>
  </si>
  <si>
    <t>Обои</t>
  </si>
  <si>
    <t>24,2</t>
  </si>
  <si>
    <t>01.6.02.02-0002</t>
  </si>
  <si>
    <t>Стеклообои TASSOGLAS, елочка</t>
  </si>
  <si>
    <t>10 м2</t>
  </si>
  <si>
    <t>ФССЦ-2001, 01.6.02.02-0002, приказ Минстроя России №1039/пр от 30.12.2016г.</t>
  </si>
  <si>
    <t>25</t>
  </si>
  <si>
    <t>15-04-005-05</t>
  </si>
  <si>
    <t>Окраска поливинилацетатными водоэмульсионными составами улучшенная по сборным конструкциям стен, подготовленным под окраску(обои)</t>
  </si>
  <si>
    <t>ФЕР-2001, 15-04-005-05, приказ Минстроя России №1039/пр от 30.12.2016г.</t>
  </si>
  <si>
    <t>25,1</t>
  </si>
  <si>
    <t>14.3.02.01</t>
  </si>
  <si>
    <t>Краска водоэмульсионная</t>
  </si>
  <si>
    <t>25,2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</si>
  <si>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</si>
  <si>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</si>
  <si>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</si>
  <si>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26</t>
  </si>
  <si>
    <t>15-06-004-01</t>
  </si>
  <si>
    <t>Вторая окраска стен, оклееных стеклообоями, красками</t>
  </si>
  <si>
    <t>ФЕР-2001, 15-06-004-01, приказ Минстроя России №1039/пр от 30.12.2016г.</t>
  </si>
  <si>
    <t>26,1</t>
  </si>
  <si>
    <t>26,2</t>
  </si>
  <si>
    <t>14.4.02.09</t>
  </si>
  <si>
    <t>Краска</t>
  </si>
  <si>
    <t>27</t>
  </si>
  <si>
    <t>15-04-005-03</t>
  </si>
  <si>
    <t>Окраска поливинилацетатными водоэмульсионными составами улучшенная по штукатурке стен  ( оконных откосов)</t>
  </si>
  <si>
    <t>ФЕР-2001, 15-04-005-03, приказ Минстроя России №1039/пр от 30.12.2016г.</t>
  </si>
  <si>
    <t>27,1</t>
  </si>
  <si>
    <t>27,2</t>
  </si>
  <si>
    <t>28</t>
  </si>
  <si>
    <t>15-02-031-01</t>
  </si>
  <si>
    <t>Штукатурка поверхностей оконных и дверных откосов по бетону и камню плоских</t>
  </si>
  <si>
    <t>ФЕР-2001, 15-02-031-01, приказ Минстроя России №1039/пр от 30.12.2016г.</t>
  </si>
  <si>
    <t>29</t>
  </si>
  <si>
    <t>56-4-1</t>
  </si>
  <si>
    <t>Ремонт оконных коробок в каменных стенах при одном переплете</t>
  </si>
  <si>
    <t>ФЕРр-2001, 56-4-1, приказ Минстроя России №1039/пр от 30.12.2016г.</t>
  </si>
  <si>
    <t>Проемы</t>
  </si>
  <si>
    <t>рФЕР-56</t>
  </si>
  <si>
    <t>29,1</t>
  </si>
  <si>
    <t>01.7.07.07</t>
  </si>
  <si>
    <t>Строительный мусор</t>
  </si>
  <si>
    <t>30</t>
  </si>
  <si>
    <t>69-15-1</t>
  </si>
  <si>
    <t>Затаривание строительного мусора в мешки</t>
  </si>
  <si>
    <t>ФЕР-2001, 69-15-1, приказ Минстроя России №1039/пр от 30.12.2016г.</t>
  </si>
  <si>
    <t>Прочие ремонтно-строительные работы</t>
  </si>
  <si>
    <t>рФЕР-69</t>
  </si>
  <si>
    <t>31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</si>
  <si>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</si>
  <si>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</si>
  <si>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</si>
  <si>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</si>
  <si>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</si>
  <si>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</si>
  <si>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</si>
  <si>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32</t>
  </si>
  <si>
    <t>т03-01-01-035</t>
  </si>
  <si>
    <t>Перевозка грузов I класса автомобилями бортовыми грузоподъемностью до 15 т на расстояние до 35 км</t>
  </si>
  <si>
    <t>ФССЦпг-2001, т03-01-01-035,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</si>
  <si>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</si>
  <si>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</si>
  <si>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</si>
  <si>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</si>
  <si>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</si>
  <si>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</si>
  <si>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</si>
  <si>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</si>
  <si>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</si>
  <si>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</si>
  <si>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</si>
  <si>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</si>
  <si>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</si>
  <si>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</si>
  <si>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</si>
  <si>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</si>
  <si>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</si>
  <si>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</si>
  <si>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</si>
  <si>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</si>
  <si>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</si>
  <si>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</si>
  <si>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</si>
  <si>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</si>
  <si>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</si>
  <si>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</si>
  <si>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</si>
  <si>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</si>
  <si>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</si>
  <si>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</si>
  <si>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</si>
  <si>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</si>
  <si>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</si>
  <si>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</si>
  <si>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</si>
  <si>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</si>
  <si>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</si>
  <si>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</si>
  <si>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</si>
  <si>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</si>
  <si>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</si>
  <si>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</si>
  <si>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</si>
  <si>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</si>
  <si>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</si>
  <si>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</si>
  <si>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</si>
  <si>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</si>
  <si>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</si>
  <si>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</si>
  <si>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</si>
  <si>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</si>
  <si>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</si>
  <si>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</si>
  <si>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</si>
  <si>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2 Отопление</t>
  </si>
  <si>
    <t>33</t>
  </si>
  <si>
    <t>65-19-1</t>
  </si>
  <si>
    <t>Демонтаж радиаторов весом до 80 кг</t>
  </si>
  <si>
    <t>ФЕР-2001, 65-19-1, приказ Минстроя России №1039/пр от 30.12.2016г.</t>
  </si>
  <si>
    <t>Внтуренниие с/техработы:  демонтаж, разборка, промывка</t>
  </si>
  <si>
    <t>34</t>
  </si>
  <si>
    <t>18-03-001-02</t>
  </si>
  <si>
    <t>Установка радиаторов стальных</t>
  </si>
  <si>
    <t>100 квт</t>
  </si>
  <si>
    <t>ФЕР-2001, 18-03-001-02, приказ Минстроя России №1039/пр от 30.12.2016г.</t>
  </si>
  <si>
    <t>Отопление - внутренние устройства</t>
  </si>
  <si>
    <t>ФЕР-18</t>
  </si>
  <si>
    <t>34,1</t>
  </si>
  <si>
    <t>18.5.10.05-0009</t>
  </si>
  <si>
    <t>Радиаторы биметаллические, марка «Rifar-A 500», количество секций 12, мощность 2304 Вт прим.</t>
  </si>
  <si>
    <t>ФССЦ-2001, 18.5.10.05-0009, приказ Минстроя России №1039/пр от 30.12.2016г.</t>
  </si>
  <si>
    <t>34,2</t>
  </si>
  <si>
    <t>18.5.10.06</t>
  </si>
  <si>
    <t>Радиаторы</t>
  </si>
  <si>
    <t>квт</t>
  </si>
  <si>
    <t>35</t>
  </si>
  <si>
    <t>16-05-001-01</t>
  </si>
  <si>
    <t>Установка вентилей, задвижек, затворов, клапанов обратных, кранов проходных на трубопроводах из стальных труб диаметром до 25 мм</t>
  </si>
  <si>
    <t>ШТ</t>
  </si>
  <si>
    <t>ФЕР-2001, 16-05-001-01, приказ Минстроя России №1039/пр от 30.12.2016г.</t>
  </si>
  <si>
    <t>Трубопроводы внутренние</t>
  </si>
  <si>
    <t>ФЕР-16</t>
  </si>
  <si>
    <t>35,1</t>
  </si>
  <si>
    <t>18.1.09.06-0067</t>
  </si>
  <si>
    <t>Кран шаровый муфтовый Valtec для воды диаметром 20 мм со сгоном</t>
  </si>
  <si>
    <t>ФССЦ-2001, 18.1.09.06-0067, приказ Минстроя России №1039/пр от 30.12.2016г.</t>
  </si>
  <si>
    <t>36</t>
  </si>
  <si>
    <t>15-04-030-04</t>
  </si>
  <si>
    <t>Масляная окраска металлических поверхностей решеток, переплетов, труб диаметром менее 50 мм и т.п., количество окрасок 2</t>
  </si>
  <si>
    <t>ФЕР-2001, 15-04-030-04, приказ Минстроя России №1039/пр от 30.12.2016г.</t>
  </si>
  <si>
    <t>36,1</t>
  </si>
  <si>
    <t>14.4.02.04</t>
  </si>
  <si>
    <t>Краски для внутренних работ масляные готовые к применению</t>
  </si>
  <si>
    <t>36,2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</si>
  <si>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</si>
  <si>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</si>
  <si>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</si>
  <si>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37</t>
  </si>
  <si>
    <t>65-24-1</t>
  </si>
  <si>
    <t>Проверка на прогрев отопительных приборов с регулировкой</t>
  </si>
  <si>
    <t>ФЕР-2001, 65-24-1, приказ Минстроя России №1039/пр от 30.12.2016г.</t>
  </si>
  <si>
    <t>3 Электромонтажные работы</t>
  </si>
  <si>
    <t>38</t>
  </si>
  <si>
    <t>67-3-1</t>
  </si>
  <si>
    <t>Демонтаж кабеля</t>
  </si>
  <si>
    <t>ФЕР-2001, 67-3-1, приказ Минстроя России №1039/пр от 30.12.2016г.</t>
  </si>
  <si>
    <t>Электромонтажные работы</t>
  </si>
  <si>
    <t>рФЕР-67</t>
  </si>
  <si>
    <t>39</t>
  </si>
  <si>
    <t>м08-02-390-01</t>
  </si>
  <si>
    <t>Демонтаж:Короба пластмассовые шириной до 40 мм</t>
  </si>
  <si>
    <t>ФЕРм-2001, м08-02-390-01, приказ Минстроя России №1039/пр от 30.12.2016г.</t>
  </si>
  <si>
    <t>)*0,3</t>
  </si>
  <si>
    <t>Монтажные работы</t>
  </si>
  <si>
    <t>Электромонтажные работы ,  отдел 01-03 : ( на АЭС  НР = 110% ) - (работы по упр. авиа.- движением:  СП=55% (  {АВИА}=1; обычные работы : СП=65 - {AВИА}=0), при работе на АЭС СП= 68% )</t>
  </si>
  <si>
    <t>мФЕР-08</t>
  </si>
  <si>
    <t>Поправка: МДС 81-37.2004, п.3.2.1.4</t>
  </si>
  <si>
    <t>40</t>
  </si>
  <si>
    <t>м08-03-594-08</t>
  </si>
  <si>
    <t>Демонтаж :Светильник отдельно устанавливаемый на подвесах (штангах) с количеством ламп в светильнике до 4 (на склад для хранения)</t>
  </si>
  <si>
    <t>ФЕРм-2001, м08-03-594-08, приказ Минстроя России №1039/пр от 30.12.2016г.</t>
  </si>
  <si>
    <t>Поправка: МДС 81-37.2004, п.3.2.1.1</t>
  </si>
  <si>
    <t>41</t>
  </si>
  <si>
    <t>м08-03-525-09 прим.</t>
  </si>
  <si>
    <t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t>
  </si>
  <si>
    <t>КОМПЛ</t>
  </si>
  <si>
    <t>ФЕРм-2001, м08-03-525-09, приказ Минстроя России №1039/пр от 30.12.2016г.</t>
  </si>
  <si>
    <t>)*0,6</t>
  </si>
  <si>
    <t>Поправка: МДС 81-37.2004, п.3.2.1.2</t>
  </si>
  <si>
    <t>42</t>
  </si>
  <si>
    <t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t>
  </si>
  <si>
    <t>43</t>
  </si>
  <si>
    <t>67-4-1</t>
  </si>
  <si>
    <t>Демонтаж выключателей, розеток</t>
  </si>
  <si>
    <t>ФЕР-2001, 67-4-1, приказ Минстроя России №1039/пр от 30.12.2016г.</t>
  </si>
  <si>
    <t>44</t>
  </si>
  <si>
    <t>69-1-2</t>
  </si>
  <si>
    <t>Пробивка отверстий в кирпичных стенах для  вручную при толщине стен в 1 кирпич</t>
  </si>
  <si>
    <t>ФЕР-2001, 69-1-2, приказ Минстроя России №1039/пр от 30.12.2016г.</t>
  </si>
  <si>
    <t>45</t>
  </si>
  <si>
    <t>м08-02-410-02 прим.</t>
  </si>
  <si>
    <t>Труба полиэтиленовая по основанию пола, диаметр до 50 мм</t>
  </si>
  <si>
    <t>ФЕРм-2001, м08-02-410-02, приказ Минстроя России №1039/пр от 30.12.2016г.</t>
  </si>
  <si>
    <t>45,1</t>
  </si>
  <si>
    <t>24.3.03.13-0304</t>
  </si>
  <si>
    <t>Трубы гладкие одностенные легкие из ПНД, диаметром 32 мм</t>
  </si>
  <si>
    <t>10 м</t>
  </si>
  <si>
    <t>ФССЦ-2001, 24.3.03.13-0304, приказ Минстроя России №1039/пр от 30.12.2016г.</t>
  </si>
  <si>
    <t>46</t>
  </si>
  <si>
    <t>м10-08-019-01</t>
  </si>
  <si>
    <t>Коробка ответвительная на стене</t>
  </si>
  <si>
    <t>ФЕРм-2001, м10-08-019-01, приказ Минстроя России №1039/пр от 30.12.2016г.</t>
  </si>
  <si>
    <t>Связь: пожарно-охранная сигнализация и пром. телевиз. установки  ( отделы 8 и 9 ) (при устройстве средств посадки самолетов : НР=95%, СП=55% - {АВИА}=1)</t>
  </si>
  <si>
    <t>мФЕР-10</t>
  </si>
  <si>
    <t>46,1</t>
  </si>
  <si>
    <t>20.5.02.04-0004</t>
  </si>
  <si>
    <t>Коробка ответвительная SchneiderElectrik 100x100x50мм прим.</t>
  </si>
  <si>
    <t>10 шт.</t>
  </si>
  <si>
    <t>ФССЦ-2001, 20.5.02.04-0004, приказ Минстроя России №1039/пр от 30.12.2016г.</t>
  </si>
  <si>
    <t>47</t>
  </si>
  <si>
    <t>м08-02-390-03</t>
  </si>
  <si>
    <t>Короба пластмассовые шириной до 120 мм</t>
  </si>
  <si>
    <t>ФЕРм-2001, м08-02-390-03, приказ Минстроя России №1039/пр от 30.12.2016г.</t>
  </si>
  <si>
    <t>47,1</t>
  </si>
  <si>
    <t>20.2.05.04-0034</t>
  </si>
  <si>
    <t>Кабель-канал (короб)  Efapel 110x50 мм прим.</t>
  </si>
  <si>
    <t>ФССЦ-2001, 20.2.05.04-0034, приказ Минстроя России №1039/пр от 30.12.2016г.</t>
  </si>
  <si>
    <t>48</t>
  </si>
  <si>
    <t>м08-10-010-01</t>
  </si>
  <si>
    <t>Прокладка труб гофрированных ПВХ для защиты проводов и кабелей</t>
  </si>
  <si>
    <t>ФЕРм-2001, м08-10-010-01, приказ Минстроя России №1039/пр от 30.12.2016г.</t>
  </si>
  <si>
    <t>48,1</t>
  </si>
  <si>
    <t>24.3.03.05-0012</t>
  </si>
  <si>
    <t>Трубы гибкие гофрированные легкие из ПНД, серии BL, с зондом, диаметром 20 мм</t>
  </si>
  <si>
    <t>ФССЦ-2001, 24.3.03.05-0012, приказ Минстроя России №1039/пр от 30.12.2016г.</t>
  </si>
  <si>
    <t>49</t>
  </si>
  <si>
    <t>м08-02-399-02 прим.</t>
  </si>
  <si>
    <t>Провод в коробах, сечением до 35 мм2</t>
  </si>
  <si>
    <t>ФЕРм-2001, м08-02-399-02, приказ Минстроя России №1039/пр от 30.12.2016г.</t>
  </si>
  <si>
    <t>49,1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</si>
  <si>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</si>
  <si>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t>
  </si>
  <si>
    <t>1000 м</t>
  </si>
  <si>
    <t>ФССЦ-2001, 21.1.06.09-0152, приказ Минстроя России №1039/пр от 30.12.2016г.</t>
  </si>
  <si>
    <t>1000 М</t>
  </si>
  <si>
    <t>50</t>
  </si>
  <si>
    <t>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</si>
  <si>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16 мм2</t>
  </si>
  <si>
    <t>ФЕРм-2001, м08-02-412-03, приказ Минстроя России №1039/пр от 30.12.2016г.</t>
  </si>
  <si>
    <t>50,1</t>
  </si>
  <si>
    <t>51</t>
  </si>
  <si>
    <t>м08-02-147-10</t>
  </si>
  <si>
    <t>Кабель до 35 кВ по установленным конструкциям и лоткам с креплением по всей длине, масса 1 м кабеля до 1 кг</t>
  </si>
  <si>
    <t>ФЕРм-2001, м08-02-147-10, приказ Минстроя России №1039/пр от 30.12.2016г.</t>
  </si>
  <si>
    <t>51,1</t>
  </si>
  <si>
    <t>21.1.06.09-0178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</si>
  <si>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t>
  </si>
  <si>
    <t>ФССЦ-2001, 21.1.06.09-0178, приказ Минстроя России №1039/пр от 30.12.2016г.</t>
  </si>
  <si>
    <t>52</t>
  </si>
  <si>
    <t>м08-03-591-04</t>
  </si>
  <si>
    <t>Выключатель двухклавишный неутопленного типа при открытой проводке</t>
  </si>
  <si>
    <t>ФЕРм-2001, м08-03-591-04, приказ Минстроя России №1039/пр от 30.12.2016г.</t>
  </si>
  <si>
    <t>52,1</t>
  </si>
  <si>
    <t>20.4.01.01-0011</t>
  </si>
  <si>
    <t>Выключатель двухклавишный для открытой проводки "EFAPEL" SBR(45х45мм),белый,с супортами прим.</t>
  </si>
  <si>
    <t>ФССЦ-2001, 20.4.01.01-0011, приказ Минстроя России №1039/пр от 30.12.2016г.</t>
  </si>
  <si>
    <t>53</t>
  </si>
  <si>
    <t>м08-03-591-08</t>
  </si>
  <si>
    <t>Розетка штепсельная неутопленного типа при открытой проводке</t>
  </si>
  <si>
    <t>ФЕРм-2001, м08-03-591-08, приказ Минстроя России №1039/пр от 30.12.2016г.</t>
  </si>
  <si>
    <t>53,1</t>
  </si>
  <si>
    <t>20.4.03.05-0004</t>
  </si>
  <si>
    <t>Розетка открытой проводки "EFAPEL" 220В2к+з,(45х45мм),белые с супортами в кабель-канал прим.</t>
  </si>
  <si>
    <t>ФССЦ-2001, 20.4.03.05-0004, приказ Минстроя России №1039/пр от 30.12.2016г.</t>
  </si>
  <si>
    <t>53,2</t>
  </si>
  <si>
    <t>20.4.03.05-0005</t>
  </si>
  <si>
    <t>Розетка РА16-112 Б IP44 для открытой проводки с заземляющими контактами</t>
  </si>
  <si>
    <t>ФССЦ-2001, 20.4.03.05-0005, приказ Минстроя России №1039/пр от 30.12.2016г.</t>
  </si>
  <si>
    <t>54</t>
  </si>
  <si>
    <t>м08-02-370-02 прим.</t>
  </si>
  <si>
    <t>Щиток до трех групп, устанавливаемый в нише цоколя</t>
  </si>
  <si>
    <t>ФЕРм-2001, м08-02-370-02, приказ Минстроя России №1039/пр от 30.12.2016г.</t>
  </si>
  <si>
    <t>54,1</t>
  </si>
  <si>
    <t>62.1.02.03-0003</t>
  </si>
  <si>
    <t>Щит навесной IEK ШРН-18э1 38,18 модулей ,IP31 с клемником(АВВ) с замком,материал корпуса металл прим.</t>
  </si>
  <si>
    <t>ФССЦ-2001, 62.1.02.03-0003, приказ Минстроя России №1039/пр от 30.12.2016г.</t>
  </si>
  <si>
    <t>55</t>
  </si>
  <si>
    <t>м08-03-526-01</t>
  </si>
  <si>
    <t>Автомат одно-, двух-, трехполюсный, устанавливаемый на конструкции на стене или колонне, на ток до 25 А</t>
  </si>
  <si>
    <t>ФЕРм-2001, м08-03-526-01, приказ Минстроя России №1039/пр от 30.12.2016г.</t>
  </si>
  <si>
    <t>55,1</t>
  </si>
  <si>
    <t>62.1.01.09-0050</t>
  </si>
  <si>
    <t>Выключатели автоматические АВВ 1Р 16А  прим.</t>
  </si>
  <si>
    <t>ФССЦ-2001, 62.1.01.09-0050, приказ Минстроя России №1039/пр от 30.12.2016г.</t>
  </si>
  <si>
    <t>55,2</t>
  </si>
  <si>
    <t>62.1.01.09-0066</t>
  </si>
  <si>
    <t>Выключатели автоматические «АВВ  3Р 16А прим.</t>
  </si>
  <si>
    <t>ФССЦ-2001, 62.1.01.09-0066, приказ Минстроя России №1039/пр от 30.12.2016г.</t>
  </si>
  <si>
    <t>55,3</t>
  </si>
  <si>
    <t>62.1.01.09-0049</t>
  </si>
  <si>
    <t>Выключатели автоматические «АВВ" 1Р 10А прим.</t>
  </si>
  <si>
    <t>ФССЦ-2001, 62.1.01.09-0049, приказ Минстроя России №1039/пр от 30.12.2016г.</t>
  </si>
  <si>
    <t>55,4</t>
  </si>
  <si>
    <t>62.1.01.09-0065</t>
  </si>
  <si>
    <t>Выключатели автоматические «АВВ" 3Р 10А прим.</t>
  </si>
  <si>
    <t>ФССЦ-2001, 62.1.01.09-0065, приказ Минстроя России №1039/пр от 30.12.2016г.</t>
  </si>
  <si>
    <t>55,5</t>
  </si>
  <si>
    <t>62.1.01.09-0067</t>
  </si>
  <si>
    <t>Выключатели автоматические  АВВ 3Р 20А прим.</t>
  </si>
  <si>
    <t>ФССЦ-2001, 62.1.01.09-0067, приказ Минстроя России №1039/пр от 30.12.2016г.</t>
  </si>
  <si>
    <t>55,6</t>
  </si>
  <si>
    <t>62.1.01.09-0051</t>
  </si>
  <si>
    <t>Выключатели автоматические «АВВ" 1Р 20А прим.</t>
  </si>
  <si>
    <t>ФССЦ-2001, 62.1.01.09-0051, приказ Минстроя России №1039/пр от 30.12.2016г.</t>
  </si>
  <si>
    <t>55,7</t>
  </si>
  <si>
    <t>Выключатели автоматические «Legrand» серии DX-Standart 3Р 25А</t>
  </si>
  <si>
    <t>56</t>
  </si>
  <si>
    <t>м08-03-594-14 прим.</t>
  </si>
  <si>
    <t>Установка светильников  в подвесных потолках, устанавливаемый на профиле, количество ламп в светильнике до 4</t>
  </si>
  <si>
    <t>ФЕРм-2001, м08-03-594-14, приказ Минстроя России №1039/пр от 30.12.2016г.</t>
  </si>
  <si>
    <t>56,1</t>
  </si>
  <si>
    <t>20.3.03.07-0099</t>
  </si>
  <si>
    <t>Светильник потолочный со светодиодными лампами  "Oskar LED"595х595х40мм,встраиваемые в подвесной потолок "Армстронг",36 Вт,3000Лм,IP40 прим.</t>
  </si>
  <si>
    <t>ФССЦ-2001, 20.3.03.07-0099, приказ Минстроя России №1039/пр от 30.12.2016г.</t>
  </si>
  <si>
    <t>57</t>
  </si>
  <si>
    <t>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</si>
  <si>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</si>
  <si>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ФЕРп-2001, п01-11-028-01, приказ Минстроя России №1039/пр от 30.12.2016г.</t>
  </si>
  <si>
    <t>Поправка: МДС 81-40.2006, п.2.7  Наименование: В случае, если монтажные и пусконаладочные работы по какому-либо оборудованию выполняются одним и тем же звеном (бригадой),</t>
  </si>
  <si>
    <t>Пусконаладочные работы</t>
  </si>
  <si>
    <t>Пусконаладочные работы : все сборники, отдел 05 ( диагностика лифтов ) и отдел 06 ( техническое освидетельствование ) сборника мрФЕР-01</t>
  </si>
  <si>
    <t>пФЕРп</t>
  </si>
  <si>
    <t>Поправка: МДС 81-40.2006, п.2.7</t>
  </si>
  <si>
    <t>58</t>
  </si>
  <si>
    <t>п01-11-011-01</t>
  </si>
  <si>
    <t>Проверка наличия цепи между заземлителями и заземленными элементами</t>
  </si>
  <si>
    <t>100 измерений</t>
  </si>
  <si>
    <t>ФЕРп-2001, п01-11-011-01, приказ Минстроя России №1039/пр от 30.12.2016г.</t>
  </si>
  <si>
    <t>59</t>
  </si>
  <si>
    <t>п01-11-013-01</t>
  </si>
  <si>
    <t>Замер полного сопротивления цепи "фаза-нуль"</t>
  </si>
  <si>
    <t>ФЕРп-2001, п01-11-013-01, приказ Минстроя России №1039/пр от 30.12.2016г.</t>
  </si>
  <si>
    <t>60</t>
  </si>
  <si>
    <t>п01-12-021-02</t>
  </si>
  <si>
    <t>Испытание аппарата коммутационного напряжением до 35 кВ (Автоматические выключатели до 1000 В)</t>
  </si>
  <si>
    <t>испытание</t>
  </si>
  <si>
    <t>ФЕРп-2001, п01-12-021-02, приказ Минстроя России №1039/пр от 30.12.2016г.</t>
  </si>
  <si>
    <t>и1</t>
  </si>
  <si>
    <t>Итого</t>
  </si>
  <si>
    <t>и2</t>
  </si>
  <si>
    <t>НДС 18%</t>
  </si>
  <si>
    <t>и3</t>
  </si>
  <si>
    <t>4 АПС</t>
  </si>
  <si>
    <t>61</t>
  </si>
  <si>
    <t>м10-08-002-01</t>
  </si>
  <si>
    <t>Демонтаж:Монтаж извещателя ПС автоматического теплового электро-контактный, магнитоконтактный в нормальном исполнении</t>
  </si>
  <si>
    <t>ФЕРм-2001, м10-08-002-01, приказ Минстроя России №1039/пр от 30.12.2016г.</t>
  </si>
  <si>
    <t>62</t>
  </si>
  <si>
    <t>Монтаж извещателя ПС автоматического теплового электро-контактный, магнитоконтактный в нормальном исполнении</t>
  </si>
  <si>
    <t>62,1</t>
  </si>
  <si>
    <t>61.2.02.01-0072</t>
  </si>
  <si>
    <t>Извещатель пожарный дымовой ИП 212-41М (ДИП-41М) прим.</t>
  </si>
  <si>
    <t>ФССЦ-2001, 61.2.02.01-0072, приказ Минстроя России №1039/пр от 30.12.2016г.</t>
  </si>
  <si>
    <t>63</t>
  </si>
  <si>
    <t>м10-08-001-03</t>
  </si>
  <si>
    <t>Приборы ПС приемно-контрольные, пусковые, концентратор блок линейный</t>
  </si>
  <si>
    <t>10 лучей</t>
  </si>
  <si>
    <t>ФЕРм-2001, м10-08-001-03, приказ Минстроя России №1039/пр от 30.12.2016г.</t>
  </si>
  <si>
    <t>63,1</t>
  </si>
  <si>
    <t>61.2.07.04-0051</t>
  </si>
  <si>
    <t>Устройство контроля шлейфа УКШ-1</t>
  </si>
  <si>
    <t>ФССЦ-2001, 61.2.07.04-0051, приказ Минстроя России №1039/пр от 30.12.2016г.</t>
  </si>
  <si>
    <t>64</t>
  </si>
  <si>
    <t>64,1</t>
  </si>
  <si>
    <t>24.3.03.05-0011</t>
  </si>
  <si>
    <t>Трубы гибкие гофрированные легкие из ПНД, серии BL, с зондом, диаметром 16 мм</t>
  </si>
  <si>
    <t>ФССЦ-2001, 24.3.03.05-0011, приказ Минстроя России №1039/пр от 30.12.2016г.</t>
  </si>
  <si>
    <t>65</t>
  </si>
  <si>
    <t>м08-02-412-02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</si>
  <si>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 до 6 мм2</t>
  </si>
  <si>
    <t>ФЕРм-2001, м08-02-412-02, приказ Минстроя России №1039/пр от 30.12.2016г.</t>
  </si>
  <si>
    <t>65,1</t>
  </si>
  <si>
    <t>21.1.08.01-0151</t>
  </si>
  <si>
    <t>ФССЦ-2001, 21.1.08.01-0151, приказ Минстроя России №1039/пр от 30.12.2016г.</t>
  </si>
  <si>
    <t>66</t>
  </si>
  <si>
    <t>м10-02-054-06</t>
  </si>
  <si>
    <t>Электрическая проверка и настройка оборудования</t>
  </si>
  <si>
    <t>ФЕРм-2001, м10-02-054-06, приказ Минстроя России №1039/пр от 30.12.2016г.</t>
  </si>
  <si>
    <t>Связь:  городская, местная, междугородняя проводная телефонная связь ( отделы 1, 2, 3 ) - ( при уст-ве средств посадки самолетов:  {AВИА}=1 - НР=95%, СП=55% )</t>
  </si>
  <si>
    <t>Сети СКС</t>
  </si>
  <si>
    <t>67</t>
  </si>
  <si>
    <t>67,1</t>
  </si>
  <si>
    <t>24.3.03.05-0015</t>
  </si>
  <si>
    <t>Трубы гибкие гофрированные легкие из ПНД, серии BL, с зондом, диаметром 40 мм</t>
  </si>
  <si>
    <t>ФССЦ-2001, 24.3.03.05-0015, приказ Минстроя России №1039/пр от 30.12.2016г.</t>
  </si>
  <si>
    <t>68</t>
  </si>
  <si>
    <t>68,1</t>
  </si>
  <si>
    <t>21.1.04.01-0004</t>
  </si>
  <si>
    <t>Кабель (витая пара) UTP 4x2x0,52 категория 5е</t>
  </si>
  <si>
    <t>ФССЦ-2001, 21.1.04.01-0004, приказ Минстроя России №1039/пр от 30.12.2016г.</t>
  </si>
  <si>
    <t>68,2</t>
  </si>
  <si>
    <t>69</t>
  </si>
  <si>
    <t>70</t>
  </si>
  <si>
    <t>Труба полиэтиленовая по основанию пола, диаметр до 50 мм (гильзы)</t>
  </si>
  <si>
    <t>70,1</t>
  </si>
  <si>
    <t>71</t>
  </si>
  <si>
    <t>71,1</t>
  </si>
  <si>
    <t>Розетка  для открытой проводки (согласно тех.задания)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</si>
  <si>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</si>
  <si>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</si>
  <si>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</si>
  <si>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</si>
  <si>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</si>
  <si>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</si>
  <si>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</si>
  <si>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</si>
  <si>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</si>
  <si>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</si>
  <si>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</si>
  <si>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</si>
  <si>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</si>
  <si>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</si>
  <si>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</si>
  <si>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</si>
  <si>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</si>
  <si>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</si>
  <si>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</si>
  <si>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</si>
  <si>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</si>
  <si>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</si>
  <si>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</si>
  <si>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</si>
  <si>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</si>
  <si>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</si>
  <si>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</si>
  <si>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</si>
  <si>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</si>
  <si>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</si>
  <si>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</si>
  <si>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</si>
  <si>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</si>
  <si>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</si>
  <si>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</si>
  <si>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</si>
  <si>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</si>
  <si>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</si>
  <si>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</si>
  <si>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</si>
  <si>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</si>
  <si>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</si>
  <si>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</si>
  <si>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</si>
  <si>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</si>
  <si>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</si>
  <si>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</si>
  <si>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</si>
  <si>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</si>
  <si>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</si>
  <si>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</si>
  <si>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</si>
  <si>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</si>
  <si>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</si>
  <si>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</si>
  <si>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</si>
  <si>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</si>
  <si>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</si>
  <si>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</si>
  <si>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</si>
  <si>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</si>
  <si>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Уровень цен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</si>
  <si>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</si>
  <si>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</si>
  <si>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</si>
  <si>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</si>
  <si>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</si>
  <si>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</si>
  <si>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</si>
  <si>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</si>
  <si>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</si>
  <si>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</si>
  <si>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</si>
  <si>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1-100-42</t>
  </si>
  <si>
    <t>Рабочий среднего разряда 4.2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</si>
  <si>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</si>
  <si>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</si>
  <si>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</si>
  <si>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</si>
  <si>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</si>
  <si>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</si>
  <si>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</si>
  <si>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</si>
  <si>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</si>
  <si>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</si>
  <si>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</si>
  <si>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</si>
  <si>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</si>
  <si>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</si>
  <si>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</si>
  <si>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1-100-20</t>
  </si>
  <si>
    <t>Рабочий среднего разряда 2</t>
  </si>
  <si>
    <t>1-100-30</t>
  </si>
  <si>
    <t>Рабочий среднего разряда 3</t>
  </si>
  <si>
    <t>01.7.03.01-0001</t>
  </si>
  <si>
    <t>ФССЦ-2001, 01.7.03.01-0001, приказ Минстроя России №1039/пр от 30.12.2016г.</t>
  </si>
  <si>
    <t>Вода</t>
  </si>
  <si>
    <t>03.1.01.01-0002</t>
  </si>
  <si>
    <t>ФССЦ-2001, 03.1.01.01-0002, приказ Минстроя России №1039/пр от 30.12.2016г.</t>
  </si>
  <si>
    <t>Гипсовые вяжущие, марка Г3</t>
  </si>
  <si>
    <t>01.7.07.29-0101</t>
  </si>
  <si>
    <t>ФССЦ-2001, 01.7.07.29-0101, приказ Минстроя России №1039/пр от 30.12.2016г.</t>
  </si>
  <si>
    <t>Очес льняной</t>
  </si>
  <si>
    <t>14.4.02.04-0141</t>
  </si>
  <si>
    <t>ФССЦ-2001, 14.4.02.04-0141, приказ Минстроя России №1039/пр от 30.12.2016г.</t>
  </si>
  <si>
    <t>Краски масляные земляные марки МА-0115 мумия, сурик железный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</si>
  <si>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</si>
  <si>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</si>
  <si>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</si>
  <si>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1-100-39</t>
  </si>
  <si>
    <t>Рабочий среднего разряда 3.9</t>
  </si>
  <si>
    <t>01.7.02.10-0005</t>
  </si>
  <si>
    <t>ФССЦ-2001, 01.7.02.10-0005, приказ Минстроя России №1039/пр от 30.12.2016г.</t>
  </si>
  <si>
    <t>Бумага ролевая</t>
  </si>
  <si>
    <t>01.7.15.14-0174</t>
  </si>
  <si>
    <t>ФССЦ-2001, 01.7.15.14-0174, приказ Минстроя России №1039/пр от 30.12.2016г.</t>
  </si>
  <si>
    <t>Шурупы с полукруглой головкой 8x100 мм</t>
  </si>
  <si>
    <t>01.7.20.08-0051</t>
  </si>
  <si>
    <t>ФССЦ-2001, 01.7.20.08-0051, приказ Минстроя России №1039/пр от 30.12.2016г.</t>
  </si>
  <si>
    <t>Ветошь</t>
  </si>
  <si>
    <t>14.4.03.17-0004</t>
  </si>
  <si>
    <t>ФССЦ-2001, 14.4.03.17-0004, приказ Минстроя России №1039/пр от 30.12.2016г.</t>
  </si>
  <si>
    <t>Лак масляный МА-592</t>
  </si>
  <si>
    <t>14.5.09.07-0031</t>
  </si>
  <si>
    <t>ФССЦ-2001, 14.5.09.07-0031, приказ Минстроя России №1039/пр от 30.12.2016г.</t>
  </si>
  <si>
    <t>Растворитель марки Р-4А</t>
  </si>
  <si>
    <t>1-100-40</t>
  </si>
  <si>
    <t>Рабочий среднего разряда 4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</si>
  <si>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</si>
  <si>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</si>
  <si>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</si>
  <si>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1-100-38</t>
  </si>
  <si>
    <t>Рабочий среднего разряда 3.8</t>
  </si>
  <si>
    <t>91.05.01-017</t>
  </si>
  <si>
    <t>ФСЭМ-2001, 91.05.01-017, приказ Минстроя России №1039/пр от 30.12.2016г.</t>
  </si>
  <si>
    <t>Краны башенные, грузоподъемность 8 т</t>
  </si>
  <si>
    <t>01.7.15.06-0111</t>
  </si>
  <si>
    <t>ФССЦ-2001, 01.7.15.06-0111, приказ Минстроя России №1039/пр от 30.12.2016г.</t>
  </si>
  <si>
    <t>Гвозди строительные</t>
  </si>
  <si>
    <t>04.3.01.07-0011</t>
  </si>
  <si>
    <t>ФССЦ-2001, 04.3.01.07-0011, приказ Минстроя России №1039/пр от 30.12.2016г.</t>
  </si>
  <si>
    <t>Раствор готовый отделочный тяжелый, известковый 1:2,0</t>
  </si>
  <si>
    <t>11.1.03.06-0087</t>
  </si>
  <si>
    <t>ФССЦ-2001, 11.1.03.06-0087, приказ Минстроя России №1039/пр от 30.12.2016г.</t>
  </si>
  <si>
    <t>Доски обрезные хвойных пород длиной 4-6,5 м, шириной 75-150 мм, толщиной 25 мм, III сорта</t>
  </si>
  <si>
    <t>14.5.01.10-0003</t>
  </si>
  <si>
    <t>ФССЦ-2001, 14.5.01.10-0003, приказ Минстроя России №1039/пр от 30.12.2016г.</t>
  </si>
  <si>
    <t>Пена монтажная</t>
  </si>
  <si>
    <t>л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</si>
  <si>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</si>
  <si>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</si>
  <si>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</si>
  <si>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</si>
  <si>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</si>
  <si>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</si>
  <si>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</si>
  <si>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</si>
  <si>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</si>
  <si>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04.3.02.01-0415</t>
  </si>
  <si>
    <t>ФССЦ-2001, 04.3.02.01-0415, приказ Минстроя России №1039/пр от 30.12.2016г.</t>
  </si>
  <si>
    <t>Смеси сухие для наливных полов, марка «Ветонит» 5000</t>
  </si>
  <si>
    <t>14.4.01.02-0113</t>
  </si>
  <si>
    <t>ФССЦ-2001, 14.4.01.02-0113, приказ Минстроя России №1039/пр от 30.12.2016г.</t>
  </si>
  <si>
    <t>Грунтовка акриловая НОРТЕКС-ГРУНТ</t>
  </si>
  <si>
    <t>11.3.03.08-0004</t>
  </si>
  <si>
    <t>ФССЦ-2001, 11.3.03.08-0004, приказ Минстроя России №1039/пр от 30.12.2016г.</t>
  </si>
  <si>
    <t>Подложка под паркет и ламинат "Порилекс НПЭ", толщина 2 мм</t>
  </si>
  <si>
    <t>1-100-36</t>
  </si>
  <si>
    <t>Рабочий среднего разряда 3.6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</si>
  <si>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</si>
  <si>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</si>
  <si>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</si>
  <si>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</si>
  <si>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</si>
  <si>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</si>
  <si>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</si>
  <si>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1-100-32</t>
  </si>
  <si>
    <t>Рабочий среднего разряда 3.2</t>
  </si>
  <si>
    <t>01.6.04.02-0011</t>
  </si>
  <si>
    <t>ФССЦ-2001, 01.6.04.02-0011, приказ Минстроя России №1039/пр от 30.12.2016г.</t>
  </si>
  <si>
    <t>Панели потолочные с комплектующими «Армстронг»</t>
  </si>
  <si>
    <t>1-100-35</t>
  </si>
  <si>
    <t>Рабочий среднего разряда 3.5</t>
  </si>
  <si>
    <t>91.21.12-004</t>
  </si>
  <si>
    <t>ФСЭМ-2001, 91.21.12-004, приказ Минстроя России №1039/пр от 30.12.2016г.</t>
  </si>
  <si>
    <t>Ножницы электрические</t>
  </si>
  <si>
    <t>01.7.06.04-0002</t>
  </si>
  <si>
    <t>ФССЦ-2001, 01.7.06.04-0002, приказ Минстроя России №1039/пр от 30.12.2016г.</t>
  </si>
  <si>
    <t>Лента бумажная для повышения трещиностойкости стыков ГКЛ и ГВЛ</t>
  </si>
  <si>
    <t>01.7.06.04-0007</t>
  </si>
  <si>
    <t>ФССЦ-2001, 01.7.06.04-0007, приказ Минстроя России №1039/пр от 30.12.2016г.</t>
  </si>
  <si>
    <t>Лента разделительная для сопряжения потолка из ЛГК со стеной</t>
  </si>
  <si>
    <t>01.7.15.07-0152</t>
  </si>
  <si>
    <t>ФССЦ-2001, 01.7.15.07-0152, приказ Минстроя России №1039/пр от 30.12.2016г.</t>
  </si>
  <si>
    <t>Дюбель с шурупом 6/35 мм</t>
  </si>
  <si>
    <t>01.7.15.14-0044</t>
  </si>
  <si>
    <t>ФССЦ-2001, 01.7.15.14-0044, приказ Минстроя России №1039/пр от 30.12.2016г.</t>
  </si>
  <si>
    <t>Шуруп самонарезающий (TN) 3,5/25 мм</t>
  </si>
  <si>
    <t>14.4.01.02-0012</t>
  </si>
  <si>
    <t>ФССЦ-2001, 14.4.01.02-0012, приказ Минстроя России №1039/пр от 30.12.2016г.</t>
  </si>
  <si>
    <t>Грунтовка «Тифенгрунд», КНАУФ</t>
  </si>
  <si>
    <t>14.5.11.03-0001</t>
  </si>
  <si>
    <t>ФССЦ-2001, 14.5.11.03-0001, приказ Минстроя России №1039/пр от 30.12.2016г.</t>
  </si>
  <si>
    <t>Шпаклевка «Унифлот», КНАУФ</t>
  </si>
  <si>
    <t>14.5.11.03-0004</t>
  </si>
  <si>
    <t>ФССЦ-2001, 14.5.11.03-0004, приказ Минстроя России №1039/пр от 30.12.2016г.</t>
  </si>
  <si>
    <t>Шпаклевка «Фугенфюллер», КНАУФ</t>
  </si>
  <si>
    <t>1-100-27</t>
  </si>
  <si>
    <t>Рабочий среднего разряда 2.7</t>
  </si>
  <si>
    <t>1-100-33</t>
  </si>
  <si>
    <t>Рабочий среднего разряда 3.3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</si>
  <si>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</si>
  <si>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</si>
  <si>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</si>
  <si>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14.1.03.01-0001</t>
  </si>
  <si>
    <t>ФССЦ-2001, 14.1.03.01-0001, приказ Минстроя России №1039/пр от 30.12.2016г.</t>
  </si>
  <si>
    <t>Клей для обоев КМЦ</t>
  </si>
  <si>
    <t>14.5.11.01-0001</t>
  </si>
  <si>
    <t>ФССЦ-2001, 14.5.11.01-0001, приказ Минстроя России №1039/пр от 30.12.2016г.</t>
  </si>
  <si>
    <t>Шпатлевка клеевая</t>
  </si>
  <si>
    <t>1-100-34</t>
  </si>
  <si>
    <t>Рабочий среднего разряда 3.4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</si>
  <si>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</si>
  <si>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</si>
  <si>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</si>
  <si>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1-100-37</t>
  </si>
  <si>
    <t>Рабочий среднего разряда 3.7</t>
  </si>
  <si>
    <t>04.3.01.07-0012</t>
  </si>
  <si>
    <t>ФССЦ-2001, 04.3.01.07-0012, приказ Минстроя России №1039/пр от 30.12.2016г.</t>
  </si>
  <si>
    <t>Раствор готовый отделочный тяжелый, известковый 1:2,5</t>
  </si>
  <si>
    <t>01.2.03.03-0013</t>
  </si>
  <si>
    <t>ФССЦ-2001, 01.2.03.03-0013, приказ Минстроя России №1039/пр от 30.12.2016г.</t>
  </si>
  <si>
    <t>Мастика битумная кровельная горячая</t>
  </si>
  <si>
    <t>01.7.15.14-0164</t>
  </si>
  <si>
    <t>ФССЦ-2001, 01.7.15.14-0164, приказ Минстроя России №1039/пр от 30.12.2016г.</t>
  </si>
  <si>
    <t>Шурупы с полукруглой головкой 3,5х35 мм</t>
  </si>
  <si>
    <t>11.1.03.01-0062</t>
  </si>
  <si>
    <t>ФССЦ-2001, 11.1.03.01-0062, приказ Минстроя России №1039/пр от 30.12.2016г.</t>
  </si>
  <si>
    <t>Бруски обрезные хвойных пород длиной 2-3,75 м, шириной 75-150 мм, толщиной 40-75 мм, II сорта</t>
  </si>
  <si>
    <t>12.1.02.14-0001</t>
  </si>
  <si>
    <t>ФССЦ-2001, 12.1.02.14-0001, приказ Минстроя России №1039/пр от 30.12.2016г.</t>
  </si>
  <si>
    <t>Толь с крупнозернистой посыпкой гидроизоляционный марки ТГ-350</t>
  </si>
  <si>
    <t>14.1.01.01-0003</t>
  </si>
  <si>
    <t>ФССЦ-2001, 14.1.01.01-0003, приказ Минстроя России №1039/пр от 30.12.2016г.</t>
  </si>
  <si>
    <t>Клей столярный сухой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</si>
  <si>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</si>
  <si>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</si>
  <si>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</si>
  <si>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</si>
  <si>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</si>
  <si>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1-100-21</t>
  </si>
  <si>
    <t>Рабочий среднего разряда 2.1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</si>
  <si>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</si>
  <si>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</si>
  <si>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</si>
  <si>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91.10.09-011</t>
  </si>
  <si>
    <t>ФСЭМ-2001, 91.10.09-011, приказ Минстроя России №1039/пр от 30.12.2016г.</t>
  </si>
  <si>
    <t>Установки для гидравлических испытаний трубопроводов, давление нагнетания низкое 0,1 МПа (1 кгс/см2), высокое 10 МПа (100 кгс/см2)</t>
  </si>
  <si>
    <t>01.3.05.38-0031</t>
  </si>
  <si>
    <t>ФССЦ-2001, 01.3.05.38-0031, приказ Минстроя России №1039/пр от 30.12.2016г.</t>
  </si>
  <si>
    <t>Водный раствор нитрата и карбоната</t>
  </si>
  <si>
    <t>18.5.08.05-0031</t>
  </si>
  <si>
    <t>ФССЦ-2001, 18.5.08.05-0031, приказ Минстроя России №1039/пр от 30.12.2016г.</t>
  </si>
  <si>
    <t>Кронштейны для радиаторов стальных спаренных марки КР1-РС</t>
  </si>
  <si>
    <t>01.1.02.08-0001</t>
  </si>
  <si>
    <t>ФССЦ-2001, 01.1.02.08-0001, приказ Минстроя России №1039/пр от 30.12.2016г.</t>
  </si>
  <si>
    <t>Прокладки из паронита марки ПМБ, толщиной 1 мм, диаметром 50 мм</t>
  </si>
  <si>
    <t>01.7.11.07-0045</t>
  </si>
  <si>
    <t>ФССЦ-2001, 01.7.11.07-0045, приказ Минстроя России №1039/пр от 30.12.2016г.</t>
  </si>
  <si>
    <t>Электроды диаметром 5 мм Э42А</t>
  </si>
  <si>
    <t>01.7.15.03-0013</t>
  </si>
  <si>
    <t>ФССЦ-2001, 01.7.15.03-0013, приказ Минстроя России №1039/пр от 30.12.2016г.</t>
  </si>
  <si>
    <t>Болты с гайками и шайбами для санитарно-технических работ диаметром 12 мм</t>
  </si>
  <si>
    <t>14.5.05.02-0001</t>
  </si>
  <si>
    <t>ФССЦ-2001, 14.5.05.02-0001, приказ Минстроя России №1039/пр от 30.12.2016г.</t>
  </si>
  <si>
    <t>Олифа натуральная</t>
  </si>
  <si>
    <t>01.7.15.07-0022</t>
  </si>
  <si>
    <t>ФССЦ-2001, 01.7.15.07-0022, приказ Минстроя России №1039/пр от 30.12.2016г.</t>
  </si>
  <si>
    <t>Дюбели распорные полиэтиленовые 6х40 мм</t>
  </si>
  <si>
    <t>01.7.15.14-0165</t>
  </si>
  <si>
    <t>ФССЦ-2001, 01.7.15.14-0165, приказ Минстроя России №1039/пр от 30.12.2016г.</t>
  </si>
  <si>
    <t>Шурупы с полукруглой головкой 4x40 мм</t>
  </si>
  <si>
    <t>999-9950</t>
  </si>
  <si>
    <t>Вспомогательные ненормируемые материалы (2% от ОЗП)</t>
  </si>
  <si>
    <t>РУБ</t>
  </si>
  <si>
    <t>24.3.01.01-0002</t>
  </si>
  <si>
    <t>ФССЦ-2001, 24.3.01.01-0002, приказ Минстроя России №1039/пр от 30.12.2016г.</t>
  </si>
  <si>
    <t>Трубка полихлорвиниловая</t>
  </si>
  <si>
    <t>1-100-45</t>
  </si>
  <si>
    <t>Рабочий среднего разряда 4.5</t>
  </si>
  <si>
    <t>91.21.16-012</t>
  </si>
  <si>
    <t>ФСЭМ-2001, 91.21.16-012, приказ Минстроя России №1039/пр от 30.12.2016г.</t>
  </si>
  <si>
    <t>Пресс гидравлический с электроприводом</t>
  </si>
  <si>
    <t>01.3.01.02-0002</t>
  </si>
  <si>
    <t>ФССЦ-2001, 01.3.01.02-0002, приказ Минстроя России №1039/пр от 30.12.2016г.</t>
  </si>
  <si>
    <t>Вазелин технический</t>
  </si>
  <si>
    <t>01.7.02.09-0002</t>
  </si>
  <si>
    <t>ФССЦ-2001, 01.7.02.09-0002, приказ Минстроя России №1039/пр от 30.12.2016г.</t>
  </si>
  <si>
    <t>Шпагат бумажный</t>
  </si>
  <si>
    <t>01.7.06.05-0041</t>
  </si>
  <si>
    <t>ФССЦ-2001, 01.7.06.05-0041, приказ Минстроя России №1039/пр от 30.12.2016г.</t>
  </si>
  <si>
    <t>Лента изоляционная прорезиненная односторонняя ширина 20 мм, толщина 0,25-0,35 мм</t>
  </si>
  <si>
    <t>01.7.11.07-0034</t>
  </si>
  <si>
    <t>ФССЦ-2001, 01.7.11.07-0034, приказ Минстроя России №1039/пр от 30.12.2016г.</t>
  </si>
  <si>
    <t>Электроды диаметром 4 мм Э42А</t>
  </si>
  <si>
    <t>01.7.15.03-0042</t>
  </si>
  <si>
    <t>ФССЦ-2001, 01.7.15.03-0042, приказ Минстроя России №1039/пр от 30.12.2016г.</t>
  </si>
  <si>
    <t>Болты с гайками и шайбами строительные</t>
  </si>
  <si>
    <t>01.7.15.07-0014</t>
  </si>
  <si>
    <t>ФССЦ-2001, 01.7.15.07-0014, приказ Минстроя России №1039/пр от 30.12.2016г.</t>
  </si>
  <si>
    <t>Дюбели распорные полипропиленовые</t>
  </si>
  <si>
    <t>01.7.20.04-0005</t>
  </si>
  <si>
    <t>ФССЦ-2001, 01.7.20.04-0005, приказ Минстроя России №1039/пр от 30.12.2016г.</t>
  </si>
  <si>
    <t>Нитки швейные</t>
  </si>
  <si>
    <t>07.2.07.04-0007</t>
  </si>
  <si>
    <t>ФССЦ-2001, 07.2.07.04-0007, приказ Минстроя России №1039/пр от 30.12.2016г.</t>
  </si>
  <si>
    <t>Конструкции стальные индивидуальные решетчатые сварные массой до 0,1 т</t>
  </si>
  <si>
    <t>14.4.02.09-0001</t>
  </si>
  <si>
    <t>ФССЦ-2001, 14.4.02.09-0001, приказ Минстроя России №1039/пр от 30.12.2016г.</t>
  </si>
  <si>
    <t>14.4.03.17-0011</t>
  </si>
  <si>
    <t>ФССЦ-2001, 14.4.03.17-0011, приказ Минстроя России №1039/пр от 30.12.2016г.</t>
  </si>
  <si>
    <t>Лак электроизоляционный 318</t>
  </si>
  <si>
    <t>20.1.02.23-0082</t>
  </si>
  <si>
    <t>ФССЦ-2001, 20.1.02.23-0082, приказ Минстроя России №1039/пр от 30.12.2016г.</t>
  </si>
  <si>
    <t>Перемычки гибкие, тип ПГС-50</t>
  </si>
  <si>
    <t>04.3.01.09-0016</t>
  </si>
  <si>
    <t>ФССЦ-2001, 04.3.01.09-0016, приказ Минстроя России №1039/пр от 30.12.2016г.</t>
  </si>
  <si>
    <t>Раствор готовый кладочный цементный марки 200</t>
  </si>
  <si>
    <t>14.1.02.01-0002</t>
  </si>
  <si>
    <t>ФССЦ-2001, 14.1.02.01-0002, приказ Минстроя России №1039/пр от 30.12.2016г.</t>
  </si>
  <si>
    <t>Клей БМК-5к</t>
  </si>
  <si>
    <t>20.2.02.01-0019</t>
  </si>
  <si>
    <t>ФССЦ-2001, 20.2.02.01-0019, приказ Минстроя России №1039/пр от 30.12.2016г.</t>
  </si>
  <si>
    <t>Втулки изолирующие</t>
  </si>
  <si>
    <t>20.2.02.02-0011</t>
  </si>
  <si>
    <t>ФССЦ-2001, 20.2.02.02-0011, приказ Минстроя России №1039/пр от 30.12.2016г.</t>
  </si>
  <si>
    <t>Заглушки</t>
  </si>
  <si>
    <t>20.2.08.05-0017</t>
  </si>
  <si>
    <t>ФССЦ-2001, 20.2.08.05-0017, приказ Минстроя России №1039/пр от 30.12.2016г.</t>
  </si>
  <si>
    <t>Профиль монтажный</t>
  </si>
  <si>
    <t>1-100-41</t>
  </si>
  <si>
    <t>Рабочий среднего разряда 4.1</t>
  </si>
  <si>
    <t>08.3.03.05-0013</t>
  </si>
  <si>
    <t>ФССЦ-2001, 08.3.03.05-0013, приказ Минстроя России №1039/пр от 30.12.2016г.</t>
  </si>
  <si>
    <t>Проволока стальная низкоуглеродистая разного назначения оцинкованная диаметром 1,6 мм</t>
  </si>
  <si>
    <t>01.7.06.07-0001</t>
  </si>
  <si>
    <t>ФССЦ-2001, 01.7.06.07-0001, приказ Минстроя России №1039/пр от 30.12.2016г.</t>
  </si>
  <si>
    <t>Лента К226</t>
  </si>
  <si>
    <t>01.7.07.20-0002</t>
  </si>
  <si>
    <t>ФССЦ-2001, 01.7.07.20-0002, приказ Минстроя России №1039/пр от 30.12.2016г.</t>
  </si>
  <si>
    <t>Тальк молотый, сорт I</t>
  </si>
  <si>
    <t>20.2.01.05-0005</t>
  </si>
  <si>
    <t>ФССЦ-2001, 20.2.01.05-0005, приказ Минстроя России №1039/пр от 30.12.2016г.</t>
  </si>
  <si>
    <t>Гильза кабельная медная ГМ 16</t>
  </si>
  <si>
    <t>20.2.02.01-0013</t>
  </si>
  <si>
    <t>ФССЦ-2001, 20.2.02.01-0013, приказ Минстроя России №1039/пр от 30.12.2016г.</t>
  </si>
  <si>
    <t>Втулки В28</t>
  </si>
  <si>
    <t>91.06.01-003</t>
  </si>
  <si>
    <t>ФСЭМ-2001, 91.06.01-003, приказ Минстроя России №1039/пр от 30.12.2016г.</t>
  </si>
  <si>
    <t>Домкраты гидравлические, грузоподъемность 63-100 т</t>
  </si>
  <si>
    <t>91.06.03-061</t>
  </si>
  <si>
    <t>ФСЭМ-2001, 91.06.03-061, приказ Минстроя России №1039/пр от 30.12.2016г.</t>
  </si>
  <si>
    <t>Лебедки электрические тяговым усилием до 12,26 кН (1,25 т)</t>
  </si>
  <si>
    <t>10.3.02.03-0011</t>
  </si>
  <si>
    <t>ФССЦ-2001, 10.3.02.03-0011, приказ Минстроя России №1039/пр от 30.12.2016г.</t>
  </si>
  <si>
    <t>Припои оловянно-свинцовые бессурьмянистые марки ПОС30</t>
  </si>
  <si>
    <t>14.4.03.03-0002</t>
  </si>
  <si>
    <t>ФССЦ-2001, 14.4.03.03-0002, приказ Минстроя России №1039/пр от 30.12.2016г.</t>
  </si>
  <si>
    <t>Лак битумный БТ-123</t>
  </si>
  <si>
    <t>01.7.15.14-0161</t>
  </si>
  <si>
    <t>ФССЦ-2001, 01.7.15.14-0161, приказ Минстроя России №1039/пр от 30.12.2016г.</t>
  </si>
  <si>
    <t>Шурупы с полукруглой головкой 2,5х20 мм</t>
  </si>
  <si>
    <t>1-100-46</t>
  </si>
  <si>
    <t>Рабочий среднего разряда 4.6</t>
  </si>
  <si>
    <t>08.3.07.01-0076</t>
  </si>
  <si>
    <t>ФССЦ-2001, 08.3.07.01-0076, приказ Минстроя России №1039/пр от 30.12.2016г.</t>
  </si>
  <si>
    <t>Сталь полосовая, марка стали Ст3сп шириной 50-200 мм толщиной 4-5 мм</t>
  </si>
  <si>
    <t>2-200-60</t>
  </si>
  <si>
    <t>Электромонтажник-наладчик, разряд VI</t>
  </si>
  <si>
    <t>2-400-30</t>
  </si>
  <si>
    <t>Инженер по наладке и испытаниям, категория III</t>
  </si>
  <si>
    <t>2-300-20</t>
  </si>
  <si>
    <t>Техник по наладке и испытаниям, категория II</t>
  </si>
  <si>
    <t>2-400-20</t>
  </si>
  <si>
    <t>Инженер по наладке и испытаниям, категория II</t>
  </si>
  <si>
    <t>01.3.05.17-0002</t>
  </si>
  <si>
    <t>ФССЦ-2001, 01.3.05.17-0002, приказ Минстроя России №1039/пр от 30.12.2016г.</t>
  </si>
  <si>
    <t>Канифоль сосновая</t>
  </si>
  <si>
    <t>01.7.15.07-0012</t>
  </si>
  <si>
    <t>ФССЦ-2001, 01.7.15.07-0012, приказ Минстроя России №1039/пр от 30.12.2016г.</t>
  </si>
  <si>
    <t>Дюбели пластмассовые с шурупами 12х70 мм</t>
  </si>
  <si>
    <t>10.3.02.03-0012</t>
  </si>
  <si>
    <t>ФССЦ-2001, 10.3.02.03-0012, приказ Минстроя России №1039/пр от 30.12.2016г.</t>
  </si>
  <si>
    <t>Припои оловянно-свинцовые бессурьмянистые марки ПОС40</t>
  </si>
  <si>
    <t>14.1.04.02-0002</t>
  </si>
  <si>
    <t>ФССЦ-2001, 14.1.04.02-0002, приказ Минстроя России №1039/пр от 30.12.2016г.</t>
  </si>
  <si>
    <t>Клей 88-СА</t>
  </si>
  <si>
    <t>20.2.01.05-0003</t>
  </si>
  <si>
    <t>ФССЦ-2001, 20.2.01.05-0003, приказ Минстроя России №1039/пр от 30.12.2016г.</t>
  </si>
  <si>
    <t>Гильза кабельная медная ГМ 6</t>
  </si>
  <si>
    <t>20.2.02.01-0012</t>
  </si>
  <si>
    <t>ФССЦ-2001, 20.2.02.01-0012, приказ Минстроя России №1039/пр от 30.12.2016г.</t>
  </si>
  <si>
    <t>Втулки В22</t>
  </si>
  <si>
    <t>1-100-50</t>
  </si>
  <si>
    <t>Рабочий среднего разряда 5</t>
  </si>
  <si>
    <t>01.7.04.11</t>
  </si>
  <si>
    <t>Скобяные изделия</t>
  </si>
  <si>
    <t>07.1.01.03</t>
  </si>
  <si>
    <t>Блоки дверные металлические</t>
  </si>
  <si>
    <t>19.2.03.09</t>
  </si>
  <si>
    <t>Решетки жалюзийные</t>
  </si>
  <si>
    <t>11.2.09.07</t>
  </si>
  <si>
    <t>Плиты древесностружечные</t>
  </si>
  <si>
    <t>01.7.15.07</t>
  </si>
  <si>
    <t>Дюбели распорные полиэтиленовые</t>
  </si>
  <si>
    <t>01.7.15.14</t>
  </si>
  <si>
    <t>Шурупы строительные</t>
  </si>
  <si>
    <t>18.2.06.04</t>
  </si>
  <si>
    <t>Гарнитура туалетная</t>
  </si>
  <si>
    <t>08.1.02.25</t>
  </si>
  <si>
    <t>Ерши металлические</t>
  </si>
  <si>
    <t>11.2.02.01</t>
  </si>
  <si>
    <t>Блоки дверные</t>
  </si>
  <si>
    <t>03.2.02.11</t>
  </si>
  <si>
    <t>Цемент</t>
  </si>
  <si>
    <t>12.2.03.15</t>
  </si>
  <si>
    <t>Материалы теплоизоляционные из минеральных волокон</t>
  </si>
  <si>
    <t>18.1.01.01</t>
  </si>
  <si>
    <t>Арматура трубопроводная фланцевая</t>
  </si>
  <si>
    <t>23.8.03.12</t>
  </si>
  <si>
    <t>Фланцы стальные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</si>
  <si>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</si>
  <si>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Поправка: МДС 81-37.2004, п.3.2.1.4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не подлежит дальнейшему использованию (предназначено в лом)  без разборки и резки</t>
  </si>
  <si>
    <t>Поправка: МДС 81-37.2004, п.3.2.1.1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со снятием с места установки, необходимой (частичной) разборкой и консервированием с целью длительного или кратковременного хранения</t>
  </si>
  <si>
    <t>Поправка: МДС 81-37.2004, п.3.2.1.2  Наименование: Для оборудования легковесного, габаритного, поступающего на стройку в собранном виде, при монтаже которого отсутствуют работы по сварке, демонтаж при условии что оборудование подлежит дальнейшему использованию, без надобности хранения (перемещается в цеху на другое место установки и т.п.)</t>
  </si>
  <si>
    <t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</si>
  <si>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</si>
  <si>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</si>
  <si>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</si>
  <si>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</si>
  <si>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</si>
  <si>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 xml:space="preserve">     Монтажные работы</t>
  </si>
  <si>
    <t xml:space="preserve">     Оборудование</t>
  </si>
  <si>
    <t xml:space="preserve">     Прочие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</si>
  <si>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</si>
  <si>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</si>
  <si>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</si>
  <si>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</si>
  <si>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</si>
  <si>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</si>
  <si>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</si>
  <si>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</si>
  <si>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</si>
  <si>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</si>
  <si>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</si>
  <si>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</si>
  <si>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</si>
  <si>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</si>
  <si>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</si>
  <si>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III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</si>
  <si>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</si>
  <si>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</si>
  <si>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</si>
  <si>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</si>
  <si>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</si>
  <si>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</si>
  <si>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</si>
  <si>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</si>
  <si>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</si>
  <si>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</si>
  <si>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</si>
  <si>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</si>
  <si>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</si>
  <si>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</si>
  <si>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</si>
  <si>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</si>
  <si>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</si>
  <si>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</si>
  <si>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</si>
  <si>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</si>
  <si>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</si>
  <si>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</si>
  <si>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</si>
  <si>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</si>
  <si>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</si>
  <si>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</si>
  <si>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</si>
  <si>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</si>
  <si>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</si>
  <si>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</si>
  <si>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</si>
  <si>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</si>
  <si>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</si>
  <si>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</si>
  <si>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</si>
  <si>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</si>
  <si>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</si>
  <si>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</si>
  <si>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</si>
  <si>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</si>
  <si>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</si>
  <si>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</si>
  <si>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</si>
  <si>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</si>
  <si>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</si>
  <si>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</si>
  <si>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</si>
  <si>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</si>
  <si>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</si>
  <si>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</si>
  <si>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</si>
  <si>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</si>
  <si>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</si>
  <si>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</si>
  <si>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</si>
  <si>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</si>
  <si>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Стоимость материалов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</si>
  <si>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</si>
  <si>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</si>
  <si>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</si>
  <si>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</si>
  <si>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</si>
  <si>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Исключен
Раствор готовый отделочный тяжелый, цементно-известковый 1:1:6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</si>
  <si>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</si>
  <si>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</si>
  <si>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</si>
  <si>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</si>
  <si>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</si>
  <si>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</si>
  <si>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</si>
  <si>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Унифицированная форма № КС-3</t>
  </si>
  <si>
    <t>Коды</t>
  </si>
  <si>
    <t xml:space="preserve">Инвестор </t>
  </si>
  <si>
    <t xml:space="preserve">Заказчик (генподрядчик) </t>
  </si>
  <si>
    <t xml:space="preserve">Подрядчик (субподрядчик) </t>
  </si>
  <si>
    <t xml:space="preserve">Стройка </t>
  </si>
  <si>
    <t>Вид деятельности  по ОКДП</t>
  </si>
  <si>
    <t xml:space="preserve">Договор подряда (контракт) </t>
  </si>
  <si>
    <t>Вид операции</t>
  </si>
  <si>
    <t>СПРАВКА</t>
  </si>
  <si>
    <t>СТОИМОСТИ ВЫПОЛНЕННЫХ РАБОТ И ЗАТРАТ</t>
  </si>
  <si>
    <t>Наименование пусковых комплексов, объектов, видов работ, оборудования, затрат</t>
  </si>
  <si>
    <t>Стоимость выполненных работ и затрат</t>
  </si>
  <si>
    <t>с начала проведения работ</t>
  </si>
  <si>
    <t>с начала года по отчетный период включительно</t>
  </si>
  <si>
    <t>в том числе за отчетный месяц</t>
  </si>
  <si>
    <t>Всего работ и затрат, включаемых в стоимость</t>
  </si>
  <si>
    <t>В том числе:</t>
  </si>
  <si>
    <t xml:space="preserve">Сумма НДС </t>
  </si>
  <si>
    <t xml:space="preserve">Всего с учетом НДС </t>
  </si>
  <si>
    <t>МП</t>
  </si>
  <si>
    <t>СМЕТА</t>
  </si>
  <si>
    <t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t>
  </si>
  <si>
    <t>Приложение 1 к форме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</si>
</sst>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-\ #,##0.00"/>
  </numFmts>
  <fonts count="19" x14ac:knownFonts="1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20"/>
      <name val="Arial"/>
      <charset val="204"/>
    </font>
    <font>
      <b/>
      <sz val="10"/>
      <color indexed="17"/>
      <name val="Arial"/>
      <charset val="204"/>
    </font>
    <font>
      <sz val="10"/>
      <color indexed="17"/>
      <name val="Arial"/>
      <charset val="204"/>
    </font>
    <font>
      <sz val="10"/>
      <color indexed="12"/>
      <name val="Arial"/>
      <charset val="204"/>
    </font>
    <font>
      <sz val="10"/>
      <color indexed="14"/>
      <name val="Arial"/>
      <charset val="204"/>
    </font>
    <font>
      <b/>
      <sz val="10"/>
      <color indexed="14"/>
      <name val="Arial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horizont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7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164" fontId="17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7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0" fillId="0" borderId="2" xfId="0" applyNumberFormat="1" applyFont="1" applyBorder="1" applyAlignment="1">
      <alignment horizontal="right"/>
    </xf>
    <xf numFmtId="164" fontId="16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4" fontId="9" fillId="0" borderId="0" xfId="0" applyNumberFormat="1" applyFont="1" applyAlignment="1">
      <alignment horizontal="left"/>
    </xf>
    <xf numFmtId="0" fontId="15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6" xfId="0" applyFont="1" applyBorder="1" applyAlignment="1">
      <alignment horizontal="center"/>
    </xf>
    <xf numFmtId="14" fontId="11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wrapText="1" shrinkToFit="1"/>
    </xf>
    <xf numFmtId="0" fontId="11" fillId="0" borderId="4" xfId="0" applyFont="1" applyBorder="1" applyAlignment="1">
      <alignment horizontal="center" vertical="center" wrapText="1" shrinkToFit="1"/>
    </xf>
    <xf numFmtId="0" fontId="18" fillId="0" borderId="0" xfId="0" applyFont="1"/>
    <xf numFmtId="0" fontId="14" fillId="0" borderId="0" xfId="0" applyFont="1" applyAlignment="1">
      <alignment horizontal="left" wrapText="1"/>
    </xf>
    <xf numFmtId="164" fontId="14" fillId="0" borderId="0" xfId="0" applyNumberFormat="1" applyFont="1" applyAlignment="1">
      <alignment horizontal="right"/>
    </xf>
    <xf numFmtId="164" fontId="14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1" fillId="0" borderId="0" xfId="0" applyFont="1" applyAlignment="1">
      <alignment horizontal="right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center" vertical="top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top" shrinkToFit="1"/>
    </xf>
    <xf numFmtId="0" fontId="11" fillId="0" borderId="4" xfId="0" applyFont="1" applyBorder="1" applyAlignment="1">
      <alignment horizontal="justify" vertical="top" wrapText="1" shrinkToFit="1"/>
    </xf>
    <xf numFmtId="0" fontId="11" fillId="0" borderId="1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justify" vertical="top" wrapText="1" shrinkToFit="1"/>
    </xf>
    <xf numFmtId="0" fontId="11" fillId="0" borderId="6" xfId="0" applyFont="1" applyBorder="1" applyAlignment="1">
      <alignment horizontal="justify" vertical="top" wrapText="1" shrinkToFit="1"/>
    </xf>
    <xf numFmtId="0" fontId="11" fillId="0" borderId="1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164" fontId="11" fillId="0" borderId="5" xfId="0" applyNumberFormat="1" applyFont="1" applyBorder="1" applyAlignment="1">
      <alignment horizontal="right"/>
    </xf>
    <xf numFmtId="0" fontId="11" fillId="0" borderId="0" xfId="0" applyFont="1" applyAlignment="1">
      <alignment horizontal="right" vertical="center" wrapText="1" shrinkToFit="1"/>
    </xf>
    <xf numFmtId="164" fontId="11" fillId="0" borderId="5" xfId="0" applyNumberFormat="1" applyFont="1" applyBorder="1" applyAlignment="1">
      <alignment horizontal="right" vertical="center" wrapText="1" shrinkToFit="1"/>
    </xf>
    <xf numFmtId="0" fontId="11" fillId="0" borderId="6" xfId="0" applyFont="1" applyBorder="1" applyAlignment="1">
      <alignment horizontal="right" vertical="center" wrapText="1" shrinkToFit="1"/>
    </xf>
    <xf numFmtId="164" fontId="11" fillId="0" borderId="4" xfId="0" applyNumberFormat="1" applyFont="1" applyBorder="1" applyAlignment="1">
      <alignment horizontal="right" vertical="center" wrapText="1" shrinkToFit="1"/>
    </xf>
    <xf numFmtId="0" fontId="11" fillId="0" borderId="11" xfId="0" applyFont="1" applyBorder="1" applyAlignment="1">
      <alignment horizontal="right" vertical="center" wrapText="1" shrinkToFit="1"/>
    </xf>
    <xf numFmtId="0" fontId="11" fillId="0" borderId="1" xfId="0" applyFont="1" applyBorder="1" applyAlignment="1">
      <alignment horizontal="center"/>
    </xf>
    <xf numFmtId="0" fontId="11" fillId="0" borderId="5" xfId="0" applyFont="1" applyBorder="1" applyAlignment="1">
      <alignment horizontal="justify" vertical="top" wrapText="1" shrinkToFit="1"/>
    </xf>
    <xf numFmtId="164" fontId="11" fillId="0" borderId="5" xfId="0" applyNumberFormat="1" applyFont="1" applyBorder="1" applyAlignment="1">
      <alignment horizontal="right" wrapText="1" shrinkToFit="1"/>
    </xf>
    <xf numFmtId="0" fontId="11" fillId="0" borderId="1" xfId="0" applyFont="1" applyBorder="1" applyAlignment="1">
      <alignment horizontal="right" wrapText="1" shrinkToFit="1"/>
    </xf>
    <xf numFmtId="0" fontId="11" fillId="0" borderId="6" xfId="0" applyFont="1" applyBorder="1" applyAlignment="1">
      <alignment horizontal="right" wrapText="1" shrinkToFit="1"/>
    </xf>
    <xf numFmtId="0" fontId="11" fillId="0" borderId="5" xfId="0" applyFont="1" applyBorder="1" applyAlignment="1">
      <alignment horizontal="center" vertical="center" wrapText="1" shrinkToFit="1"/>
    </xf>
    <xf numFmtId="0" fontId="11" fillId="0" borderId="7" xfId="0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 wrapText="1" shrinkToFit="1"/>
    </xf>
    <xf numFmtId="0" fontId="11" fillId="0" borderId="6" xfId="0" applyFont="1" applyBorder="1" applyAlignment="1">
      <alignment horizontal="center" vertical="center" wrapText="1" shrinkToFit="1"/>
    </xf>
    <xf numFmtId="0" fontId="11" fillId="0" borderId="8" xfId="0" applyFont="1" applyBorder="1" applyAlignment="1">
      <alignment horizontal="center" vertical="center" wrapText="1" shrinkToFit="1"/>
    </xf>
    <xf numFmtId="0" fontId="11" fillId="0" borderId="16" xfId="0" applyFont="1" applyBorder="1" applyAlignment="1">
      <alignment horizontal="center"/>
    </xf>
    <xf numFmtId="14" fontId="11" fillId="0" borderId="4" xfId="0" applyNumberFormat="1" applyFont="1" applyBorder="1" applyAlignment="1">
      <alignment horizontal="center"/>
    </xf>
    <xf numFmtId="14" fontId="11" fillId="0" borderId="11" xfId="0" applyNumberFormat="1" applyFont="1" applyBorder="1" applyAlignment="1">
      <alignment horizontal="center"/>
    </xf>
    <xf numFmtId="14" fontId="11" fillId="0" borderId="16" xfId="0" applyNumberFormat="1" applyFont="1" applyBorder="1" applyAlignment="1">
      <alignment horizontal="center"/>
    </xf>
    <xf numFmtId="0" fontId="11" fillId="0" borderId="4" xfId="0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0" fontId="11" fillId="0" borderId="4" xfId="0" applyFont="1" applyBorder="1"/>
    <xf numFmtId="0" fontId="11" fillId="0" borderId="11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right"/>
    </xf>
    <xf numFmtId="0" fontId="11" fillId="0" borderId="2" xfId="0" applyFont="1" applyBorder="1"/>
    <xf numFmtId="0" fontId="10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736"/>
  <sheetViews>
    <sheetView tabSelected="1" zoomScale="85" zoomScaleNormal="85" workbookViewId="0">
      <selection activeCell="AN20" sqref="AN20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  <c r="I1" t="s">
        <v>1260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4" spans="1:30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30" ht="15.75" x14ac:dyDescent="0.25">
      <c r="A5" s="15"/>
      <c r="B5" s="81" t="s">
        <v>1258</v>
      </c>
      <c r="C5" s="81"/>
      <c r="D5" s="81"/>
      <c r="E5" s="81"/>
      <c r="F5" s="81"/>
      <c r="G5" s="81"/>
      <c r="H5" s="81"/>
      <c r="I5" s="81"/>
      <c r="J5" s="81"/>
      <c r="K5" s="81"/>
      <c r="L5" s="15"/>
    </row>
    <row r="6" spans="1:30" ht="15.75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5"/>
    </row>
    <row r="7" spans="1:30" ht="18" hidden="1" x14ac:dyDescent="0.25">
      <c r="A7" s="15"/>
      <c r="B7" s="82" t="str">
        <f>IF(Source!G20&lt;&gt;"Новая локальная смета", Source!G20, "")</f>
        <v/>
      </c>
      <c r="C7" s="82"/>
      <c r="D7" s="82"/>
      <c r="E7" s="82"/>
      <c r="F7" s="82"/>
      <c r="G7" s="82"/>
      <c r="H7" s="82"/>
      <c r="I7" s="82"/>
      <c r="J7" s="82"/>
      <c r="K7" s="82"/>
      <c r="L7" s="15"/>
    </row>
    <row r="8" spans="1:30" ht="14.25" hidden="1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30" ht="36" x14ac:dyDescent="0.25">
      <c r="A9" s="12"/>
      <c r="B9" s="82" t="str">
        <f>IF(Source!G12&lt;&gt;"Новый объект", Source!G12, "")</f>
        <v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  <c r="C9" s="82"/>
      <c r="D9" s="82"/>
      <c r="E9" s="82"/>
      <c r="F9" s="82"/>
      <c r="G9" s="82"/>
      <c r="H9" s="82"/>
      <c r="I9" s="82"/>
      <c r="J9" s="82"/>
      <c r="K9" s="82"/>
      <c r="L9" s="17"/>
      <c r="AD9" s="50" t="str">
        <f>IF(Source!G12&lt;&gt;"Новый объект", Source!G12, "")</f>
        <v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</row>
    <row r="10" spans="1:30" ht="14.25" x14ac:dyDescent="0.2">
      <c r="A10" s="12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14"/>
    </row>
    <row r="11" spans="1:30" ht="14.25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</row>
    <row r="12" spans="1:30" ht="14.25" x14ac:dyDescent="0.2">
      <c r="A12" s="84" t="str">
        <f>CONCATENATE("Основание: ", Source!J20)</f>
        <v xml:space="preserve">Основание: 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</row>
    <row r="13" spans="1:30" ht="14.25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30" ht="14.2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30" ht="14.25" x14ac:dyDescent="0.2">
      <c r="A15" s="12"/>
      <c r="B15" s="12"/>
      <c r="C15" s="12"/>
      <c r="D15" s="12"/>
      <c r="E15" s="18"/>
      <c r="F15" s="18"/>
      <c r="G15" s="85" t="s">
        <v>1143</v>
      </c>
      <c r="H15" s="85"/>
      <c r="I15" s="85" t="s">
        <v>1144</v>
      </c>
      <c r="J15" s="85"/>
      <c r="K15" s="12"/>
      <c r="L15" s="12"/>
    </row>
    <row r="16" spans="1:30" ht="15" x14ac:dyDescent="0.25">
      <c r="A16" s="12"/>
      <c r="B16" s="12"/>
      <c r="C16" s="76" t="s">
        <v>1145</v>
      </c>
      <c r="D16" s="76"/>
      <c r="E16" s="76"/>
      <c r="F16" s="76"/>
      <c r="G16" s="77">
        <f>SUM(O27:O732)/1000</f>
        <v>278.07889000000011</v>
      </c>
      <c r="H16" s="77"/>
      <c r="I16" s="77">
        <f>(Source!F378/1000)</f>
        <v>2243.9375499999996</v>
      </c>
      <c r="J16" s="77"/>
      <c r="K16" s="78" t="s">
        <v>1146</v>
      </c>
      <c r="L16" s="78"/>
    </row>
    <row r="17" spans="1:22" ht="14.25" x14ac:dyDescent="0.2">
      <c r="A17" s="12"/>
      <c r="B17" s="12"/>
      <c r="C17" s="80" t="s">
        <v>1147</v>
      </c>
      <c r="D17" s="80"/>
      <c r="E17" s="80"/>
      <c r="F17" s="80"/>
      <c r="G17" s="77">
        <f>SUM(W27:W732)/1000</f>
        <v>182.24137000000007</v>
      </c>
      <c r="H17" s="77"/>
      <c r="I17" s="77">
        <f>(Source!F365)/1000</f>
        <v>1223.1034099999999</v>
      </c>
      <c r="J17" s="77"/>
      <c r="K17" s="78" t="s">
        <v>1146</v>
      </c>
      <c r="L17" s="78"/>
    </row>
    <row r="18" spans="1:22" ht="14.25" x14ac:dyDescent="0.2">
      <c r="A18" s="12"/>
      <c r="B18" s="12"/>
      <c r="C18" s="80" t="s">
        <v>1148</v>
      </c>
      <c r="D18" s="80"/>
      <c r="E18" s="80"/>
      <c r="F18" s="80"/>
      <c r="G18" s="77">
        <f>SUM(X27:X732)/1000</f>
        <v>93.040259999999989</v>
      </c>
      <c r="H18" s="77"/>
      <c r="I18" s="77">
        <f>(Source!F366)/1000</f>
        <v>624.29968000000008</v>
      </c>
      <c r="J18" s="77"/>
      <c r="K18" s="78" t="s">
        <v>1146</v>
      </c>
      <c r="L18" s="78"/>
    </row>
    <row r="19" spans="1:22" ht="14.25" x14ac:dyDescent="0.2">
      <c r="A19" s="12"/>
      <c r="B19" s="12"/>
      <c r="C19" s="80" t="s">
        <v>1149</v>
      </c>
      <c r="D19" s="80"/>
      <c r="E19" s="80"/>
      <c r="F19" s="80"/>
      <c r="G19" s="77">
        <f>SUM(Y27:Y732)/1000</f>
        <v>0</v>
      </c>
      <c r="H19" s="77"/>
      <c r="I19" s="77">
        <f>(Source!F357)/1000</f>
        <v>0</v>
      </c>
      <c r="J19" s="77"/>
      <c r="K19" s="78" t="s">
        <v>1146</v>
      </c>
      <c r="L19" s="78"/>
    </row>
    <row r="20" spans="1:22" ht="14.25" x14ac:dyDescent="0.2">
      <c r="A20" s="12"/>
      <c r="B20" s="12"/>
      <c r="C20" s="80" t="s">
        <v>1150</v>
      </c>
      <c r="D20" s="80"/>
      <c r="E20" s="80"/>
      <c r="F20" s="80"/>
      <c r="G20" s="77">
        <f>SUM(Z27:Z732)/1000</f>
        <v>2.7972600000000001</v>
      </c>
      <c r="H20" s="77"/>
      <c r="I20" s="77">
        <f>(Source!F367+Source!F368)/1000</f>
        <v>54.238900000000001</v>
      </c>
      <c r="J20" s="77"/>
      <c r="K20" s="78" t="s">
        <v>1146</v>
      </c>
      <c r="L20" s="78"/>
    </row>
    <row r="21" spans="1:22" ht="15" x14ac:dyDescent="0.25">
      <c r="A21" s="12"/>
      <c r="B21" s="12"/>
      <c r="C21" s="76" t="s">
        <v>1151</v>
      </c>
      <c r="D21" s="76"/>
      <c r="E21" s="76"/>
      <c r="F21" s="76"/>
      <c r="G21" s="77">
        <f>I21</f>
        <v>1700.5197397750001</v>
      </c>
      <c r="H21" s="77"/>
      <c r="I21" s="77">
        <f>(Source!F370+Source!F371)</f>
        <v>1700.5197397750001</v>
      </c>
      <c r="J21" s="77"/>
      <c r="K21" s="78" t="s">
        <v>1152</v>
      </c>
      <c r="L21" s="78"/>
    </row>
    <row r="22" spans="1:22" ht="15" x14ac:dyDescent="0.25">
      <c r="A22" s="12"/>
      <c r="B22" s="12"/>
      <c r="C22" s="76" t="s">
        <v>1153</v>
      </c>
      <c r="D22" s="76"/>
      <c r="E22" s="76"/>
      <c r="F22" s="76"/>
      <c r="G22" s="77">
        <f>SUM(R27:R732)/1000</f>
        <v>15.972190000000001</v>
      </c>
      <c r="H22" s="77"/>
      <c r="I22" s="77">
        <f>(Source!F363+ Source!F362)/1000</f>
        <v>124.47514</v>
      </c>
      <c r="J22" s="77"/>
      <c r="K22" s="78" t="s">
        <v>1146</v>
      </c>
      <c r="L22" s="78"/>
    </row>
    <row r="23" spans="1:2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2" ht="14.25" x14ac:dyDescent="0.2">
      <c r="A24" s="79" t="s">
        <v>1166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</row>
    <row r="25" spans="1:22" ht="57" x14ac:dyDescent="0.2">
      <c r="A25" s="19" t="s">
        <v>1154</v>
      </c>
      <c r="B25" s="19" t="s">
        <v>1155</v>
      </c>
      <c r="C25" s="19" t="s">
        <v>1156</v>
      </c>
      <c r="D25" s="19" t="s">
        <v>1157</v>
      </c>
      <c r="E25" s="19" t="s">
        <v>1158</v>
      </c>
      <c r="F25" s="19" t="s">
        <v>1159</v>
      </c>
      <c r="G25" s="19" t="s">
        <v>1160</v>
      </c>
      <c r="H25" s="19" t="s">
        <v>1161</v>
      </c>
      <c r="I25" s="19" t="s">
        <v>1162</v>
      </c>
      <c r="J25" s="19" t="s">
        <v>1163</v>
      </c>
      <c r="K25" s="19" t="s">
        <v>1164</v>
      </c>
      <c r="L25" s="19" t="s">
        <v>1165</v>
      </c>
    </row>
    <row r="26" spans="1:22" ht="14.25" x14ac:dyDescent="0.2">
      <c r="A26" s="20">
        <v>1</v>
      </c>
      <c r="B26" s="20">
        <v>2</v>
      </c>
      <c r="C26" s="20">
        <v>3</v>
      </c>
      <c r="D26" s="20">
        <v>4</v>
      </c>
      <c r="E26" s="20">
        <v>5</v>
      </c>
      <c r="F26" s="20">
        <v>6</v>
      </c>
      <c r="G26" s="20">
        <v>7</v>
      </c>
      <c r="H26" s="20">
        <v>8</v>
      </c>
      <c r="I26" s="20">
        <v>9</v>
      </c>
      <c r="J26" s="20">
        <v>10</v>
      </c>
      <c r="K26" s="20">
        <v>11</v>
      </c>
      <c r="L26" s="21">
        <v>12</v>
      </c>
    </row>
    <row r="28" spans="1:22" ht="16.5" x14ac:dyDescent="0.25">
      <c r="A28" s="73" t="str">
        <f>CONCATENATE("Раздел: ",IF(Source!G24&lt;&gt;"Новый раздел", Source!G24, ""))</f>
        <v>Раздел: 1 Общестроительные работы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</row>
    <row r="29" spans="1:22" ht="57" x14ac:dyDescent="0.2">
      <c r="A29" s="45" t="str">
        <f>Source!E28</f>
        <v>1</v>
      </c>
      <c r="B29" s="46" t="str">
        <f>Source!F28</f>
        <v>46-04-012-03</v>
      </c>
      <c r="C29" s="46" t="str">
        <f>Source!G28</f>
        <v>Разборка деревянных заполнений проемов дверных и воротных (отбивка штукатурки откосов 24,86м2 входит в состав работ)</v>
      </c>
      <c r="D29" s="29" t="str">
        <f>Source!H28</f>
        <v>100 м2</v>
      </c>
      <c r="E29" s="11">
        <f>Source!I28</f>
        <v>9.3600000000000003E-2</v>
      </c>
      <c r="F29" s="30">
        <f>Source!AL28+Source!AM28+Source!AO28</f>
        <v>1082.58</v>
      </c>
      <c r="G29" s="31"/>
      <c r="H29" s="30"/>
      <c r="I29" s="31" t="str">
        <f>Source!BO28</f>
        <v/>
      </c>
      <c r="J29" s="31"/>
      <c r="K29" s="30"/>
      <c r="L29" s="32"/>
      <c r="S29">
        <f>ROUND((Source!FX28/100)*((ROUND(Source!AF28*Source!I28, 2)+ROUND(Source!AE28*Source!I28, 2))), 2)</f>
        <v>87.58</v>
      </c>
      <c r="T29">
        <f>Source!X28</f>
        <v>587.65</v>
      </c>
      <c r="U29">
        <f>ROUND((Source!FY28/100)*((ROUND(Source!AF28*Source!I28, 2)+ROUND(Source!AE28*Source!I28, 2))), 2)</f>
        <v>52.63</v>
      </c>
      <c r="V29">
        <f>Source!Y28</f>
        <v>356.15</v>
      </c>
    </row>
    <row r="30" spans="1:22" x14ac:dyDescent="0.2">
      <c r="C30" s="23" t="str">
        <f>"Объем: "&amp;Source!I28&amp;"=9,36/"&amp;"100"</f>
        <v>Объем: 0,0936=9,36/100</v>
      </c>
    </row>
    <row r="31" spans="1:22" ht="14.25" x14ac:dyDescent="0.2">
      <c r="A31" s="45"/>
      <c r="B31" s="46"/>
      <c r="C31" s="46" t="s">
        <v>1167</v>
      </c>
      <c r="D31" s="29"/>
      <c r="E31" s="11"/>
      <c r="F31" s="30">
        <f>Source!AO28</f>
        <v>840.63</v>
      </c>
      <c r="G31" s="31" t="str">
        <f>Source!DG28</f>
        <v/>
      </c>
      <c r="H31" s="30">
        <f>ROUND(Source!AF28*Source!I28, 2)</f>
        <v>78.680000000000007</v>
      </c>
      <c r="I31" s="31"/>
      <c r="J31" s="31">
        <f>IF(Source!BA28&lt;&gt; 0, Source!BA28, 1)</f>
        <v>6.71</v>
      </c>
      <c r="K31" s="30">
        <f>Source!S28</f>
        <v>527.96</v>
      </c>
      <c r="L31" s="32"/>
      <c r="R31">
        <f>H31</f>
        <v>78.680000000000007</v>
      </c>
    </row>
    <row r="32" spans="1:22" ht="14.25" x14ac:dyDescent="0.2">
      <c r="A32" s="45"/>
      <c r="B32" s="46"/>
      <c r="C32" s="46" t="s">
        <v>382</v>
      </c>
      <c r="D32" s="29"/>
      <c r="E32" s="11"/>
      <c r="F32" s="30">
        <f>Source!AM28</f>
        <v>241.95</v>
      </c>
      <c r="G32" s="31" t="str">
        <f>Source!DE28</f>
        <v/>
      </c>
      <c r="H32" s="30">
        <f>ROUND(Source!AD28*Source!I28, 2)</f>
        <v>22.65</v>
      </c>
      <c r="I32" s="31"/>
      <c r="J32" s="31">
        <f>IF(Source!BB28&lt;&gt; 0, Source!BB28, 1)</f>
        <v>6.71</v>
      </c>
      <c r="K32" s="30">
        <f>Source!Q28</f>
        <v>151.96</v>
      </c>
      <c r="L32" s="32"/>
    </row>
    <row r="33" spans="1:26" ht="14.25" x14ac:dyDescent="0.2">
      <c r="A33" s="45"/>
      <c r="B33" s="46"/>
      <c r="C33" s="46" t="s">
        <v>1168</v>
      </c>
      <c r="D33" s="29"/>
      <c r="E33" s="11"/>
      <c r="F33" s="30">
        <f>Source!AN28</f>
        <v>104.49</v>
      </c>
      <c r="G33" s="31" t="str">
        <f>Source!DF28</f>
        <v/>
      </c>
      <c r="H33" s="33">
        <f>ROUND(Source!AE28*Source!I28, 2)</f>
        <v>9.7799999999999994</v>
      </c>
      <c r="I33" s="31"/>
      <c r="J33" s="31">
        <f>IF(Source!BS28&lt;&gt; 0, Source!BS28, 1)</f>
        <v>6.71</v>
      </c>
      <c r="K33" s="33">
        <f>Source!R28</f>
        <v>65.63</v>
      </c>
      <c r="L33" s="32"/>
      <c r="R33">
        <f>H33</f>
        <v>9.7799999999999994</v>
      </c>
    </row>
    <row r="34" spans="1:26" ht="14.25" x14ac:dyDescent="0.2">
      <c r="A34" s="45"/>
      <c r="B34" s="46"/>
      <c r="C34" s="46" t="s">
        <v>1169</v>
      </c>
      <c r="D34" s="29" t="s">
        <v>1170</v>
      </c>
      <c r="E34" s="11">
        <f>Source!BZ28</f>
        <v>110</v>
      </c>
      <c r="F34" s="74" t="str">
        <f>CONCATENATE(" )", Source!DL28, Source!FT28, "=", Source!FX28)</f>
        <v xml:space="preserve"> )*0,9=99</v>
      </c>
      <c r="G34" s="75"/>
      <c r="H34" s="30">
        <f>SUM(S29:S36)</f>
        <v>87.58</v>
      </c>
      <c r="I34" s="34"/>
      <c r="J34" s="27">
        <f>Source!AT28</f>
        <v>99</v>
      </c>
      <c r="K34" s="30">
        <f>SUM(T29:T36)</f>
        <v>587.65</v>
      </c>
      <c r="L34" s="32"/>
    </row>
    <row r="35" spans="1:26" ht="14.25" x14ac:dyDescent="0.2">
      <c r="A35" s="45"/>
      <c r="B35" s="46"/>
      <c r="C35" s="46" t="s">
        <v>1171</v>
      </c>
      <c r="D35" s="29" t="s">
        <v>1170</v>
      </c>
      <c r="E35" s="11">
        <f>Source!CA28</f>
        <v>70</v>
      </c>
      <c r="F35" s="74" t="str">
        <f>CONCATENATE(" )", Source!DM28, Source!FU28, "=", Source!FY28)</f>
        <v xml:space="preserve"> )*0,85=59,5</v>
      </c>
      <c r="G35" s="75"/>
      <c r="H35" s="30">
        <f>SUM(U29:U36)</f>
        <v>52.63</v>
      </c>
      <c r="I35" s="34"/>
      <c r="J35" s="27">
        <f>Source!AU28</f>
        <v>60</v>
      </c>
      <c r="K35" s="30">
        <f>SUM(V29:V36)</f>
        <v>356.15</v>
      </c>
      <c r="L35" s="32"/>
    </row>
    <row r="36" spans="1:26" ht="14.25" x14ac:dyDescent="0.2">
      <c r="A36" s="47"/>
      <c r="B36" s="48"/>
      <c r="C36" s="48" t="s">
        <v>1172</v>
      </c>
      <c r="D36" s="35" t="s">
        <v>1173</v>
      </c>
      <c r="E36" s="36">
        <f>Source!AQ28</f>
        <v>103.91</v>
      </c>
      <c r="F36" s="37"/>
      <c r="G36" s="38" t="str">
        <f>Source!DI28</f>
        <v/>
      </c>
      <c r="H36" s="37"/>
      <c r="I36" s="38"/>
      <c r="J36" s="38"/>
      <c r="K36" s="37"/>
      <c r="L36" s="39">
        <f>Source!U28</f>
        <v>9.7259759999999993</v>
      </c>
    </row>
    <row r="37" spans="1:26" ht="15" x14ac:dyDescent="0.25">
      <c r="G37" s="72">
        <f>H31+H32+H34+H35</f>
        <v>241.54000000000002</v>
      </c>
      <c r="H37" s="72"/>
      <c r="J37" s="72">
        <f>K31+K32+K34+K35</f>
        <v>1623.7200000000003</v>
      </c>
      <c r="K37" s="72"/>
      <c r="L37" s="40">
        <f>Source!U28</f>
        <v>9.7259759999999993</v>
      </c>
      <c r="O37" s="24">
        <f>G37</f>
        <v>241.54000000000002</v>
      </c>
      <c r="P37" s="24">
        <f>J37</f>
        <v>1623.7200000000003</v>
      </c>
      <c r="Q37" s="24">
        <f>L37</f>
        <v>9.7259759999999993</v>
      </c>
      <c r="W37">
        <f>IF(Source!BI28&lt;=1,H31+H32+H34+H35, 0)</f>
        <v>241.54000000000002</v>
      </c>
      <c r="X37">
        <f>IF(Source!BI28=2,H31+H32+H34+H35, 0)</f>
        <v>0</v>
      </c>
      <c r="Y37">
        <f>IF(Source!BI28=3,H31+H32+H34+H35, 0)</f>
        <v>0</v>
      </c>
      <c r="Z37">
        <f>IF(Source!BI28=4,H31+H32+H34+H35, 0)</f>
        <v>0</v>
      </c>
    </row>
    <row r="38" spans="1:26" ht="28.5" x14ac:dyDescent="0.2">
      <c r="A38" s="45" t="str">
        <f>Source!E29</f>
        <v>2</v>
      </c>
      <c r="B38" s="46" t="str">
        <f>Source!F29</f>
        <v>09-04-012-01</v>
      </c>
      <c r="C38" s="46" t="str">
        <f>Source!G29</f>
        <v>Демонтаж: Установка металлических дверных блоков в готовые проемы</v>
      </c>
      <c r="D38" s="29" t="str">
        <f>Source!H29</f>
        <v>м2</v>
      </c>
      <c r="E38" s="11">
        <f>Source!I29</f>
        <v>8.74</v>
      </c>
      <c r="F38" s="30">
        <f>Source!AL29+Source!AM29+Source!AO29</f>
        <v>63.94</v>
      </c>
      <c r="G38" s="31"/>
      <c r="H38" s="30"/>
      <c r="I38" s="31" t="str">
        <f>Source!BO29</f>
        <v/>
      </c>
      <c r="J38" s="31"/>
      <c r="K38" s="30"/>
      <c r="L38" s="32"/>
      <c r="S38">
        <f>ROUND((Source!FX29/100)*((ROUND(Source!AF29*Source!I29, 2)+ROUND(Source!AE29*Source!I29, 2))), 2)</f>
        <v>127.79</v>
      </c>
      <c r="T38">
        <f>Source!X29</f>
        <v>857.43</v>
      </c>
      <c r="U38">
        <f>ROUND((Source!FY29/100)*((ROUND(Source!AF29*Source!I29, 2)+ROUND(Source!AE29*Source!I29, 2))), 2)</f>
        <v>113.98</v>
      </c>
      <c r="V38">
        <f>Source!Y29</f>
        <v>762.16</v>
      </c>
    </row>
    <row r="39" spans="1:26" ht="14.25" x14ac:dyDescent="0.2">
      <c r="A39" s="45"/>
      <c r="B39" s="46"/>
      <c r="C39" s="46" t="s">
        <v>1167</v>
      </c>
      <c r="D39" s="29"/>
      <c r="E39" s="11"/>
      <c r="F39" s="30">
        <f>Source!AO29</f>
        <v>23.81</v>
      </c>
      <c r="G39" s="31" t="str">
        <f>Source!DG29</f>
        <v>)*0,7</v>
      </c>
      <c r="H39" s="30">
        <f>ROUND(Source!AF29*Source!I29, 2)</f>
        <v>145.69999999999999</v>
      </c>
      <c r="I39" s="31"/>
      <c r="J39" s="31">
        <f>IF(Source!BA29&lt;&gt; 0, Source!BA29, 1)</f>
        <v>6.71</v>
      </c>
      <c r="K39" s="30">
        <f>Source!S29</f>
        <v>977.62</v>
      </c>
      <c r="L39" s="32"/>
      <c r="R39">
        <f>H39</f>
        <v>145.69999999999999</v>
      </c>
    </row>
    <row r="40" spans="1:26" ht="14.25" x14ac:dyDescent="0.2">
      <c r="A40" s="45"/>
      <c r="B40" s="46"/>
      <c r="C40" s="46" t="s">
        <v>382</v>
      </c>
      <c r="D40" s="29"/>
      <c r="E40" s="11"/>
      <c r="F40" s="30">
        <f>Source!AM29</f>
        <v>14.41</v>
      </c>
      <c r="G40" s="31" t="str">
        <f>Source!DE29</f>
        <v>)*0,7</v>
      </c>
      <c r="H40" s="30">
        <f>ROUND(Source!AD29*Source!I29, 2)</f>
        <v>88.19</v>
      </c>
      <c r="I40" s="31"/>
      <c r="J40" s="31">
        <f>IF(Source!BB29&lt;&gt; 0, Source!BB29, 1)</f>
        <v>6.71</v>
      </c>
      <c r="K40" s="30">
        <f>Source!Q29</f>
        <v>591.73</v>
      </c>
      <c r="L40" s="32"/>
    </row>
    <row r="41" spans="1:26" ht="14.25" x14ac:dyDescent="0.2">
      <c r="A41" s="45"/>
      <c r="B41" s="46"/>
      <c r="C41" s="46" t="s">
        <v>1168</v>
      </c>
      <c r="D41" s="29"/>
      <c r="E41" s="11"/>
      <c r="F41" s="30">
        <f>Source!AN29</f>
        <v>1.97</v>
      </c>
      <c r="G41" s="31" t="str">
        <f>Source!DF29</f>
        <v>)*0,7</v>
      </c>
      <c r="H41" s="33">
        <f>ROUND(Source!AE29*Source!I29, 2)</f>
        <v>12.06</v>
      </c>
      <c r="I41" s="31"/>
      <c r="J41" s="31">
        <f>IF(Source!BS29&lt;&gt; 0, Source!BS29, 1)</f>
        <v>6.71</v>
      </c>
      <c r="K41" s="33">
        <f>Source!R29</f>
        <v>80.930000000000007</v>
      </c>
      <c r="L41" s="32"/>
      <c r="R41">
        <f>H41</f>
        <v>12.06</v>
      </c>
    </row>
    <row r="42" spans="1:26" ht="14.25" x14ac:dyDescent="0.2">
      <c r="A42" s="45"/>
      <c r="B42" s="46"/>
      <c r="C42" s="46" t="s">
        <v>1169</v>
      </c>
      <c r="D42" s="29" t="s">
        <v>1170</v>
      </c>
      <c r="E42" s="11">
        <f>Source!BZ29</f>
        <v>90</v>
      </c>
      <c r="F42" s="74" t="str">
        <f>CONCATENATE(" )", Source!DL29, Source!FT29, "=", Source!FX29)</f>
        <v xml:space="preserve"> )*0,9=81</v>
      </c>
      <c r="G42" s="75"/>
      <c r="H42" s="30">
        <f>SUM(S38:S44)</f>
        <v>127.79</v>
      </c>
      <c r="I42" s="34"/>
      <c r="J42" s="27">
        <f>Source!AT29</f>
        <v>81</v>
      </c>
      <c r="K42" s="30">
        <f>SUM(T38:T44)</f>
        <v>857.43</v>
      </c>
      <c r="L42" s="32"/>
    </row>
    <row r="43" spans="1:26" ht="14.25" x14ac:dyDescent="0.2">
      <c r="A43" s="45"/>
      <c r="B43" s="46"/>
      <c r="C43" s="46" t="s">
        <v>1171</v>
      </c>
      <c r="D43" s="29" t="s">
        <v>1170</v>
      </c>
      <c r="E43" s="11">
        <f>Source!CA29</f>
        <v>85</v>
      </c>
      <c r="F43" s="74" t="str">
        <f>CONCATENATE(" )", Source!DM29, Source!FU29, "=", Source!FY29)</f>
        <v xml:space="preserve"> )*0,85=72,25</v>
      </c>
      <c r="G43" s="75"/>
      <c r="H43" s="30">
        <f>SUM(U38:U44)</f>
        <v>113.98</v>
      </c>
      <c r="I43" s="34"/>
      <c r="J43" s="27">
        <f>Source!AU29</f>
        <v>72</v>
      </c>
      <c r="K43" s="30">
        <f>SUM(V38:V44)</f>
        <v>762.16</v>
      </c>
      <c r="L43" s="32"/>
    </row>
    <row r="44" spans="1:26" ht="14.25" x14ac:dyDescent="0.2">
      <c r="A44" s="47"/>
      <c r="B44" s="48"/>
      <c r="C44" s="48" t="s">
        <v>1172</v>
      </c>
      <c r="D44" s="35" t="s">
        <v>1173</v>
      </c>
      <c r="E44" s="36">
        <f>Source!AQ29</f>
        <v>2.4</v>
      </c>
      <c r="F44" s="37"/>
      <c r="G44" s="38" t="str">
        <f>Source!DI29</f>
        <v>)*0,7</v>
      </c>
      <c r="H44" s="37"/>
      <c r="I44" s="38"/>
      <c r="J44" s="38"/>
      <c r="K44" s="37"/>
      <c r="L44" s="39">
        <f>Source!U29</f>
        <v>14.683199999999999</v>
      </c>
    </row>
    <row r="45" spans="1:26" ht="15" x14ac:dyDescent="0.25">
      <c r="G45" s="72">
        <f>H39+H40+H42+H43</f>
        <v>475.66</v>
      </c>
      <c r="H45" s="72"/>
      <c r="J45" s="72">
        <f>K39+K40+K42+K43</f>
        <v>3188.9399999999996</v>
      </c>
      <c r="K45" s="72"/>
      <c r="L45" s="40">
        <f>Source!U29</f>
        <v>14.683199999999999</v>
      </c>
      <c r="O45" s="24">
        <f>G45</f>
        <v>475.66</v>
      </c>
      <c r="P45" s="24">
        <f>J45</f>
        <v>3188.9399999999996</v>
      </c>
      <c r="Q45" s="24">
        <f>L45</f>
        <v>14.683199999999999</v>
      </c>
      <c r="W45">
        <f>IF(Source!BI29&lt;=1,H39+H40+H42+H43, 0)</f>
        <v>475.66</v>
      </c>
      <c r="X45">
        <f>IF(Source!BI29=2,H39+H40+H42+H43, 0)</f>
        <v>0</v>
      </c>
      <c r="Y45">
        <f>IF(Source!BI29=3,H39+H40+H42+H43, 0)</f>
        <v>0</v>
      </c>
      <c r="Z45">
        <f>IF(Source!BI29=4,H39+H40+H42+H43, 0)</f>
        <v>0</v>
      </c>
    </row>
    <row r="46" spans="1:26" ht="28.5" x14ac:dyDescent="0.2">
      <c r="A46" s="45" t="str">
        <f>Source!E30</f>
        <v>3</v>
      </c>
      <c r="B46" s="46" t="str">
        <f>Source!F30</f>
        <v>57-3-1</v>
      </c>
      <c r="C46" s="46" t="str">
        <f>Source!G30</f>
        <v>Разборка плинтусов деревянных и из пластмассовых материалов</v>
      </c>
      <c r="D46" s="29" t="str">
        <f>Source!H30</f>
        <v>100 м</v>
      </c>
      <c r="E46" s="11">
        <f>Source!I30</f>
        <v>0.95599999999999996</v>
      </c>
      <c r="F46" s="30">
        <f>Source!AL30+Source!AM30+Source!AO30</f>
        <v>29.41</v>
      </c>
      <c r="G46" s="31"/>
      <c r="H46" s="30"/>
      <c r="I46" s="31" t="str">
        <f>Source!BO30</f>
        <v/>
      </c>
      <c r="J46" s="31"/>
      <c r="K46" s="30"/>
      <c r="L46" s="32"/>
      <c r="S46">
        <f>ROUND((Source!FX30/100)*((ROUND(Source!AF30*Source!I30, 2)+ROUND(Source!AE30*Source!I30, 2))), 2)</f>
        <v>22.5</v>
      </c>
      <c r="T46">
        <f>Source!X30</f>
        <v>150.93</v>
      </c>
      <c r="U46">
        <f>ROUND((Source!FY30/100)*((ROUND(Source!AF30*Source!I30, 2)+ROUND(Source!AE30*Source!I30, 2))), 2)</f>
        <v>19.12</v>
      </c>
      <c r="V46">
        <f>Source!Y30</f>
        <v>128.29</v>
      </c>
    </row>
    <row r="47" spans="1:26" x14ac:dyDescent="0.2">
      <c r="C47" s="23" t="str">
        <f>"Объем: "&amp;Source!I30&amp;"=95,6/"&amp;"100"</f>
        <v>Объем: 0,956=95,6/100</v>
      </c>
    </row>
    <row r="48" spans="1:26" ht="14.25" x14ac:dyDescent="0.2">
      <c r="A48" s="45"/>
      <c r="B48" s="46"/>
      <c r="C48" s="46" t="s">
        <v>1167</v>
      </c>
      <c r="D48" s="29"/>
      <c r="E48" s="11"/>
      <c r="F48" s="30">
        <f>Source!AO30</f>
        <v>29.41</v>
      </c>
      <c r="G48" s="31" t="str">
        <f>Source!DG30</f>
        <v/>
      </c>
      <c r="H48" s="30">
        <f>ROUND(Source!AF30*Source!I30, 2)</f>
        <v>28.12</v>
      </c>
      <c r="I48" s="31"/>
      <c r="J48" s="31">
        <f>IF(Source!BA30&lt;&gt; 0, Source!BA30, 1)</f>
        <v>6.71</v>
      </c>
      <c r="K48" s="30">
        <f>Source!S30</f>
        <v>188.66</v>
      </c>
      <c r="L48" s="32"/>
      <c r="R48">
        <f>H48</f>
        <v>28.12</v>
      </c>
    </row>
    <row r="49" spans="1:26" ht="14.25" x14ac:dyDescent="0.2">
      <c r="A49" s="45"/>
      <c r="B49" s="46"/>
      <c r="C49" s="46" t="s">
        <v>1169</v>
      </c>
      <c r="D49" s="29" t="s">
        <v>1170</v>
      </c>
      <c r="E49" s="11">
        <f>Source!BZ30</f>
        <v>80</v>
      </c>
      <c r="F49" s="49"/>
      <c r="G49" s="31"/>
      <c r="H49" s="30">
        <f>SUM(S46:S51)</f>
        <v>22.5</v>
      </c>
      <c r="I49" s="34"/>
      <c r="J49" s="27">
        <f>Source!AT30</f>
        <v>80</v>
      </c>
      <c r="K49" s="30">
        <f>SUM(T46:T51)</f>
        <v>150.93</v>
      </c>
      <c r="L49" s="32"/>
    </row>
    <row r="50" spans="1:26" ht="14.25" x14ac:dyDescent="0.2">
      <c r="A50" s="45"/>
      <c r="B50" s="46"/>
      <c r="C50" s="46" t="s">
        <v>1171</v>
      </c>
      <c r="D50" s="29" t="s">
        <v>1170</v>
      </c>
      <c r="E50" s="11">
        <f>Source!CA30</f>
        <v>68</v>
      </c>
      <c r="F50" s="49"/>
      <c r="G50" s="31"/>
      <c r="H50" s="30">
        <f>SUM(U46:U51)</f>
        <v>19.12</v>
      </c>
      <c r="I50" s="34"/>
      <c r="J50" s="27">
        <f>Source!AU30</f>
        <v>68</v>
      </c>
      <c r="K50" s="30">
        <f>SUM(V46:V51)</f>
        <v>128.29</v>
      </c>
      <c r="L50" s="32"/>
    </row>
    <row r="51" spans="1:26" ht="14.25" x14ac:dyDescent="0.2">
      <c r="A51" s="47"/>
      <c r="B51" s="48"/>
      <c r="C51" s="48" t="s">
        <v>1172</v>
      </c>
      <c r="D51" s="35" t="s">
        <v>1173</v>
      </c>
      <c r="E51" s="36">
        <f>Source!AQ30</f>
        <v>3.77</v>
      </c>
      <c r="F51" s="37"/>
      <c r="G51" s="38" t="str">
        <f>Source!DI30</f>
        <v/>
      </c>
      <c r="H51" s="37"/>
      <c r="I51" s="38"/>
      <c r="J51" s="38"/>
      <c r="K51" s="37"/>
      <c r="L51" s="39">
        <f>Source!U30</f>
        <v>3.60412</v>
      </c>
    </row>
    <row r="52" spans="1:26" ht="15" x14ac:dyDescent="0.25">
      <c r="G52" s="72">
        <f>H48+H49+H50</f>
        <v>69.740000000000009</v>
      </c>
      <c r="H52" s="72"/>
      <c r="J52" s="72">
        <f>K48+K49+K50</f>
        <v>467.88</v>
      </c>
      <c r="K52" s="72"/>
      <c r="L52" s="40">
        <f>Source!U30</f>
        <v>3.60412</v>
      </c>
      <c r="O52" s="24">
        <f>G52</f>
        <v>69.740000000000009</v>
      </c>
      <c r="P52" s="24">
        <f>J52</f>
        <v>467.88</v>
      </c>
      <c r="Q52" s="24">
        <f>L52</f>
        <v>3.60412</v>
      </c>
      <c r="W52">
        <f>IF(Source!BI30&lt;=1,H48+H49+H50, 0)</f>
        <v>69.740000000000009</v>
      </c>
      <c r="X52">
        <f>IF(Source!BI30=2,H48+H49+H50, 0)</f>
        <v>0</v>
      </c>
      <c r="Y52">
        <f>IF(Source!BI30=3,H48+H49+H50, 0)</f>
        <v>0</v>
      </c>
      <c r="Z52">
        <f>IF(Source!BI30=4,H48+H49+H50, 0)</f>
        <v>0</v>
      </c>
    </row>
    <row r="53" spans="1:26" ht="28.5" x14ac:dyDescent="0.2">
      <c r="A53" s="45" t="str">
        <f>Source!E31</f>
        <v>4</v>
      </c>
      <c r="B53" s="46" t="str">
        <f>Source!F31</f>
        <v>57-2-1</v>
      </c>
      <c r="C53" s="46" t="str">
        <f>Source!G31</f>
        <v>Разборка покрытий полов из линолеума и релина</v>
      </c>
      <c r="D53" s="29" t="str">
        <f>Source!H31</f>
        <v>100 м2</v>
      </c>
      <c r="E53" s="11">
        <f>Source!I31</f>
        <v>1.3315999999999999</v>
      </c>
      <c r="F53" s="30">
        <f>Source!AL31+Source!AM31+Source!AO31</f>
        <v>92.9</v>
      </c>
      <c r="G53" s="31"/>
      <c r="H53" s="30"/>
      <c r="I53" s="31" t="str">
        <f>Source!BO31</f>
        <v/>
      </c>
      <c r="J53" s="31"/>
      <c r="K53" s="30"/>
      <c r="L53" s="32"/>
      <c r="S53">
        <f>ROUND((Source!FX31/100)*((ROUND(Source!AF31*Source!I31, 2)+ROUND(Source!AE31*Source!I31, 2))), 2)</f>
        <v>96.51</v>
      </c>
      <c r="T53">
        <f>Source!X31</f>
        <v>647.62</v>
      </c>
      <c r="U53">
        <f>ROUND((Source!FY31/100)*((ROUND(Source!AF31*Source!I31, 2)+ROUND(Source!AE31*Source!I31, 2))), 2)</f>
        <v>82.04</v>
      </c>
      <c r="V53">
        <f>Source!Y31</f>
        <v>550.47</v>
      </c>
    </row>
    <row r="54" spans="1:26" x14ac:dyDescent="0.2">
      <c r="C54" s="23" t="str">
        <f>"Объем: "&amp;Source!I31&amp;"=133,16/"&amp;"100"</f>
        <v>Объем: 1,3316=133,16/100</v>
      </c>
    </row>
    <row r="55" spans="1:26" ht="14.25" x14ac:dyDescent="0.2">
      <c r="A55" s="45"/>
      <c r="B55" s="46"/>
      <c r="C55" s="46" t="s">
        <v>1167</v>
      </c>
      <c r="D55" s="29"/>
      <c r="E55" s="11"/>
      <c r="F55" s="30">
        <f>Source!AO31</f>
        <v>88.84</v>
      </c>
      <c r="G55" s="31" t="str">
        <f>Source!DG31</f>
        <v/>
      </c>
      <c r="H55" s="30">
        <f>ROUND(Source!AF31*Source!I31, 2)</f>
        <v>118.3</v>
      </c>
      <c r="I55" s="31"/>
      <c r="J55" s="31">
        <f>IF(Source!BA31&lt;&gt; 0, Source!BA31, 1)</f>
        <v>6.71</v>
      </c>
      <c r="K55" s="30">
        <f>Source!S31</f>
        <v>793.79</v>
      </c>
      <c r="L55" s="32"/>
      <c r="R55">
        <f>H55</f>
        <v>118.3</v>
      </c>
    </row>
    <row r="56" spans="1:26" ht="14.25" x14ac:dyDescent="0.2">
      <c r="A56" s="45"/>
      <c r="B56" s="46"/>
      <c r="C56" s="46" t="s">
        <v>382</v>
      </c>
      <c r="D56" s="29"/>
      <c r="E56" s="11"/>
      <c r="F56" s="30">
        <f>Source!AM31</f>
        <v>4.0599999999999996</v>
      </c>
      <c r="G56" s="31" t="str">
        <f>Source!DE31</f>
        <v/>
      </c>
      <c r="H56" s="30">
        <f>ROUND(Source!AD31*Source!I31, 2)</f>
        <v>5.41</v>
      </c>
      <c r="I56" s="31"/>
      <c r="J56" s="31">
        <f>IF(Source!BB31&lt;&gt; 0, Source!BB31, 1)</f>
        <v>6.71</v>
      </c>
      <c r="K56" s="30">
        <f>Source!Q31</f>
        <v>36.28</v>
      </c>
      <c r="L56" s="32"/>
    </row>
    <row r="57" spans="1:26" ht="14.25" x14ac:dyDescent="0.2">
      <c r="A57" s="45"/>
      <c r="B57" s="46"/>
      <c r="C57" s="46" t="s">
        <v>1168</v>
      </c>
      <c r="D57" s="29"/>
      <c r="E57" s="11"/>
      <c r="F57" s="30">
        <f>Source!AN31</f>
        <v>1.76</v>
      </c>
      <c r="G57" s="31" t="str">
        <f>Source!DF31</f>
        <v/>
      </c>
      <c r="H57" s="33">
        <f>ROUND(Source!AE31*Source!I31, 2)</f>
        <v>2.34</v>
      </c>
      <c r="I57" s="31"/>
      <c r="J57" s="31">
        <f>IF(Source!BS31&lt;&gt; 0, Source!BS31, 1)</f>
        <v>6.71</v>
      </c>
      <c r="K57" s="33">
        <f>Source!R31</f>
        <v>15.73</v>
      </c>
      <c r="L57" s="32"/>
      <c r="R57">
        <f>H57</f>
        <v>2.34</v>
      </c>
    </row>
    <row r="58" spans="1:26" ht="14.25" x14ac:dyDescent="0.2">
      <c r="A58" s="45"/>
      <c r="B58" s="46"/>
      <c r="C58" s="46" t="s">
        <v>1169</v>
      </c>
      <c r="D58" s="29" t="s">
        <v>1170</v>
      </c>
      <c r="E58" s="11">
        <f>Source!BZ31</f>
        <v>80</v>
      </c>
      <c r="F58" s="49"/>
      <c r="G58" s="31"/>
      <c r="H58" s="30">
        <f>SUM(S53:S60)</f>
        <v>96.51</v>
      </c>
      <c r="I58" s="34"/>
      <c r="J58" s="27">
        <f>Source!AT31</f>
        <v>80</v>
      </c>
      <c r="K58" s="30">
        <f>SUM(T53:T60)</f>
        <v>647.62</v>
      </c>
      <c r="L58" s="32"/>
    </row>
    <row r="59" spans="1:26" ht="14.25" x14ac:dyDescent="0.2">
      <c r="A59" s="45"/>
      <c r="B59" s="46"/>
      <c r="C59" s="46" t="s">
        <v>1171</v>
      </c>
      <c r="D59" s="29" t="s">
        <v>1170</v>
      </c>
      <c r="E59" s="11">
        <f>Source!CA31</f>
        <v>68</v>
      </c>
      <c r="F59" s="49"/>
      <c r="G59" s="31"/>
      <c r="H59" s="30">
        <f>SUM(U53:U60)</f>
        <v>82.04</v>
      </c>
      <c r="I59" s="34"/>
      <c r="J59" s="27">
        <f>Source!AU31</f>
        <v>68</v>
      </c>
      <c r="K59" s="30">
        <f>SUM(V53:V60)</f>
        <v>550.47</v>
      </c>
      <c r="L59" s="32"/>
    </row>
    <row r="60" spans="1:26" ht="14.25" x14ac:dyDescent="0.2">
      <c r="A60" s="47"/>
      <c r="B60" s="48"/>
      <c r="C60" s="48" t="s">
        <v>1172</v>
      </c>
      <c r="D60" s="35" t="s">
        <v>1173</v>
      </c>
      <c r="E60" s="36">
        <f>Source!AQ31</f>
        <v>11.39</v>
      </c>
      <c r="F60" s="37"/>
      <c r="G60" s="38" t="str">
        <f>Source!DI31</f>
        <v/>
      </c>
      <c r="H60" s="37"/>
      <c r="I60" s="38"/>
      <c r="J60" s="38"/>
      <c r="K60" s="37"/>
      <c r="L60" s="39">
        <f>Source!U31</f>
        <v>15.166924</v>
      </c>
    </row>
    <row r="61" spans="1:26" ht="15" x14ac:dyDescent="0.25">
      <c r="G61" s="72">
        <f>H55+H56+H58+H59</f>
        <v>302.26</v>
      </c>
      <c r="H61" s="72"/>
      <c r="J61" s="72">
        <f>K55+K56+K58+K59</f>
        <v>2028.16</v>
      </c>
      <c r="K61" s="72"/>
      <c r="L61" s="40">
        <f>Source!U31</f>
        <v>15.166924</v>
      </c>
      <c r="O61" s="24">
        <f>G61</f>
        <v>302.26</v>
      </c>
      <c r="P61" s="24">
        <f>J61</f>
        <v>2028.16</v>
      </c>
      <c r="Q61" s="24">
        <f>L61</f>
        <v>15.166924</v>
      </c>
      <c r="W61">
        <f>IF(Source!BI31&lt;=1,H55+H56+H58+H59, 0)</f>
        <v>302.26</v>
      </c>
      <c r="X61">
        <f>IF(Source!BI31=2,H55+H56+H58+H59, 0)</f>
        <v>0</v>
      </c>
      <c r="Y61">
        <f>IF(Source!BI31=3,H55+H56+H58+H59, 0)</f>
        <v>0</v>
      </c>
      <c r="Z61">
        <f>IF(Source!BI31=4,H55+H56+H58+H59, 0)</f>
        <v>0</v>
      </c>
    </row>
    <row r="62" spans="1:26" ht="28.5" x14ac:dyDescent="0.2">
      <c r="A62" s="45" t="str">
        <f>Source!E32</f>
        <v>5</v>
      </c>
      <c r="B62" s="46" t="str">
        <f>Source!F32</f>
        <v>46-04-010-03</v>
      </c>
      <c r="C62" s="46" t="str">
        <f>Source!G32</f>
        <v>Разборка покрытий полов паркетных</v>
      </c>
      <c r="D62" s="29" t="str">
        <f>Source!H32</f>
        <v>100 м2</v>
      </c>
      <c r="E62" s="11">
        <f>Source!I32</f>
        <v>1.26E-2</v>
      </c>
      <c r="F62" s="30">
        <f>Source!AL32+Source!AM32+Source!AO32</f>
        <v>413.9</v>
      </c>
      <c r="G62" s="31"/>
      <c r="H62" s="30"/>
      <c r="I62" s="31" t="str">
        <f>Source!BO32</f>
        <v/>
      </c>
      <c r="J62" s="31"/>
      <c r="K62" s="30"/>
      <c r="L62" s="32"/>
      <c r="S62">
        <f>ROUND((Source!FX32/100)*((ROUND(Source!AF32*Source!I32, 2)+ROUND(Source!AE32*Source!I32, 2))), 2)</f>
        <v>4.7699999999999996</v>
      </c>
      <c r="T62">
        <f>Source!X32</f>
        <v>32.03</v>
      </c>
      <c r="U62">
        <f>ROUND((Source!FY32/100)*((ROUND(Source!AF32*Source!I32, 2)+ROUND(Source!AE32*Source!I32, 2))), 2)</f>
        <v>2.87</v>
      </c>
      <c r="V62">
        <f>Source!Y32</f>
        <v>19.41</v>
      </c>
    </row>
    <row r="63" spans="1:26" x14ac:dyDescent="0.2">
      <c r="C63" s="23" t="str">
        <f>"Объем: "&amp;Source!I32&amp;"=1,26/"&amp;"100"</f>
        <v>Объем: 0,0126=1,26/100</v>
      </c>
    </row>
    <row r="64" spans="1:26" ht="14.25" x14ac:dyDescent="0.2">
      <c r="A64" s="45"/>
      <c r="B64" s="46"/>
      <c r="C64" s="46" t="s">
        <v>1167</v>
      </c>
      <c r="D64" s="29"/>
      <c r="E64" s="11"/>
      <c r="F64" s="30">
        <f>Source!AO32</f>
        <v>358.88</v>
      </c>
      <c r="G64" s="31" t="str">
        <f>Source!DG32</f>
        <v/>
      </c>
      <c r="H64" s="30">
        <f>ROUND(Source!AF32*Source!I32, 2)</f>
        <v>4.5199999999999996</v>
      </c>
      <c r="I64" s="31"/>
      <c r="J64" s="31">
        <f>IF(Source!BA32&lt;&gt; 0, Source!BA32, 1)</f>
        <v>6.71</v>
      </c>
      <c r="K64" s="30">
        <f>Source!S32</f>
        <v>30.34</v>
      </c>
      <c r="L64" s="32"/>
      <c r="R64">
        <f>H64</f>
        <v>4.5199999999999996</v>
      </c>
    </row>
    <row r="65" spans="1:26" ht="14.25" x14ac:dyDescent="0.2">
      <c r="A65" s="45"/>
      <c r="B65" s="46"/>
      <c r="C65" s="46" t="s">
        <v>382</v>
      </c>
      <c r="D65" s="29"/>
      <c r="E65" s="11"/>
      <c r="F65" s="30">
        <f>Source!AM32</f>
        <v>55.02</v>
      </c>
      <c r="G65" s="31" t="str">
        <f>Source!DE32</f>
        <v/>
      </c>
      <c r="H65" s="30">
        <f>ROUND(Source!AD32*Source!I32, 2)</f>
        <v>0.69</v>
      </c>
      <c r="I65" s="31"/>
      <c r="J65" s="31">
        <f>IF(Source!BB32&lt;&gt; 0, Source!BB32, 1)</f>
        <v>6.71</v>
      </c>
      <c r="K65" s="30">
        <f>Source!Q32</f>
        <v>4.6500000000000004</v>
      </c>
      <c r="L65" s="32"/>
    </row>
    <row r="66" spans="1:26" ht="14.25" x14ac:dyDescent="0.2">
      <c r="A66" s="45"/>
      <c r="B66" s="46"/>
      <c r="C66" s="46" t="s">
        <v>1168</v>
      </c>
      <c r="D66" s="29"/>
      <c r="E66" s="11"/>
      <c r="F66" s="30">
        <f>Source!AN32</f>
        <v>23.76</v>
      </c>
      <c r="G66" s="31" t="str">
        <f>Source!DF32</f>
        <v/>
      </c>
      <c r="H66" s="33">
        <f>ROUND(Source!AE32*Source!I32, 2)</f>
        <v>0.3</v>
      </c>
      <c r="I66" s="31"/>
      <c r="J66" s="31">
        <f>IF(Source!BS32&lt;&gt; 0, Source!BS32, 1)</f>
        <v>6.71</v>
      </c>
      <c r="K66" s="33">
        <f>Source!R32</f>
        <v>2.0099999999999998</v>
      </c>
      <c r="L66" s="32"/>
      <c r="R66">
        <f>H66</f>
        <v>0.3</v>
      </c>
    </row>
    <row r="67" spans="1:26" ht="14.25" x14ac:dyDescent="0.2">
      <c r="A67" s="45"/>
      <c r="B67" s="46"/>
      <c r="C67" s="46" t="s">
        <v>1169</v>
      </c>
      <c r="D67" s="29" t="s">
        <v>1170</v>
      </c>
      <c r="E67" s="11">
        <f>Source!BZ32</f>
        <v>110</v>
      </c>
      <c r="F67" s="74" t="str">
        <f>CONCATENATE(" )", Source!DL32, Source!FT32, "=", Source!FX32)</f>
        <v xml:space="preserve"> )*0,9=99</v>
      </c>
      <c r="G67" s="75"/>
      <c r="H67" s="30">
        <f>SUM(S62:S69)</f>
        <v>4.7699999999999996</v>
      </c>
      <c r="I67" s="34"/>
      <c r="J67" s="27">
        <f>Source!AT32</f>
        <v>99</v>
      </c>
      <c r="K67" s="30">
        <f>SUM(T62:T69)</f>
        <v>32.03</v>
      </c>
      <c r="L67" s="32"/>
    </row>
    <row r="68" spans="1:26" ht="14.25" x14ac:dyDescent="0.2">
      <c r="A68" s="45"/>
      <c r="B68" s="46"/>
      <c r="C68" s="46" t="s">
        <v>1171</v>
      </c>
      <c r="D68" s="29" t="s">
        <v>1170</v>
      </c>
      <c r="E68" s="11">
        <f>Source!CA32</f>
        <v>70</v>
      </c>
      <c r="F68" s="74" t="str">
        <f>CONCATENATE(" )", Source!DM32, Source!FU32, "=", Source!FY32)</f>
        <v xml:space="preserve"> )*0,85=59,5</v>
      </c>
      <c r="G68" s="75"/>
      <c r="H68" s="30">
        <f>SUM(U62:U69)</f>
        <v>2.87</v>
      </c>
      <c r="I68" s="34"/>
      <c r="J68" s="27">
        <f>Source!AU32</f>
        <v>60</v>
      </c>
      <c r="K68" s="30">
        <f>SUM(V62:V69)</f>
        <v>19.41</v>
      </c>
      <c r="L68" s="32"/>
    </row>
    <row r="69" spans="1:26" ht="14.25" x14ac:dyDescent="0.2">
      <c r="A69" s="47"/>
      <c r="B69" s="48"/>
      <c r="C69" s="48" t="s">
        <v>1172</v>
      </c>
      <c r="D69" s="35" t="s">
        <v>1173</v>
      </c>
      <c r="E69" s="36">
        <f>Source!AQ32</f>
        <v>46.01</v>
      </c>
      <c r="F69" s="37"/>
      <c r="G69" s="38" t="str">
        <f>Source!DI32</f>
        <v/>
      </c>
      <c r="H69" s="37"/>
      <c r="I69" s="38"/>
      <c r="J69" s="38"/>
      <c r="K69" s="37"/>
      <c r="L69" s="39">
        <f>Source!U32</f>
        <v>0.57972599999999996</v>
      </c>
    </row>
    <row r="70" spans="1:26" ht="15" x14ac:dyDescent="0.25">
      <c r="G70" s="72">
        <f>H64+H65+H67+H68</f>
        <v>12.849999999999998</v>
      </c>
      <c r="H70" s="72"/>
      <c r="J70" s="72">
        <f>K64+K65+K67+K68</f>
        <v>86.43</v>
      </c>
      <c r="K70" s="72"/>
      <c r="L70" s="40">
        <f>Source!U32</f>
        <v>0.57972599999999996</v>
      </c>
      <c r="O70" s="24">
        <f>G70</f>
        <v>12.849999999999998</v>
      </c>
      <c r="P70" s="24">
        <f>J70</f>
        <v>86.43</v>
      </c>
      <c r="Q70" s="24">
        <f>L70</f>
        <v>0.57972599999999996</v>
      </c>
      <c r="W70">
        <f>IF(Source!BI32&lt;=1,H64+H65+H67+H68, 0)</f>
        <v>12.849999999999998</v>
      </c>
      <c r="X70">
        <f>IF(Source!BI32=2,H64+H65+H67+H68, 0)</f>
        <v>0</v>
      </c>
      <c r="Y70">
        <f>IF(Source!BI32=3,H64+H65+H67+H68, 0)</f>
        <v>0</v>
      </c>
      <c r="Z70">
        <f>IF(Source!BI32=4,H64+H65+H67+H68, 0)</f>
        <v>0</v>
      </c>
    </row>
    <row r="71" spans="1:26" ht="14.25" x14ac:dyDescent="0.2">
      <c r="A71" s="45" t="str">
        <f>Source!E33</f>
        <v>6</v>
      </c>
      <c r="B71" s="46" t="str">
        <f>Source!F33</f>
        <v>65-33-1</v>
      </c>
      <c r="C71" s="46" t="str">
        <f>Source!G33</f>
        <v>Смена жалюзийных решеток</v>
      </c>
      <c r="D71" s="29" t="str">
        <f>Source!H33</f>
        <v>100 ШТ</v>
      </c>
      <c r="E71" s="11">
        <f>Source!I33</f>
        <v>0.08</v>
      </c>
      <c r="F71" s="30">
        <f>Source!AL33+Source!AM33+Source!AO33</f>
        <v>430.86</v>
      </c>
      <c r="G71" s="31"/>
      <c r="H71" s="30"/>
      <c r="I71" s="31" t="str">
        <f>Source!BO33</f>
        <v/>
      </c>
      <c r="J71" s="31"/>
      <c r="K71" s="30"/>
      <c r="L71" s="32"/>
      <c r="S71">
        <f>ROUND((Source!FX33/100)*((ROUND(Source!AF33*Source!I33, 2)+ROUND(Source!AE33*Source!I33, 2))), 2)</f>
        <v>32.479999999999997</v>
      </c>
      <c r="T71">
        <f>Source!X33</f>
        <v>217.93</v>
      </c>
      <c r="U71">
        <f>ROUND((Source!FY33/100)*((ROUND(Source!AF33*Source!I33, 2)+ROUND(Source!AE33*Source!I33, 2))), 2)</f>
        <v>18.920000000000002</v>
      </c>
      <c r="V71">
        <f>Source!Y33</f>
        <v>126.95</v>
      </c>
    </row>
    <row r="72" spans="1:26" x14ac:dyDescent="0.2">
      <c r="C72" s="23" t="str">
        <f>"Объем: "&amp;Source!I33&amp;"=8/"&amp;"100"</f>
        <v>Объем: 0,08=8/100</v>
      </c>
    </row>
    <row r="73" spans="1:26" ht="14.25" x14ac:dyDescent="0.2">
      <c r="A73" s="45"/>
      <c r="B73" s="46"/>
      <c r="C73" s="46" t="s">
        <v>1167</v>
      </c>
      <c r="D73" s="29"/>
      <c r="E73" s="11"/>
      <c r="F73" s="30">
        <f>Source!AO33</f>
        <v>394</v>
      </c>
      <c r="G73" s="31" t="str">
        <f>Source!DG33</f>
        <v/>
      </c>
      <c r="H73" s="30">
        <f>ROUND(Source!AF33*Source!I33, 2)</f>
        <v>31.52</v>
      </c>
      <c r="I73" s="31"/>
      <c r="J73" s="31">
        <f>IF(Source!BA33&lt;&gt; 0, Source!BA33, 1)</f>
        <v>6.71</v>
      </c>
      <c r="K73" s="30">
        <f>Source!S33</f>
        <v>211.5</v>
      </c>
      <c r="L73" s="32"/>
      <c r="R73">
        <f>H73</f>
        <v>31.52</v>
      </c>
    </row>
    <row r="74" spans="1:26" ht="14.25" x14ac:dyDescent="0.2">
      <c r="A74" s="45"/>
      <c r="B74" s="46"/>
      <c r="C74" s="46" t="s">
        <v>382</v>
      </c>
      <c r="D74" s="29"/>
      <c r="E74" s="11"/>
      <c r="F74" s="30">
        <f>Source!AM33</f>
        <v>0.31</v>
      </c>
      <c r="G74" s="31" t="str">
        <f>Source!DE33</f>
        <v/>
      </c>
      <c r="H74" s="30">
        <f>ROUND(Source!AD33*Source!I33, 2)</f>
        <v>0.02</v>
      </c>
      <c r="I74" s="31"/>
      <c r="J74" s="31">
        <f>IF(Source!BB33&lt;&gt; 0, Source!BB33, 1)</f>
        <v>6.71</v>
      </c>
      <c r="K74" s="30">
        <f>Source!Q33</f>
        <v>0.17</v>
      </c>
      <c r="L74" s="32"/>
    </row>
    <row r="75" spans="1:26" ht="14.25" x14ac:dyDescent="0.2">
      <c r="A75" s="45"/>
      <c r="B75" s="46"/>
      <c r="C75" s="46" t="s">
        <v>1168</v>
      </c>
      <c r="D75" s="29"/>
      <c r="E75" s="11"/>
      <c r="F75" s="30">
        <f>Source!AN33</f>
        <v>0.14000000000000001</v>
      </c>
      <c r="G75" s="31" t="str">
        <f>Source!DF33</f>
        <v/>
      </c>
      <c r="H75" s="33">
        <f>ROUND(Source!AE33*Source!I33, 2)</f>
        <v>0.01</v>
      </c>
      <c r="I75" s="31"/>
      <c r="J75" s="31">
        <f>IF(Source!BS33&lt;&gt; 0, Source!BS33, 1)</f>
        <v>6.71</v>
      </c>
      <c r="K75" s="33">
        <f>Source!R33</f>
        <v>0.08</v>
      </c>
      <c r="L75" s="32"/>
      <c r="R75">
        <f>H75</f>
        <v>0.01</v>
      </c>
    </row>
    <row r="76" spans="1:26" ht="14.25" x14ac:dyDescent="0.2">
      <c r="A76" s="45"/>
      <c r="B76" s="46"/>
      <c r="C76" s="46" t="s">
        <v>1174</v>
      </c>
      <c r="D76" s="29"/>
      <c r="E76" s="11"/>
      <c r="F76" s="30">
        <f>Source!AL33</f>
        <v>36.549999999999997</v>
      </c>
      <c r="G76" s="31" t="str">
        <f>Source!DD33</f>
        <v/>
      </c>
      <c r="H76" s="30">
        <f>ROUND(Source!AC33*Source!I33, 2)</f>
        <v>2.92</v>
      </c>
      <c r="I76" s="31"/>
      <c r="J76" s="31">
        <f>IF(Source!BC33&lt;&gt; 0, Source!BC33, 1)</f>
        <v>6.71</v>
      </c>
      <c r="K76" s="30">
        <f>Source!P33</f>
        <v>19.62</v>
      </c>
      <c r="L76" s="32"/>
    </row>
    <row r="77" spans="1:26" ht="14.25" x14ac:dyDescent="0.2">
      <c r="A77" s="45"/>
      <c r="B77" s="46"/>
      <c r="C77" s="46" t="s">
        <v>1169</v>
      </c>
      <c r="D77" s="29" t="s">
        <v>1170</v>
      </c>
      <c r="E77" s="11">
        <f>Source!BZ33</f>
        <v>103</v>
      </c>
      <c r="F77" s="49"/>
      <c r="G77" s="31"/>
      <c r="H77" s="30">
        <f>SUM(S71:S80)</f>
        <v>32.479999999999997</v>
      </c>
      <c r="I77" s="34"/>
      <c r="J77" s="27">
        <f>Source!AT33</f>
        <v>103</v>
      </c>
      <c r="K77" s="30">
        <f>SUM(T71:T80)</f>
        <v>217.93</v>
      </c>
      <c r="L77" s="32"/>
    </row>
    <row r="78" spans="1:26" ht="14.25" x14ac:dyDescent="0.2">
      <c r="A78" s="45"/>
      <c r="B78" s="46"/>
      <c r="C78" s="46" t="s">
        <v>1171</v>
      </c>
      <c r="D78" s="29" t="s">
        <v>1170</v>
      </c>
      <c r="E78" s="11">
        <f>Source!CA33</f>
        <v>60</v>
      </c>
      <c r="F78" s="49"/>
      <c r="G78" s="31"/>
      <c r="H78" s="30">
        <f>SUM(U71:U80)</f>
        <v>18.920000000000002</v>
      </c>
      <c r="I78" s="34"/>
      <c r="J78" s="27">
        <f>Source!AU33</f>
        <v>60</v>
      </c>
      <c r="K78" s="30">
        <f>SUM(V71:V80)</f>
        <v>126.95</v>
      </c>
      <c r="L78" s="32"/>
    </row>
    <row r="79" spans="1:26" ht="14.25" x14ac:dyDescent="0.2">
      <c r="A79" s="45"/>
      <c r="B79" s="46"/>
      <c r="C79" s="46" t="s">
        <v>1172</v>
      </c>
      <c r="D79" s="29" t="s">
        <v>1173</v>
      </c>
      <c r="E79" s="11">
        <f>Source!AQ33</f>
        <v>46.19</v>
      </c>
      <c r="F79" s="30"/>
      <c r="G79" s="31" t="str">
        <f>Source!DI33</f>
        <v/>
      </c>
      <c r="H79" s="30"/>
      <c r="I79" s="31"/>
      <c r="J79" s="31"/>
      <c r="K79" s="30"/>
      <c r="L79" s="41">
        <f>Source!U33</f>
        <v>3.6951999999999998</v>
      </c>
    </row>
    <row r="80" spans="1:26" ht="28.5" x14ac:dyDescent="0.2">
      <c r="A80" s="47" t="str">
        <f>Source!E34</f>
        <v>6,1</v>
      </c>
      <c r="B80" s="48" t="str">
        <f>Source!F34</f>
        <v>19.2.03.07-0028</v>
      </c>
      <c r="C80" s="48" t="str">
        <f>Source!G34</f>
        <v>Решетки пластиковые вентиляционные прим.(согласно тех.заданию)</v>
      </c>
      <c r="D80" s="35" t="str">
        <f>Source!H34</f>
        <v>шт.</v>
      </c>
      <c r="E80" s="36">
        <f>Source!I34</f>
        <v>8</v>
      </c>
      <c r="F80" s="37">
        <f>Source!AL34+Source!AM34+Source!AO34</f>
        <v>956.29</v>
      </c>
      <c r="G80" s="42" t="s">
        <v>6</v>
      </c>
      <c r="H80" s="37">
        <f>ROUND(Source!AC34*Source!I34, 2)+ROUND(Source!AD34*Source!I34, 2)+ROUND(Source!AF34*Source!I34, 2)</f>
        <v>7650.32</v>
      </c>
      <c r="I80" s="38"/>
      <c r="J80" s="38">
        <f>IF(Source!BC34&lt;&gt; 0, Source!BC34, 1)</f>
        <v>6.71</v>
      </c>
      <c r="K80" s="37">
        <f>Source!O34</f>
        <v>51333.65</v>
      </c>
      <c r="L80" s="43"/>
      <c r="S80">
        <f>ROUND((Source!FX34/100)*((ROUND(Source!AF34*Source!I34, 2)+ROUND(Source!AE34*Source!I34, 2))), 2)</f>
        <v>0</v>
      </c>
      <c r="T80">
        <f>Source!X34</f>
        <v>0</v>
      </c>
      <c r="U80">
        <f>ROUND((Source!FY34/100)*((ROUND(Source!AF34*Source!I34, 2)+ROUND(Source!AE34*Source!I34, 2))), 2)</f>
        <v>0</v>
      </c>
      <c r="V80">
        <f>Source!Y34</f>
        <v>0</v>
      </c>
      <c r="W80">
        <f>IF(Source!BI34&lt;=1,H80, 0)</f>
        <v>7650.32</v>
      </c>
      <c r="X80">
        <f>IF(Source!BI34=2,H80, 0)</f>
        <v>0</v>
      </c>
      <c r="Y80">
        <f>IF(Source!BI34=3,H80, 0)</f>
        <v>0</v>
      </c>
      <c r="Z80">
        <f>IF(Source!BI34=4,H80, 0)</f>
        <v>0</v>
      </c>
    </row>
    <row r="81" spans="1:26" ht="15" x14ac:dyDescent="0.25">
      <c r="G81" s="72">
        <f>H73+H74+H76+H77+H78+SUM(H80:H80)</f>
        <v>7736.1799999999994</v>
      </c>
      <c r="H81" s="72"/>
      <c r="J81" s="72">
        <f>K73+K74+K76+K77+K78+SUM(K80:K80)</f>
        <v>51909.82</v>
      </c>
      <c r="K81" s="72"/>
      <c r="L81" s="40">
        <f>Source!U33</f>
        <v>3.6951999999999998</v>
      </c>
      <c r="O81" s="24">
        <f>G81</f>
        <v>7736.1799999999994</v>
      </c>
      <c r="P81" s="24">
        <f>J81</f>
        <v>51909.82</v>
      </c>
      <c r="Q81" s="24">
        <f>L81</f>
        <v>3.6951999999999998</v>
      </c>
      <c r="W81">
        <f>IF(Source!BI33&lt;=1,H73+H74+H76+H77+H78, 0)</f>
        <v>85.86</v>
      </c>
      <c r="X81">
        <f>IF(Source!BI33=2,H73+H74+H76+H77+H78, 0)</f>
        <v>0</v>
      </c>
      <c r="Y81">
        <f>IF(Source!BI33=3,H73+H74+H76+H77+H78, 0)</f>
        <v>0</v>
      </c>
      <c r="Z81">
        <f>IF(Source!BI33=4,H73+H74+H76+H77+H78, 0)</f>
        <v>0</v>
      </c>
    </row>
    <row r="82" spans="1:26" ht="28.5" x14ac:dyDescent="0.2">
      <c r="A82" s="45" t="str">
        <f>Source!E35</f>
        <v>7</v>
      </c>
      <c r="B82" s="46" t="str">
        <f>Source!F35</f>
        <v>46-02-009-02</v>
      </c>
      <c r="C82" s="46" t="str">
        <f>Source!G35</f>
        <v>Отбивка штукатурки с поверхностей стен</v>
      </c>
      <c r="D82" s="29" t="str">
        <f>Source!H35</f>
        <v>100 м2</v>
      </c>
      <c r="E82" s="11">
        <f>Source!I35</f>
        <v>1.48</v>
      </c>
      <c r="F82" s="30">
        <f>Source!AL35+Source!AM35+Source!AO35</f>
        <v>178</v>
      </c>
      <c r="G82" s="31"/>
      <c r="H82" s="30"/>
      <c r="I82" s="31" t="str">
        <f>Source!BO35</f>
        <v/>
      </c>
      <c r="J82" s="31"/>
      <c r="K82" s="30"/>
      <c r="L82" s="32"/>
      <c r="S82">
        <f>ROUND((Source!FX35/100)*((ROUND(Source!AF35*Source!I35, 2)+ROUND(Source!AE35*Source!I35, 2))), 2)</f>
        <v>260.81</v>
      </c>
      <c r="T82">
        <f>Source!X35</f>
        <v>1750</v>
      </c>
      <c r="U82">
        <f>ROUND((Source!FY35/100)*((ROUND(Source!AF35*Source!I35, 2)+ROUND(Source!AE35*Source!I35, 2))), 2)</f>
        <v>156.75</v>
      </c>
      <c r="V82">
        <f>Source!Y35</f>
        <v>1060.6099999999999</v>
      </c>
    </row>
    <row r="83" spans="1:26" x14ac:dyDescent="0.2">
      <c r="C83" s="23" t="str">
        <f>"Объем: "&amp;Source!I35&amp;"=148/"&amp;"100"</f>
        <v>Объем: 1,48=148/100</v>
      </c>
    </row>
    <row r="84" spans="1:26" ht="14.25" x14ac:dyDescent="0.2">
      <c r="A84" s="45"/>
      <c r="B84" s="46"/>
      <c r="C84" s="46" t="s">
        <v>1167</v>
      </c>
      <c r="D84" s="29"/>
      <c r="E84" s="11"/>
      <c r="F84" s="30">
        <f>Source!AO35</f>
        <v>178</v>
      </c>
      <c r="G84" s="31" t="str">
        <f>Source!DG35</f>
        <v/>
      </c>
      <c r="H84" s="30">
        <f>ROUND(Source!AF35*Source!I35, 2)</f>
        <v>263.44</v>
      </c>
      <c r="I84" s="31"/>
      <c r="J84" s="31">
        <f>IF(Source!BA35&lt;&gt; 0, Source!BA35, 1)</f>
        <v>6.71</v>
      </c>
      <c r="K84" s="30">
        <f>Source!S35</f>
        <v>1767.68</v>
      </c>
      <c r="L84" s="32"/>
      <c r="R84">
        <f>H84</f>
        <v>263.44</v>
      </c>
    </row>
    <row r="85" spans="1:26" ht="14.25" x14ac:dyDescent="0.2">
      <c r="A85" s="45"/>
      <c r="B85" s="46"/>
      <c r="C85" s="46" t="s">
        <v>1169</v>
      </c>
      <c r="D85" s="29" t="s">
        <v>1170</v>
      </c>
      <c r="E85" s="11">
        <f>Source!BZ35</f>
        <v>110</v>
      </c>
      <c r="F85" s="74" t="str">
        <f>CONCATENATE(" )", Source!DL35, Source!FT35, "=", Source!FX35)</f>
        <v xml:space="preserve"> )*0,9=99</v>
      </c>
      <c r="G85" s="75"/>
      <c r="H85" s="30">
        <f>SUM(S82:S87)</f>
        <v>260.81</v>
      </c>
      <c r="I85" s="34"/>
      <c r="J85" s="27">
        <f>Source!AT35</f>
        <v>99</v>
      </c>
      <c r="K85" s="30">
        <f>SUM(T82:T87)</f>
        <v>1750</v>
      </c>
      <c r="L85" s="32"/>
    </row>
    <row r="86" spans="1:26" ht="14.25" x14ac:dyDescent="0.2">
      <c r="A86" s="45"/>
      <c r="B86" s="46"/>
      <c r="C86" s="46" t="s">
        <v>1171</v>
      </c>
      <c r="D86" s="29" t="s">
        <v>1170</v>
      </c>
      <c r="E86" s="11">
        <f>Source!CA35</f>
        <v>70</v>
      </c>
      <c r="F86" s="74" t="str">
        <f>CONCATENATE(" )", Source!DM35, Source!FU35, "=", Source!FY35)</f>
        <v xml:space="preserve"> )*0,85=59,5</v>
      </c>
      <c r="G86" s="75"/>
      <c r="H86" s="30">
        <f>SUM(U82:U87)</f>
        <v>156.75</v>
      </c>
      <c r="I86" s="34"/>
      <c r="J86" s="27">
        <f>Source!AU35</f>
        <v>60</v>
      </c>
      <c r="K86" s="30">
        <f>SUM(V82:V87)</f>
        <v>1060.6099999999999</v>
      </c>
      <c r="L86" s="32"/>
    </row>
    <row r="87" spans="1:26" ht="14.25" x14ac:dyDescent="0.2">
      <c r="A87" s="47"/>
      <c r="B87" s="48"/>
      <c r="C87" s="48" t="s">
        <v>1172</v>
      </c>
      <c r="D87" s="35" t="s">
        <v>1173</v>
      </c>
      <c r="E87" s="36">
        <f>Source!AQ35</f>
        <v>22.82</v>
      </c>
      <c r="F87" s="37"/>
      <c r="G87" s="38" t="str">
        <f>Source!DI35</f>
        <v/>
      </c>
      <c r="H87" s="37"/>
      <c r="I87" s="38"/>
      <c r="J87" s="38"/>
      <c r="K87" s="37"/>
      <c r="L87" s="39">
        <f>Source!U35</f>
        <v>33.773600000000002</v>
      </c>
    </row>
    <row r="88" spans="1:26" ht="15" x14ac:dyDescent="0.25">
      <c r="G88" s="72">
        <f>H84+H85+H86</f>
        <v>681</v>
      </c>
      <c r="H88" s="72"/>
      <c r="J88" s="72">
        <f>K84+K85+K86</f>
        <v>4578.29</v>
      </c>
      <c r="K88" s="72"/>
      <c r="L88" s="40">
        <f>Source!U35</f>
        <v>33.773600000000002</v>
      </c>
      <c r="O88" s="24">
        <f>G88</f>
        <v>681</v>
      </c>
      <c r="P88" s="24">
        <f>J88</f>
        <v>4578.29</v>
      </c>
      <c r="Q88" s="24">
        <f>L88</f>
        <v>33.773600000000002</v>
      </c>
      <c r="W88">
        <f>IF(Source!BI35&lt;=1,H84+H85+H86, 0)</f>
        <v>681</v>
      </c>
      <c r="X88">
        <f>IF(Source!BI35=2,H84+H85+H86, 0)</f>
        <v>0</v>
      </c>
      <c r="Y88">
        <f>IF(Source!BI35=3,H84+H85+H86, 0)</f>
        <v>0</v>
      </c>
      <c r="Z88">
        <f>IF(Source!BI35=4,H84+H85+H86, 0)</f>
        <v>0</v>
      </c>
    </row>
    <row r="89" spans="1:26" ht="28.5" x14ac:dyDescent="0.2">
      <c r="A89" s="45" t="str">
        <f>Source!E36</f>
        <v>8</v>
      </c>
      <c r="B89" s="46" t="str">
        <f>Source!F36</f>
        <v>20-06-001-01</v>
      </c>
      <c r="C89" s="46" t="str">
        <f>Source!G36</f>
        <v>Демонтаж: Установка кондиционеров доводчиков эжекционных</v>
      </c>
      <c r="D89" s="29" t="str">
        <f>Source!H36</f>
        <v>10 ШТ</v>
      </c>
      <c r="E89" s="11">
        <f>Source!I36</f>
        <v>0.1</v>
      </c>
      <c r="F89" s="30">
        <f>Source!AL36+Source!AM36+Source!AO36</f>
        <v>203.31</v>
      </c>
      <c r="G89" s="31"/>
      <c r="H89" s="30"/>
      <c r="I89" s="31" t="str">
        <f>Source!BO36</f>
        <v/>
      </c>
      <c r="J89" s="31"/>
      <c r="K89" s="30"/>
      <c r="L89" s="32"/>
      <c r="S89">
        <f>ROUND((Source!FX36/100)*((ROUND(Source!AF36*Source!I36, 2)+ROUND(Source!AE36*Source!I36, 2))), 2)</f>
        <v>8.7899999999999991</v>
      </c>
      <c r="T89">
        <f>Source!X36</f>
        <v>58.89</v>
      </c>
      <c r="U89">
        <f>ROUND((Source!FY36/100)*((ROUND(Source!AF36*Source!I36, 2)+ROUND(Source!AE36*Source!I36, 2))), 2)</f>
        <v>5.38</v>
      </c>
      <c r="V89">
        <f>Source!Y36</f>
        <v>36.36</v>
      </c>
    </row>
    <row r="90" spans="1:26" x14ac:dyDescent="0.2">
      <c r="C90" s="23" t="str">
        <f>"Объем: "&amp;Source!I36&amp;"=1/"&amp;"10"</f>
        <v>Объем: 0,1=1/10</v>
      </c>
    </row>
    <row r="91" spans="1:26" ht="14.25" x14ac:dyDescent="0.2">
      <c r="A91" s="45"/>
      <c r="B91" s="46"/>
      <c r="C91" s="46" t="s">
        <v>1167</v>
      </c>
      <c r="D91" s="29"/>
      <c r="E91" s="11"/>
      <c r="F91" s="30">
        <f>Source!AO36</f>
        <v>188.48</v>
      </c>
      <c r="G91" s="31" t="str">
        <f>Source!DG36</f>
        <v>)*0,4</v>
      </c>
      <c r="H91" s="30">
        <f>ROUND(Source!AF36*Source!I36, 2)</f>
        <v>7.54</v>
      </c>
      <c r="I91" s="31"/>
      <c r="J91" s="31">
        <f>IF(Source!BA36&lt;&gt; 0, Source!BA36, 1)</f>
        <v>6.71</v>
      </c>
      <c r="K91" s="30">
        <f>Source!S36</f>
        <v>50.59</v>
      </c>
      <c r="L91" s="32"/>
      <c r="R91">
        <f>H91</f>
        <v>7.54</v>
      </c>
    </row>
    <row r="92" spans="1:26" ht="14.25" x14ac:dyDescent="0.2">
      <c r="A92" s="45"/>
      <c r="B92" s="46"/>
      <c r="C92" s="46" t="s">
        <v>382</v>
      </c>
      <c r="D92" s="29"/>
      <c r="E92" s="11"/>
      <c r="F92" s="30">
        <f>Source!AM36</f>
        <v>13.14</v>
      </c>
      <c r="G92" s="31" t="str">
        <f>Source!DE36</f>
        <v>)*0,4</v>
      </c>
      <c r="H92" s="30">
        <f>ROUND(Source!AD36*Source!I36, 2)</f>
        <v>0.53</v>
      </c>
      <c r="I92" s="31"/>
      <c r="J92" s="31">
        <f>IF(Source!BB36&lt;&gt; 0, Source!BB36, 1)</f>
        <v>6.71</v>
      </c>
      <c r="K92" s="30">
        <f>Source!Q36</f>
        <v>3.53</v>
      </c>
      <c r="L92" s="32"/>
    </row>
    <row r="93" spans="1:26" ht="14.25" x14ac:dyDescent="0.2">
      <c r="A93" s="45"/>
      <c r="B93" s="46"/>
      <c r="C93" s="46" t="s">
        <v>1168</v>
      </c>
      <c r="D93" s="29"/>
      <c r="E93" s="11"/>
      <c r="F93" s="30">
        <f>Source!AN36</f>
        <v>2.3199999999999998</v>
      </c>
      <c r="G93" s="31" t="str">
        <f>Source!DF36</f>
        <v>)*0,4</v>
      </c>
      <c r="H93" s="33">
        <f>ROUND(Source!AE36*Source!I36, 2)</f>
        <v>0.09</v>
      </c>
      <c r="I93" s="31"/>
      <c r="J93" s="31">
        <f>IF(Source!BS36&lt;&gt; 0, Source!BS36, 1)</f>
        <v>6.71</v>
      </c>
      <c r="K93" s="33">
        <f>Source!R36</f>
        <v>0.62</v>
      </c>
      <c r="L93" s="32"/>
      <c r="R93">
        <f>H93</f>
        <v>0.09</v>
      </c>
    </row>
    <row r="94" spans="1:26" ht="14.25" x14ac:dyDescent="0.2">
      <c r="A94" s="45"/>
      <c r="B94" s="46"/>
      <c r="C94" s="46" t="s">
        <v>1169</v>
      </c>
      <c r="D94" s="29" t="s">
        <v>1170</v>
      </c>
      <c r="E94" s="11">
        <f>Source!BZ36</f>
        <v>128</v>
      </c>
      <c r="F94" s="74" t="str">
        <f>CONCATENATE(" )", Source!DL36, Source!FT36, "=", Source!FX36)</f>
        <v xml:space="preserve"> )*0,9=115,2</v>
      </c>
      <c r="G94" s="75"/>
      <c r="H94" s="30">
        <f>SUM(S89:S96)</f>
        <v>8.7899999999999991</v>
      </c>
      <c r="I94" s="34"/>
      <c r="J94" s="27">
        <f>Source!AT36</f>
        <v>115</v>
      </c>
      <c r="K94" s="30">
        <f>SUM(T89:T96)</f>
        <v>58.89</v>
      </c>
      <c r="L94" s="32"/>
    </row>
    <row r="95" spans="1:26" ht="14.25" x14ac:dyDescent="0.2">
      <c r="A95" s="45"/>
      <c r="B95" s="46"/>
      <c r="C95" s="46" t="s">
        <v>1171</v>
      </c>
      <c r="D95" s="29" t="s">
        <v>1170</v>
      </c>
      <c r="E95" s="11">
        <f>Source!CA36</f>
        <v>83</v>
      </c>
      <c r="F95" s="74" t="str">
        <f>CONCATENATE(" )", Source!DM36, Source!FU36, "=", Source!FY36)</f>
        <v xml:space="preserve"> )*0,85=70,55</v>
      </c>
      <c r="G95" s="75"/>
      <c r="H95" s="30">
        <f>SUM(U89:U96)</f>
        <v>5.38</v>
      </c>
      <c r="I95" s="34"/>
      <c r="J95" s="27">
        <f>Source!AU36</f>
        <v>71</v>
      </c>
      <c r="K95" s="30">
        <f>SUM(V89:V96)</f>
        <v>36.36</v>
      </c>
      <c r="L95" s="32"/>
    </row>
    <row r="96" spans="1:26" ht="14.25" x14ac:dyDescent="0.2">
      <c r="A96" s="47"/>
      <c r="B96" s="48"/>
      <c r="C96" s="48" t="s">
        <v>1172</v>
      </c>
      <c r="D96" s="35" t="s">
        <v>1173</v>
      </c>
      <c r="E96" s="36">
        <f>Source!AQ36</f>
        <v>19</v>
      </c>
      <c r="F96" s="37"/>
      <c r="G96" s="38" t="str">
        <f>Source!DI36</f>
        <v>)*0,4</v>
      </c>
      <c r="H96" s="37"/>
      <c r="I96" s="38"/>
      <c r="J96" s="38"/>
      <c r="K96" s="37"/>
      <c r="L96" s="39">
        <f>Source!U36</f>
        <v>0.76000000000000012</v>
      </c>
    </row>
    <row r="97" spans="1:26" ht="15" x14ac:dyDescent="0.25">
      <c r="G97" s="72">
        <f>H91+H92+H94+H95</f>
        <v>22.24</v>
      </c>
      <c r="H97" s="72"/>
      <c r="J97" s="72">
        <f>K91+K92+K94+K95</f>
        <v>149.37</v>
      </c>
      <c r="K97" s="72"/>
      <c r="L97" s="40">
        <f>Source!U36</f>
        <v>0.76000000000000012</v>
      </c>
      <c r="O97" s="24">
        <f>G97</f>
        <v>22.24</v>
      </c>
      <c r="P97" s="24">
        <f>J97</f>
        <v>149.37</v>
      </c>
      <c r="Q97" s="24">
        <f>L97</f>
        <v>0.76000000000000012</v>
      </c>
      <c r="W97">
        <f>IF(Source!BI36&lt;=1,H91+H92+H94+H95, 0)</f>
        <v>22.24</v>
      </c>
      <c r="X97">
        <f>IF(Source!BI36=2,H91+H92+H94+H95, 0)</f>
        <v>0</v>
      </c>
      <c r="Y97">
        <f>IF(Source!BI36=3,H91+H92+H94+H95, 0)</f>
        <v>0</v>
      </c>
      <c r="Z97">
        <f>IF(Source!BI36=4,H91+H92+H94+H95, 0)</f>
        <v>0</v>
      </c>
    </row>
    <row r="98" spans="1:26" ht="57" x14ac:dyDescent="0.2">
      <c r="A98" s="45" t="str">
        <f>Source!E37</f>
        <v>9</v>
      </c>
      <c r="B98" s="46" t="str">
        <f>Source!F37</f>
        <v>15-01-049-04 прим</v>
      </c>
      <c r="C98" s="46" t="str">
        <f>Source!G37</f>
        <v>Демонтаж школьной доски: Облицовка стен по готовому каркасу щитами-картинами из древесностружечных плит фанерованных шпоном</v>
      </c>
      <c r="D98" s="29" t="str">
        <f>Source!H37</f>
        <v>100 м2</v>
      </c>
      <c r="E98" s="11">
        <f>Source!I37</f>
        <v>0.15</v>
      </c>
      <c r="F98" s="30">
        <f>Source!AL37+Source!AM37+Source!AO37</f>
        <v>686.77</v>
      </c>
      <c r="G98" s="31"/>
      <c r="H98" s="30"/>
      <c r="I98" s="31" t="str">
        <f>Source!BO37</f>
        <v/>
      </c>
      <c r="J98" s="31"/>
      <c r="K98" s="30"/>
      <c r="L98" s="32"/>
      <c r="S98">
        <f>ROUND((Source!FX37/100)*((ROUND(Source!AF37*Source!I37, 2)+ROUND(Source!AE37*Source!I37, 2))), 2)</f>
        <v>56.49</v>
      </c>
      <c r="T98">
        <f>Source!X37</f>
        <v>381.02</v>
      </c>
      <c r="U98">
        <f>ROUND((Source!FY37/100)*((ROUND(Source!AF37*Source!I37, 2)+ROUND(Source!AE37*Source!I37, 2))), 2)</f>
        <v>27.95</v>
      </c>
      <c r="V98">
        <f>Source!Y37</f>
        <v>188.5</v>
      </c>
    </row>
    <row r="99" spans="1:26" x14ac:dyDescent="0.2">
      <c r="C99" s="23" t="str">
        <f>"Объем: "&amp;Source!I37&amp;"=15/"&amp;"100"</f>
        <v>Объем: 0,15=15/100</v>
      </c>
    </row>
    <row r="100" spans="1:26" ht="14.25" x14ac:dyDescent="0.2">
      <c r="A100" s="45"/>
      <c r="B100" s="46"/>
      <c r="C100" s="46" t="s">
        <v>1167</v>
      </c>
      <c r="D100" s="29"/>
      <c r="E100" s="11"/>
      <c r="F100" s="30">
        <f>Source!AO37</f>
        <v>481.21</v>
      </c>
      <c r="G100" s="31" t="str">
        <f>Source!DG37</f>
        <v>)*0,8</v>
      </c>
      <c r="H100" s="30">
        <f>ROUND(Source!AF37*Source!I37, 2)</f>
        <v>57.75</v>
      </c>
      <c r="I100" s="31"/>
      <c r="J100" s="31">
        <f>IF(Source!BA37&lt;&gt; 0, Source!BA37, 1)</f>
        <v>6.71</v>
      </c>
      <c r="K100" s="30">
        <f>Source!S37</f>
        <v>387.47</v>
      </c>
      <c r="L100" s="32"/>
      <c r="R100">
        <f>H100</f>
        <v>57.75</v>
      </c>
    </row>
    <row r="101" spans="1:26" ht="14.25" x14ac:dyDescent="0.2">
      <c r="A101" s="45"/>
      <c r="B101" s="46"/>
      <c r="C101" s="46" t="s">
        <v>382</v>
      </c>
      <c r="D101" s="29"/>
      <c r="E101" s="11"/>
      <c r="F101" s="30">
        <f>Source!AM37</f>
        <v>85.73</v>
      </c>
      <c r="G101" s="31" t="str">
        <f>Source!DE37</f>
        <v>)*0,8</v>
      </c>
      <c r="H101" s="30">
        <f>ROUND(Source!AD37*Source!I37, 2)</f>
        <v>10.29</v>
      </c>
      <c r="I101" s="31"/>
      <c r="J101" s="31">
        <f>IF(Source!BB37&lt;&gt; 0, Source!BB37, 1)</f>
        <v>6.71</v>
      </c>
      <c r="K101" s="30">
        <f>Source!Q37</f>
        <v>69.03</v>
      </c>
      <c r="L101" s="32"/>
    </row>
    <row r="102" spans="1:26" ht="14.25" x14ac:dyDescent="0.2">
      <c r="A102" s="45"/>
      <c r="B102" s="46"/>
      <c r="C102" s="46" t="s">
        <v>1168</v>
      </c>
      <c r="D102" s="29"/>
      <c r="E102" s="11"/>
      <c r="F102" s="30">
        <f>Source!AN37</f>
        <v>16.89</v>
      </c>
      <c r="G102" s="31" t="str">
        <f>Source!DF37</f>
        <v>)*0,8</v>
      </c>
      <c r="H102" s="33">
        <f>ROUND(Source!AE37*Source!I37, 2)</f>
        <v>2.0299999999999998</v>
      </c>
      <c r="I102" s="31"/>
      <c r="J102" s="31">
        <f>IF(Source!BS37&lt;&gt; 0, Source!BS37, 1)</f>
        <v>6.71</v>
      </c>
      <c r="K102" s="33">
        <f>Source!R37</f>
        <v>13.6</v>
      </c>
      <c r="L102" s="32"/>
      <c r="R102">
        <f>H102</f>
        <v>2.0299999999999998</v>
      </c>
    </row>
    <row r="103" spans="1:26" ht="14.25" x14ac:dyDescent="0.2">
      <c r="A103" s="45"/>
      <c r="B103" s="46"/>
      <c r="C103" s="46" t="s">
        <v>1169</v>
      </c>
      <c r="D103" s="29" t="s">
        <v>1170</v>
      </c>
      <c r="E103" s="11">
        <f>Source!BZ37</f>
        <v>105</v>
      </c>
      <c r="F103" s="74" t="str">
        <f>CONCATENATE(" )", Source!DL37, Source!FT37, "=", Source!FX37)</f>
        <v xml:space="preserve"> )*0,9=94,5</v>
      </c>
      <c r="G103" s="75"/>
      <c r="H103" s="30">
        <f>SUM(S98:S105)</f>
        <v>56.49</v>
      </c>
      <c r="I103" s="34"/>
      <c r="J103" s="27">
        <f>Source!AT37</f>
        <v>95</v>
      </c>
      <c r="K103" s="30">
        <f>SUM(T98:T105)</f>
        <v>381.02</v>
      </c>
      <c r="L103" s="32"/>
    </row>
    <row r="104" spans="1:26" ht="14.25" x14ac:dyDescent="0.2">
      <c r="A104" s="45"/>
      <c r="B104" s="46"/>
      <c r="C104" s="46" t="s">
        <v>1171</v>
      </c>
      <c r="D104" s="29" t="s">
        <v>1170</v>
      </c>
      <c r="E104" s="11">
        <f>Source!CA37</f>
        <v>55</v>
      </c>
      <c r="F104" s="74" t="str">
        <f>CONCATENATE(" )", Source!DM37, Source!FU37, "=", Source!FY37)</f>
        <v xml:space="preserve"> )*0,85=46,75</v>
      </c>
      <c r="G104" s="75"/>
      <c r="H104" s="30">
        <f>SUM(U98:U105)</f>
        <v>27.95</v>
      </c>
      <c r="I104" s="34"/>
      <c r="J104" s="27">
        <f>Source!AU37</f>
        <v>47</v>
      </c>
      <c r="K104" s="30">
        <f>SUM(V98:V105)</f>
        <v>188.5</v>
      </c>
      <c r="L104" s="32"/>
    </row>
    <row r="105" spans="1:26" ht="14.25" x14ac:dyDescent="0.2">
      <c r="A105" s="47"/>
      <c r="B105" s="48"/>
      <c r="C105" s="48" t="s">
        <v>1172</v>
      </c>
      <c r="D105" s="35" t="s">
        <v>1173</v>
      </c>
      <c r="E105" s="36">
        <f>Source!AQ37</f>
        <v>50.6</v>
      </c>
      <c r="F105" s="37"/>
      <c r="G105" s="38" t="str">
        <f>Source!DI37</f>
        <v>)*0,8</v>
      </c>
      <c r="H105" s="37"/>
      <c r="I105" s="38"/>
      <c r="J105" s="38"/>
      <c r="K105" s="37"/>
      <c r="L105" s="39">
        <f>Source!U37</f>
        <v>6.0720000000000001</v>
      </c>
    </row>
    <row r="106" spans="1:26" ht="15" x14ac:dyDescent="0.25">
      <c r="G106" s="72">
        <f>H100+H101+H103+H104</f>
        <v>152.47999999999999</v>
      </c>
      <c r="H106" s="72"/>
      <c r="J106" s="72">
        <f>K100+K101+K103+K104</f>
        <v>1026.02</v>
      </c>
      <c r="K106" s="72"/>
      <c r="L106" s="40">
        <f>Source!U37</f>
        <v>6.0720000000000001</v>
      </c>
      <c r="O106" s="24">
        <f>G106</f>
        <v>152.47999999999999</v>
      </c>
      <c r="P106" s="24">
        <f>J106</f>
        <v>1026.02</v>
      </c>
      <c r="Q106" s="24">
        <f>L106</f>
        <v>6.0720000000000001</v>
      </c>
      <c r="W106">
        <f>IF(Source!BI37&lt;=1,H100+H101+H103+H104, 0)</f>
        <v>152.47999999999999</v>
      </c>
      <c r="X106">
        <f>IF(Source!BI37=2,H100+H101+H103+H104, 0)</f>
        <v>0</v>
      </c>
      <c r="Y106">
        <f>IF(Source!BI37=3,H100+H101+H103+H104, 0)</f>
        <v>0</v>
      </c>
      <c r="Z106">
        <f>IF(Source!BI37=4,H100+H101+H103+H104, 0)</f>
        <v>0</v>
      </c>
    </row>
    <row r="107" spans="1:26" ht="42.75" x14ac:dyDescent="0.2">
      <c r="A107" s="45" t="str">
        <f>Source!E38</f>
        <v>10</v>
      </c>
      <c r="B107" s="46" t="str">
        <f>Source!F38</f>
        <v>17-01-002-04 прим.</v>
      </c>
      <c r="C107" s="46" t="str">
        <f>Source!G38</f>
        <v>Демонтаж :Установка гарнитуры туалетной: вешалок, подстаканников, поручней для ванн и т.д.</v>
      </c>
      <c r="D107" s="29" t="str">
        <f>Source!H38</f>
        <v>10 ШТ</v>
      </c>
      <c r="E107" s="11">
        <f>Source!I38</f>
        <v>0.1</v>
      </c>
      <c r="F107" s="30">
        <f>Source!AL38+Source!AM38+Source!AO38</f>
        <v>27.540000000000003</v>
      </c>
      <c r="G107" s="31"/>
      <c r="H107" s="30"/>
      <c r="I107" s="31" t="str">
        <f>Source!BO38</f>
        <v/>
      </c>
      <c r="J107" s="31"/>
      <c r="K107" s="30"/>
      <c r="L107" s="32"/>
      <c r="S107">
        <f>ROUND((Source!FX38/100)*((ROUND(Source!AF38*Source!I38, 2)+ROUND(Source!AE38*Source!I38, 2))), 2)</f>
        <v>1.24</v>
      </c>
      <c r="T107">
        <f>Source!X38</f>
        <v>8.31</v>
      </c>
      <c r="U107">
        <f>ROUND((Source!FY38/100)*((ROUND(Source!AF38*Source!I38, 2)+ROUND(Source!AE38*Source!I38, 2))), 2)</f>
        <v>0.76</v>
      </c>
      <c r="V107">
        <f>Source!Y38</f>
        <v>5.13</v>
      </c>
    </row>
    <row r="108" spans="1:26" x14ac:dyDescent="0.2">
      <c r="C108" s="23" t="str">
        <f>"Объем: "&amp;Source!I38&amp;"=1/"&amp;"10"</f>
        <v>Объем: 0,1=1/10</v>
      </c>
    </row>
    <row r="109" spans="1:26" ht="14.25" x14ac:dyDescent="0.2">
      <c r="A109" s="45"/>
      <c r="B109" s="46"/>
      <c r="C109" s="46" t="s">
        <v>1167</v>
      </c>
      <c r="D109" s="29"/>
      <c r="E109" s="11"/>
      <c r="F109" s="30">
        <f>Source!AO38</f>
        <v>26.94</v>
      </c>
      <c r="G109" s="31" t="str">
        <f>Source!DG38</f>
        <v>)*0,4</v>
      </c>
      <c r="H109" s="30">
        <f>ROUND(Source!AF38*Source!I38, 2)</f>
        <v>1.08</v>
      </c>
      <c r="I109" s="31"/>
      <c r="J109" s="31">
        <f>IF(Source!BA38&lt;&gt; 0, Source!BA38, 1)</f>
        <v>6.71</v>
      </c>
      <c r="K109" s="30">
        <f>Source!S38</f>
        <v>7.23</v>
      </c>
      <c r="L109" s="32"/>
      <c r="R109">
        <f>H109</f>
        <v>1.08</v>
      </c>
    </row>
    <row r="110" spans="1:26" ht="14.25" x14ac:dyDescent="0.2">
      <c r="A110" s="45"/>
      <c r="B110" s="46"/>
      <c r="C110" s="46" t="s">
        <v>1169</v>
      </c>
      <c r="D110" s="29" t="s">
        <v>1170</v>
      </c>
      <c r="E110" s="11">
        <f>Source!BZ38</f>
        <v>128</v>
      </c>
      <c r="F110" s="74" t="str">
        <f>CONCATENATE(" )", Source!DL38, Source!FT38, "=", Source!FX38)</f>
        <v xml:space="preserve"> )*0,9=115,2</v>
      </c>
      <c r="G110" s="75"/>
      <c r="H110" s="30">
        <f>SUM(S107:S112)</f>
        <v>1.24</v>
      </c>
      <c r="I110" s="34"/>
      <c r="J110" s="27">
        <f>Source!AT38</f>
        <v>115</v>
      </c>
      <c r="K110" s="30">
        <f>SUM(T107:T112)</f>
        <v>8.31</v>
      </c>
      <c r="L110" s="32"/>
    </row>
    <row r="111" spans="1:26" ht="14.25" x14ac:dyDescent="0.2">
      <c r="A111" s="45"/>
      <c r="B111" s="46"/>
      <c r="C111" s="46" t="s">
        <v>1171</v>
      </c>
      <c r="D111" s="29" t="s">
        <v>1170</v>
      </c>
      <c r="E111" s="11">
        <f>Source!CA38</f>
        <v>83</v>
      </c>
      <c r="F111" s="74" t="str">
        <f>CONCATENATE(" )", Source!DM38, Source!FU38, "=", Source!FY38)</f>
        <v xml:space="preserve"> )*0,85=70,55</v>
      </c>
      <c r="G111" s="75"/>
      <c r="H111" s="30">
        <f>SUM(U107:U112)</f>
        <v>0.76</v>
      </c>
      <c r="I111" s="34"/>
      <c r="J111" s="27">
        <f>Source!AU38</f>
        <v>71</v>
      </c>
      <c r="K111" s="30">
        <f>SUM(V107:V112)</f>
        <v>5.13</v>
      </c>
      <c r="L111" s="32"/>
    </row>
    <row r="112" spans="1:26" ht="14.25" x14ac:dyDescent="0.2">
      <c r="A112" s="47"/>
      <c r="B112" s="48"/>
      <c r="C112" s="48" t="s">
        <v>1172</v>
      </c>
      <c r="D112" s="35" t="s">
        <v>1173</v>
      </c>
      <c r="E112" s="36">
        <f>Source!AQ38</f>
        <v>2.8</v>
      </c>
      <c r="F112" s="37"/>
      <c r="G112" s="38" t="str">
        <f>Source!DI38</f>
        <v>)*0,4</v>
      </c>
      <c r="H112" s="37"/>
      <c r="I112" s="38"/>
      <c r="J112" s="38"/>
      <c r="K112" s="37"/>
      <c r="L112" s="39">
        <f>Source!U38</f>
        <v>0.11199999999999999</v>
      </c>
    </row>
    <row r="113" spans="1:26" ht="15" x14ac:dyDescent="0.25">
      <c r="G113" s="72">
        <f>H109+H110+H111</f>
        <v>3.08</v>
      </c>
      <c r="H113" s="72"/>
      <c r="J113" s="72">
        <f>K109+K110+K111</f>
        <v>20.67</v>
      </c>
      <c r="K113" s="72"/>
      <c r="L113" s="40">
        <f>Source!U38</f>
        <v>0.11199999999999999</v>
      </c>
      <c r="O113" s="24">
        <f>G113</f>
        <v>3.08</v>
      </c>
      <c r="P113" s="24">
        <f>J113</f>
        <v>20.67</v>
      </c>
      <c r="Q113" s="24">
        <f>L113</f>
        <v>0.11199999999999999</v>
      </c>
      <c r="W113">
        <f>IF(Source!BI38&lt;=1,H109+H110+H111, 0)</f>
        <v>3.08</v>
      </c>
      <c r="X113">
        <f>IF(Source!BI38=2,H109+H110+H111, 0)</f>
        <v>0</v>
      </c>
      <c r="Y113">
        <f>IF(Source!BI38=3,H109+H110+H111, 0)</f>
        <v>0</v>
      </c>
      <c r="Z113">
        <f>IF(Source!BI38=4,H109+H110+H111, 0)</f>
        <v>0</v>
      </c>
    </row>
    <row r="114" spans="1:26" ht="42.75" x14ac:dyDescent="0.2">
      <c r="A114" s="45" t="str">
        <f>Source!E39</f>
        <v>11</v>
      </c>
      <c r="B114" s="46" t="str">
        <f>Source!F39</f>
        <v>17-01-002-04 прим.</v>
      </c>
      <c r="C114" s="46" t="str">
        <f>Source!G39</f>
        <v>Установка гарнитуры туалетной: вешалок, подстаканников, поручней для ванн и т.д.</v>
      </c>
      <c r="D114" s="29" t="str">
        <f>Source!H39</f>
        <v>10 ШТ</v>
      </c>
      <c r="E114" s="11">
        <f>Source!I39</f>
        <v>0.2</v>
      </c>
      <c r="F114" s="30">
        <f>Source!AL39+Source!AM39+Source!AO39</f>
        <v>27.540000000000003</v>
      </c>
      <c r="G114" s="31"/>
      <c r="H114" s="30"/>
      <c r="I114" s="31" t="str">
        <f>Source!BO39</f>
        <v/>
      </c>
      <c r="J114" s="31"/>
      <c r="K114" s="30"/>
      <c r="L114" s="32"/>
      <c r="S114">
        <f>ROUND((Source!FX39/100)*((ROUND(Source!AF39*Source!I39, 2)+ROUND(Source!AE39*Source!I39, 2))), 2)</f>
        <v>6.21</v>
      </c>
      <c r="T114">
        <f>Source!X39</f>
        <v>41.57</v>
      </c>
      <c r="U114">
        <f>ROUND((Source!FY39/100)*((ROUND(Source!AF39*Source!I39, 2)+ROUND(Source!AE39*Source!I39, 2))), 2)</f>
        <v>3.8</v>
      </c>
      <c r="V114">
        <f>Source!Y39</f>
        <v>25.67</v>
      </c>
    </row>
    <row r="115" spans="1:26" x14ac:dyDescent="0.2">
      <c r="C115" s="23" t="str">
        <f>"Объем: "&amp;Source!I39&amp;"=2/"&amp;"10"</f>
        <v>Объем: 0,2=2/10</v>
      </c>
    </row>
    <row r="116" spans="1:26" ht="14.25" x14ac:dyDescent="0.2">
      <c r="A116" s="45"/>
      <c r="B116" s="46"/>
      <c r="C116" s="46" t="s">
        <v>1167</v>
      </c>
      <c r="D116" s="29"/>
      <c r="E116" s="11"/>
      <c r="F116" s="30">
        <f>Source!AO39</f>
        <v>26.94</v>
      </c>
      <c r="G116" s="31" t="str">
        <f>Source!DG39</f>
        <v/>
      </c>
      <c r="H116" s="30">
        <f>ROUND(Source!AF39*Source!I39, 2)</f>
        <v>5.39</v>
      </c>
      <c r="I116" s="31"/>
      <c r="J116" s="31">
        <f>IF(Source!BA39&lt;&gt; 0, Source!BA39, 1)</f>
        <v>6.71</v>
      </c>
      <c r="K116" s="30">
        <f>Source!S39</f>
        <v>36.15</v>
      </c>
      <c r="L116" s="32"/>
      <c r="R116">
        <f>H116</f>
        <v>5.39</v>
      </c>
    </row>
    <row r="117" spans="1:26" ht="14.25" x14ac:dyDescent="0.2">
      <c r="A117" s="45"/>
      <c r="B117" s="46"/>
      <c r="C117" s="46" t="s">
        <v>1174</v>
      </c>
      <c r="D117" s="29"/>
      <c r="E117" s="11"/>
      <c r="F117" s="30">
        <f>Source!AL39</f>
        <v>0.6</v>
      </c>
      <c r="G117" s="31" t="str">
        <f>Source!DD39</f>
        <v/>
      </c>
      <c r="H117" s="30">
        <f>ROUND(Source!AC39*Source!I39, 2)</f>
        <v>0.12</v>
      </c>
      <c r="I117" s="31"/>
      <c r="J117" s="31">
        <f>IF(Source!BC39&lt;&gt; 0, Source!BC39, 1)</f>
        <v>6.71</v>
      </c>
      <c r="K117" s="30">
        <f>Source!P39</f>
        <v>0.81</v>
      </c>
      <c r="L117" s="32"/>
    </row>
    <row r="118" spans="1:26" ht="14.25" x14ac:dyDescent="0.2">
      <c r="A118" s="45"/>
      <c r="B118" s="46"/>
      <c r="C118" s="46" t="s">
        <v>1169</v>
      </c>
      <c r="D118" s="29" t="s">
        <v>1170</v>
      </c>
      <c r="E118" s="11">
        <f>Source!BZ39</f>
        <v>128</v>
      </c>
      <c r="F118" s="74" t="str">
        <f>CONCATENATE(" )", Source!DL39, Source!FT39, "=", Source!FX39)</f>
        <v xml:space="preserve"> )*0,9=115,2</v>
      </c>
      <c r="G118" s="75"/>
      <c r="H118" s="30">
        <f>SUM(S114:S121)</f>
        <v>6.21</v>
      </c>
      <c r="I118" s="34"/>
      <c r="J118" s="27">
        <f>Source!AT39</f>
        <v>115</v>
      </c>
      <c r="K118" s="30">
        <f>SUM(T114:T121)</f>
        <v>41.57</v>
      </c>
      <c r="L118" s="32"/>
    </row>
    <row r="119" spans="1:26" ht="14.25" x14ac:dyDescent="0.2">
      <c r="A119" s="45"/>
      <c r="B119" s="46"/>
      <c r="C119" s="46" t="s">
        <v>1171</v>
      </c>
      <c r="D119" s="29" t="s">
        <v>1170</v>
      </c>
      <c r="E119" s="11">
        <f>Source!CA39</f>
        <v>83</v>
      </c>
      <c r="F119" s="74" t="str">
        <f>CONCATENATE(" )", Source!DM39, Source!FU39, "=", Source!FY39)</f>
        <v xml:space="preserve"> )*0,85=70,55</v>
      </c>
      <c r="G119" s="75"/>
      <c r="H119" s="30">
        <f>SUM(U114:U121)</f>
        <v>3.8</v>
      </c>
      <c r="I119" s="34"/>
      <c r="J119" s="27">
        <f>Source!AU39</f>
        <v>71</v>
      </c>
      <c r="K119" s="30">
        <f>SUM(V114:V121)</f>
        <v>25.67</v>
      </c>
      <c r="L119" s="32"/>
    </row>
    <row r="120" spans="1:26" ht="14.25" x14ac:dyDescent="0.2">
      <c r="A120" s="45"/>
      <c r="B120" s="46"/>
      <c r="C120" s="46" t="s">
        <v>1172</v>
      </c>
      <c r="D120" s="29" t="s">
        <v>1173</v>
      </c>
      <c r="E120" s="11">
        <f>Source!AQ39</f>
        <v>2.8</v>
      </c>
      <c r="F120" s="30"/>
      <c r="G120" s="31" t="str">
        <f>Source!DI39</f>
        <v/>
      </c>
      <c r="H120" s="30"/>
      <c r="I120" s="31"/>
      <c r="J120" s="31"/>
      <c r="K120" s="30"/>
      <c r="L120" s="41">
        <f>Source!U39</f>
        <v>0.55999999999999994</v>
      </c>
    </row>
    <row r="121" spans="1:26" ht="42.75" x14ac:dyDescent="0.2">
      <c r="A121" s="47" t="str">
        <f>Source!E40</f>
        <v>11,1</v>
      </c>
      <c r="B121" s="48" t="str">
        <f>Source!F40</f>
        <v>18.2.06.03-0001</v>
      </c>
      <c r="C121" s="48" t="str">
        <f>Source!G40</f>
        <v>Вешалки-крючки однорожковые В-К стальные с гальванопокрытием  20 крючков прим.</v>
      </c>
      <c r="D121" s="35" t="str">
        <f>Source!H40</f>
        <v>шт.</v>
      </c>
      <c r="E121" s="36">
        <f>Source!I40</f>
        <v>2</v>
      </c>
      <c r="F121" s="37">
        <f>Source!AL40+Source!AM40+Source!AO40</f>
        <v>3.74</v>
      </c>
      <c r="G121" s="42" t="s">
        <v>6</v>
      </c>
      <c r="H121" s="37">
        <f>ROUND(Source!AC40*Source!I40, 2)+ROUND(Source!AD40*Source!I40, 2)+ROUND(Source!AF40*Source!I40, 2)</f>
        <v>7.48</v>
      </c>
      <c r="I121" s="38"/>
      <c r="J121" s="38">
        <f>IF(Source!BC40&lt;&gt; 0, Source!BC40, 1)</f>
        <v>6.71</v>
      </c>
      <c r="K121" s="37">
        <f>Source!O40</f>
        <v>50.19</v>
      </c>
      <c r="L121" s="43"/>
      <c r="S121">
        <f>ROUND((Source!FX40/100)*((ROUND(Source!AF40*Source!I40, 2)+ROUND(Source!AE40*Source!I40, 2))), 2)</f>
        <v>0</v>
      </c>
      <c r="T121">
        <f>Source!X40</f>
        <v>0</v>
      </c>
      <c r="U121">
        <f>ROUND((Source!FY40/100)*((ROUND(Source!AF40*Source!I40, 2)+ROUND(Source!AE40*Source!I40, 2))), 2)</f>
        <v>0</v>
      </c>
      <c r="V121">
        <f>Source!Y40</f>
        <v>0</v>
      </c>
      <c r="W121">
        <f>IF(Source!BI40&lt;=1,H121, 0)</f>
        <v>7.48</v>
      </c>
      <c r="X121">
        <f>IF(Source!BI40=2,H121, 0)</f>
        <v>0</v>
      </c>
      <c r="Y121">
        <f>IF(Source!BI40=3,H121, 0)</f>
        <v>0</v>
      </c>
      <c r="Z121">
        <f>IF(Source!BI40=4,H121, 0)</f>
        <v>0</v>
      </c>
    </row>
    <row r="122" spans="1:26" ht="15" x14ac:dyDescent="0.25">
      <c r="G122" s="72">
        <f>H116+H117+H118+H119+SUM(H121:H121)</f>
        <v>23</v>
      </c>
      <c r="H122" s="72"/>
      <c r="J122" s="72">
        <f>K116+K117+K118+K119+SUM(K121:K121)</f>
        <v>154.38999999999999</v>
      </c>
      <c r="K122" s="72"/>
      <c r="L122" s="40">
        <f>Source!U39</f>
        <v>0.55999999999999994</v>
      </c>
      <c r="O122" s="24">
        <f>G122</f>
        <v>23</v>
      </c>
      <c r="P122" s="24">
        <f>J122</f>
        <v>154.38999999999999</v>
      </c>
      <c r="Q122" s="24">
        <f>L122</f>
        <v>0.55999999999999994</v>
      </c>
      <c r="W122">
        <f>IF(Source!BI39&lt;=1,H116+H117+H118+H119, 0)</f>
        <v>15.52</v>
      </c>
      <c r="X122">
        <f>IF(Source!BI39=2,H116+H117+H118+H119, 0)</f>
        <v>0</v>
      </c>
      <c r="Y122">
        <f>IF(Source!BI39=3,H116+H117+H118+H119, 0)</f>
        <v>0</v>
      </c>
      <c r="Z122">
        <f>IF(Source!BI39=4,H116+H117+H118+H119, 0)</f>
        <v>0</v>
      </c>
    </row>
    <row r="123" spans="1:26" ht="28.5" x14ac:dyDescent="0.2">
      <c r="A123" s="45" t="str">
        <f>Source!E41</f>
        <v>12</v>
      </c>
      <c r="B123" s="46" t="str">
        <f>Source!F41</f>
        <v>09-04-012-01</v>
      </c>
      <c r="C123" s="46" t="str">
        <f>Source!G41</f>
        <v>Установка металлических дверных блоков в готовые проемы</v>
      </c>
      <c r="D123" s="29" t="str">
        <f>Source!H41</f>
        <v>м2</v>
      </c>
      <c r="E123" s="11">
        <f>Source!I41</f>
        <v>11.43</v>
      </c>
      <c r="F123" s="30">
        <f>Source!AL41+Source!AM41+Source!AO41</f>
        <v>63.94</v>
      </c>
      <c r="G123" s="31"/>
      <c r="H123" s="30"/>
      <c r="I123" s="31" t="str">
        <f>Source!BO41</f>
        <v/>
      </c>
      <c r="J123" s="31"/>
      <c r="K123" s="30"/>
      <c r="L123" s="32"/>
      <c r="S123">
        <f>ROUND((Source!FX41/100)*((ROUND(Source!AF41*Source!I41, 2)+ROUND(Source!AE41*Source!I41, 2))), 2)</f>
        <v>276.27</v>
      </c>
      <c r="T123">
        <f>Source!X41</f>
        <v>1853.76</v>
      </c>
      <c r="U123">
        <f>ROUND((Source!FY41/100)*((ROUND(Source!AF41*Source!I41, 2)+ROUND(Source!AE41*Source!I41, 2))), 2)</f>
        <v>246.42</v>
      </c>
      <c r="V123">
        <f>Source!Y41</f>
        <v>1647.78</v>
      </c>
    </row>
    <row r="124" spans="1:26" ht="14.25" x14ac:dyDescent="0.2">
      <c r="A124" s="45"/>
      <c r="B124" s="46"/>
      <c r="C124" s="46" t="s">
        <v>1167</v>
      </c>
      <c r="D124" s="29"/>
      <c r="E124" s="11"/>
      <c r="F124" s="30">
        <f>Source!AO41</f>
        <v>23.81</v>
      </c>
      <c r="G124" s="31" t="str">
        <f>Source!DG41</f>
        <v>)*1,15</v>
      </c>
      <c r="H124" s="30">
        <f>ROUND(Source!AF41*Source!I41, 2)</f>
        <v>312.95</v>
      </c>
      <c r="I124" s="31"/>
      <c r="J124" s="31">
        <f>IF(Source!BA41&lt;&gt; 0, Source!BA41, 1)</f>
        <v>6.71</v>
      </c>
      <c r="K124" s="30">
        <f>Source!S41</f>
        <v>2099.92</v>
      </c>
      <c r="L124" s="32"/>
      <c r="R124">
        <f>H124</f>
        <v>312.95</v>
      </c>
    </row>
    <row r="125" spans="1:26" ht="14.25" x14ac:dyDescent="0.2">
      <c r="A125" s="45"/>
      <c r="B125" s="46"/>
      <c r="C125" s="46" t="s">
        <v>382</v>
      </c>
      <c r="D125" s="29"/>
      <c r="E125" s="11"/>
      <c r="F125" s="30">
        <f>Source!AM41</f>
        <v>14.41</v>
      </c>
      <c r="G125" s="31" t="str">
        <f>Source!DE41</f>
        <v>)*1,25</v>
      </c>
      <c r="H125" s="30">
        <f>ROUND(Source!AD41*Source!I41, 2)</f>
        <v>205.85</v>
      </c>
      <c r="I125" s="31"/>
      <c r="J125" s="31">
        <f>IF(Source!BB41&lt;&gt; 0, Source!BB41, 1)</f>
        <v>6.71</v>
      </c>
      <c r="K125" s="30">
        <f>Source!Q41</f>
        <v>1381.28</v>
      </c>
      <c r="L125" s="32"/>
    </row>
    <row r="126" spans="1:26" ht="14.25" x14ac:dyDescent="0.2">
      <c r="A126" s="45"/>
      <c r="B126" s="46"/>
      <c r="C126" s="46" t="s">
        <v>1168</v>
      </c>
      <c r="D126" s="29"/>
      <c r="E126" s="11"/>
      <c r="F126" s="30">
        <f>Source!AN41</f>
        <v>1.97</v>
      </c>
      <c r="G126" s="31" t="str">
        <f>Source!DF41</f>
        <v>)*1,25</v>
      </c>
      <c r="H126" s="33">
        <f>ROUND(Source!AE41*Source!I41, 2)</f>
        <v>28.12</v>
      </c>
      <c r="I126" s="31"/>
      <c r="J126" s="31">
        <f>IF(Source!BS41&lt;&gt; 0, Source!BS41, 1)</f>
        <v>6.71</v>
      </c>
      <c r="K126" s="33">
        <f>Source!R41</f>
        <v>188.67</v>
      </c>
      <c r="L126" s="32"/>
      <c r="R126">
        <f>H126</f>
        <v>28.12</v>
      </c>
    </row>
    <row r="127" spans="1:26" ht="14.25" x14ac:dyDescent="0.2">
      <c r="A127" s="45"/>
      <c r="B127" s="46"/>
      <c r="C127" s="46" t="s">
        <v>1174</v>
      </c>
      <c r="D127" s="29"/>
      <c r="E127" s="11"/>
      <c r="F127" s="30">
        <f>Source!AL41</f>
        <v>25.72</v>
      </c>
      <c r="G127" s="31" t="str">
        <f>Source!DD41</f>
        <v/>
      </c>
      <c r="H127" s="30">
        <f>ROUND(Source!AC41*Source!I41, 2)</f>
        <v>293.98</v>
      </c>
      <c r="I127" s="31"/>
      <c r="J127" s="31">
        <f>IF(Source!BC41&lt;&gt; 0, Source!BC41, 1)</f>
        <v>6.71</v>
      </c>
      <c r="K127" s="30">
        <f>Source!P41</f>
        <v>1972.6</v>
      </c>
      <c r="L127" s="32"/>
    </row>
    <row r="128" spans="1:26" ht="14.25" x14ac:dyDescent="0.2">
      <c r="A128" s="45"/>
      <c r="B128" s="46"/>
      <c r="C128" s="46" t="s">
        <v>1169</v>
      </c>
      <c r="D128" s="29" t="s">
        <v>1170</v>
      </c>
      <c r="E128" s="11">
        <f>Source!BZ41</f>
        <v>90</v>
      </c>
      <c r="F128" s="74" t="str">
        <f>CONCATENATE(" )", Source!DL41, Source!FT41, "=", Source!FX41)</f>
        <v xml:space="preserve"> )*0,9=81</v>
      </c>
      <c r="G128" s="75"/>
      <c r="H128" s="30">
        <f>SUM(S123:S133)</f>
        <v>276.27</v>
      </c>
      <c r="I128" s="34"/>
      <c r="J128" s="27">
        <f>Source!AT41</f>
        <v>81</v>
      </c>
      <c r="K128" s="30">
        <f>SUM(T123:T133)</f>
        <v>1853.76</v>
      </c>
      <c r="L128" s="32"/>
    </row>
    <row r="129" spans="1:26" ht="14.25" x14ac:dyDescent="0.2">
      <c r="A129" s="45"/>
      <c r="B129" s="46"/>
      <c r="C129" s="46" t="s">
        <v>1171</v>
      </c>
      <c r="D129" s="29" t="s">
        <v>1170</v>
      </c>
      <c r="E129" s="11">
        <f>Source!CA41</f>
        <v>85</v>
      </c>
      <c r="F129" s="74" t="str">
        <f>CONCATENATE(" )", Source!DM41, Source!FU41, "=", Source!FY41)</f>
        <v xml:space="preserve"> )*0,85=72,25</v>
      </c>
      <c r="G129" s="75"/>
      <c r="H129" s="30">
        <f>SUM(U123:U133)</f>
        <v>246.42</v>
      </c>
      <c r="I129" s="34"/>
      <c r="J129" s="27">
        <f>Source!AU41</f>
        <v>72</v>
      </c>
      <c r="K129" s="30">
        <f>SUM(V123:V133)</f>
        <v>1647.78</v>
      </c>
      <c r="L129" s="32"/>
    </row>
    <row r="130" spans="1:26" ht="14.25" x14ac:dyDescent="0.2">
      <c r="A130" s="45"/>
      <c r="B130" s="46"/>
      <c r="C130" s="46" t="s">
        <v>1172</v>
      </c>
      <c r="D130" s="29" t="s">
        <v>1173</v>
      </c>
      <c r="E130" s="11">
        <f>Source!AQ41</f>
        <v>2.4</v>
      </c>
      <c r="F130" s="30"/>
      <c r="G130" s="31" t="str">
        <f>Source!DI41</f>
        <v>)*1,15</v>
      </c>
      <c r="H130" s="30"/>
      <c r="I130" s="31"/>
      <c r="J130" s="31"/>
      <c r="K130" s="30"/>
      <c r="L130" s="41">
        <f>Source!U41</f>
        <v>31.546799999999998</v>
      </c>
    </row>
    <row r="131" spans="1:26" ht="42.75" x14ac:dyDescent="0.2">
      <c r="A131" s="45" t="str">
        <f>Source!E42</f>
        <v>12,1</v>
      </c>
      <c r="B131" s="46" t="str">
        <f>Source!F42</f>
        <v>07.1.01.01-0020</v>
      </c>
      <c r="C131" s="46" t="str">
        <f>Source!G42</f>
        <v>Дверь противопожарная металлическая однопольная ДПМ-01/60, размером 2300х900 мм прим.</v>
      </c>
      <c r="D131" s="29" t="str">
        <f>Source!H42</f>
        <v>шт.</v>
      </c>
      <c r="E131" s="11">
        <f>Source!I42</f>
        <v>1</v>
      </c>
      <c r="F131" s="30">
        <f>Source!AL42+Source!AM42+Source!AO42</f>
        <v>3104.96</v>
      </c>
      <c r="G131" s="44" t="s">
        <v>6</v>
      </c>
      <c r="H131" s="30">
        <f>ROUND(Source!AC42*Source!I42, 2)+ROUND(Source!AD42*Source!I42, 2)+ROUND(Source!AF42*Source!I42, 2)</f>
        <v>3104.96</v>
      </c>
      <c r="I131" s="31"/>
      <c r="J131" s="31">
        <f>IF(Source!BC42&lt;&gt; 0, Source!BC42, 1)</f>
        <v>6.71</v>
      </c>
      <c r="K131" s="30">
        <f>Source!O42</f>
        <v>20834.28</v>
      </c>
      <c r="L131" s="32"/>
      <c r="S131">
        <f>ROUND((Source!FX42/100)*((ROUND(Source!AF42*Source!I42, 2)+ROUND(Source!AE42*Source!I42, 2))), 2)</f>
        <v>0</v>
      </c>
      <c r="T131">
        <f>Source!X42</f>
        <v>0</v>
      </c>
      <c r="U131">
        <f>ROUND((Source!FY42/100)*((ROUND(Source!AF42*Source!I42, 2)+ROUND(Source!AE42*Source!I42, 2))), 2)</f>
        <v>0</v>
      </c>
      <c r="V131">
        <f>Source!Y42</f>
        <v>0</v>
      </c>
      <c r="W131">
        <f>IF(Source!BI42&lt;=1,H131, 0)</f>
        <v>3104.96</v>
      </c>
      <c r="X131">
        <f>IF(Source!BI42=2,H131, 0)</f>
        <v>0</v>
      </c>
      <c r="Y131">
        <f>IF(Source!BI42=3,H131, 0)</f>
        <v>0</v>
      </c>
      <c r="Z131">
        <f>IF(Source!BI42=4,H131, 0)</f>
        <v>0</v>
      </c>
    </row>
    <row r="132" spans="1:26" ht="57" x14ac:dyDescent="0.2">
      <c r="A132" s="45" t="str">
        <f>Source!E43</f>
        <v>12,2</v>
      </c>
      <c r="B132" s="46" t="str">
        <f>Source!F43</f>
        <v>07.1.01.01-0008</v>
      </c>
      <c r="C132" s="46" t="str">
        <f>Source!G43</f>
        <v>Дверь противопожарная металлическая двупольная ДПМ-02/60, размером 2400х1390 мм в комплекте прим.</v>
      </c>
      <c r="D132" s="29" t="str">
        <f>Source!H43</f>
        <v>шт.</v>
      </c>
      <c r="E132" s="11">
        <f>Source!I43</f>
        <v>2</v>
      </c>
      <c r="F132" s="30">
        <f>Source!AL43+Source!AM43+Source!AO43</f>
        <v>5451.21</v>
      </c>
      <c r="G132" s="44" t="s">
        <v>6</v>
      </c>
      <c r="H132" s="30">
        <f>ROUND(Source!AC43*Source!I43, 2)+ROUND(Source!AD43*Source!I43, 2)+ROUND(Source!AF43*Source!I43, 2)</f>
        <v>10902.42</v>
      </c>
      <c r="I132" s="31"/>
      <c r="J132" s="31">
        <f>IF(Source!BC43&lt;&gt; 0, Source!BC43, 1)</f>
        <v>6.71</v>
      </c>
      <c r="K132" s="30">
        <f>Source!O43</f>
        <v>73155.240000000005</v>
      </c>
      <c r="L132" s="32"/>
      <c r="S132">
        <f>ROUND((Source!FX43/100)*((ROUND(Source!AF43*Source!I43, 2)+ROUND(Source!AE43*Source!I43, 2))), 2)</f>
        <v>0</v>
      </c>
      <c r="T132">
        <f>Source!X43</f>
        <v>0</v>
      </c>
      <c r="U132">
        <f>ROUND((Source!FY43/100)*((ROUND(Source!AF43*Source!I43, 2)+ROUND(Source!AE43*Source!I43, 2))), 2)</f>
        <v>0</v>
      </c>
      <c r="V132">
        <f>Source!Y43</f>
        <v>0</v>
      </c>
      <c r="W132">
        <f>IF(Source!BI43&lt;=1,H132, 0)</f>
        <v>10902.42</v>
      </c>
      <c r="X132">
        <f>IF(Source!BI43=2,H132, 0)</f>
        <v>0</v>
      </c>
      <c r="Y132">
        <f>IF(Source!BI43=3,H132, 0)</f>
        <v>0</v>
      </c>
      <c r="Z132">
        <f>IF(Source!BI43=4,H132, 0)</f>
        <v>0</v>
      </c>
    </row>
    <row r="133" spans="1:26" ht="57" x14ac:dyDescent="0.2">
      <c r="A133" s="47" t="str">
        <f>Source!E44</f>
        <v>12,3</v>
      </c>
      <c r="B133" s="48" t="str">
        <f>Source!F44</f>
        <v>07.1.01.01-0006</v>
      </c>
      <c r="C133" s="48" t="str">
        <f>Source!G44</f>
        <v>Дверь противопожарная металлическая двупольная ДПМ-02/60, размером 1280х2100 мм в комлекте прим.</v>
      </c>
      <c r="D133" s="35" t="str">
        <f>Source!H44</f>
        <v>шт.</v>
      </c>
      <c r="E133" s="36">
        <f>Source!I44</f>
        <v>1</v>
      </c>
      <c r="F133" s="37">
        <f>Source!AL44+Source!AM44+Source!AO44</f>
        <v>4757.6000000000004</v>
      </c>
      <c r="G133" s="42" t="s">
        <v>6</v>
      </c>
      <c r="H133" s="37">
        <f>ROUND(Source!AC44*Source!I44, 2)+ROUND(Source!AD44*Source!I44, 2)+ROUND(Source!AF44*Source!I44, 2)</f>
        <v>4757.6000000000004</v>
      </c>
      <c r="I133" s="38"/>
      <c r="J133" s="38">
        <f>IF(Source!BC44&lt;&gt; 0, Source!BC44, 1)</f>
        <v>6.71</v>
      </c>
      <c r="K133" s="37">
        <f>Source!O44</f>
        <v>31923.5</v>
      </c>
      <c r="L133" s="43"/>
      <c r="S133">
        <f>ROUND((Source!FX44/100)*((ROUND(Source!AF44*Source!I44, 2)+ROUND(Source!AE44*Source!I44, 2))), 2)</f>
        <v>0</v>
      </c>
      <c r="T133">
        <f>Source!X44</f>
        <v>0</v>
      </c>
      <c r="U133">
        <f>ROUND((Source!FY44/100)*((ROUND(Source!AF44*Source!I44, 2)+ROUND(Source!AE44*Source!I44, 2))), 2)</f>
        <v>0</v>
      </c>
      <c r="V133">
        <f>Source!Y44</f>
        <v>0</v>
      </c>
      <c r="W133">
        <f>IF(Source!BI44&lt;=1,H133, 0)</f>
        <v>4757.6000000000004</v>
      </c>
      <c r="X133">
        <f>IF(Source!BI44=2,H133, 0)</f>
        <v>0</v>
      </c>
      <c r="Y133">
        <f>IF(Source!BI44=3,H133, 0)</f>
        <v>0</v>
      </c>
      <c r="Z133">
        <f>IF(Source!BI44=4,H133, 0)</f>
        <v>0</v>
      </c>
    </row>
    <row r="134" spans="1:26" ht="15" x14ac:dyDescent="0.25">
      <c r="G134" s="72">
        <f>H124+H125+H127+H128+H129+SUM(H131:H133)</f>
        <v>20100.450000000004</v>
      </c>
      <c r="H134" s="72"/>
      <c r="J134" s="72">
        <f>K124+K125+K127+K128+K129+SUM(K131:K133)</f>
        <v>134868.36000000002</v>
      </c>
      <c r="K134" s="72"/>
      <c r="L134" s="40">
        <f>Source!U41</f>
        <v>31.546799999999998</v>
      </c>
      <c r="O134" s="24">
        <f>G134</f>
        <v>20100.450000000004</v>
      </c>
      <c r="P134" s="24">
        <f>J134</f>
        <v>134868.36000000002</v>
      </c>
      <c r="Q134" s="24">
        <f>L134</f>
        <v>31.546799999999998</v>
      </c>
      <c r="W134">
        <f>IF(Source!BI41&lt;=1,H124+H125+H127+H128+H129, 0)</f>
        <v>1335.47</v>
      </c>
      <c r="X134">
        <f>IF(Source!BI41=2,H124+H125+H127+H128+H129, 0)</f>
        <v>0</v>
      </c>
      <c r="Y134">
        <f>IF(Source!BI41=3,H124+H125+H127+H128+H129, 0)</f>
        <v>0</v>
      </c>
      <c r="Z134">
        <f>IF(Source!BI41=4,H124+H125+H127+H128+H129, 0)</f>
        <v>0</v>
      </c>
    </row>
    <row r="135" spans="1:26" ht="57" x14ac:dyDescent="0.2">
      <c r="A135" s="45" t="str">
        <f>Source!E45</f>
        <v>13</v>
      </c>
      <c r="B135" s="46" t="str">
        <f>Source!F45</f>
        <v>10-01-039-02</v>
      </c>
      <c r="C135" s="46" t="str">
        <f>Source!G45</f>
        <v>Установка блоков в наружных и внутренних дверных проемах в каменных стенах, площадь проема более 3 м2</v>
      </c>
      <c r="D135" s="29" t="str">
        <f>Source!H45</f>
        <v>100 м2</v>
      </c>
      <c r="E135" s="11">
        <f>Source!I45</f>
        <v>6.6699999999999995E-2</v>
      </c>
      <c r="F135" s="30">
        <f>Source!AL45+Source!AM45+Source!AO45</f>
        <v>2682.2</v>
      </c>
      <c r="G135" s="31"/>
      <c r="H135" s="30"/>
      <c r="I135" s="31" t="str">
        <f>Source!BO45</f>
        <v/>
      </c>
      <c r="J135" s="31"/>
      <c r="K135" s="30"/>
      <c r="L135" s="32"/>
      <c r="S135">
        <f>ROUND((Source!FX45/100)*((ROUND(Source!AF45*Source!I45, 2)+ROUND(Source!AE45*Source!I45, 2))), 2)</f>
        <v>62.47</v>
      </c>
      <c r="T135">
        <f>Source!X45</f>
        <v>418.35</v>
      </c>
      <c r="U135">
        <f>ROUND((Source!FY45/100)*((ROUND(Source!AF45*Source!I45, 2)+ROUND(Source!AE45*Source!I45, 2))), 2)</f>
        <v>31.5</v>
      </c>
      <c r="V135">
        <f>Source!Y45</f>
        <v>213.12</v>
      </c>
    </row>
    <row r="136" spans="1:26" x14ac:dyDescent="0.2">
      <c r="C136" s="23" t="str">
        <f>"Объем: "&amp;Source!I45&amp;"=6,67/"&amp;"100"</f>
        <v>Объем: 0,0667=6,67/100</v>
      </c>
    </row>
    <row r="137" spans="1:26" ht="14.25" x14ac:dyDescent="0.2">
      <c r="A137" s="45"/>
      <c r="B137" s="46"/>
      <c r="C137" s="46" t="s">
        <v>1167</v>
      </c>
      <c r="D137" s="29"/>
      <c r="E137" s="11"/>
      <c r="F137" s="30">
        <f>Source!AO45</f>
        <v>762.25</v>
      </c>
      <c r="G137" s="31" t="str">
        <f>Source!DG45</f>
        <v/>
      </c>
      <c r="H137" s="30">
        <f>ROUND(Source!AF45*Source!I45, 2)</f>
        <v>50.84</v>
      </c>
      <c r="I137" s="31"/>
      <c r="J137" s="31">
        <f>IF(Source!BA45&lt;&gt; 0, Source!BA45, 1)</f>
        <v>6.71</v>
      </c>
      <c r="K137" s="30">
        <f>Source!S45</f>
        <v>341.15</v>
      </c>
      <c r="L137" s="32"/>
      <c r="R137">
        <f>H137</f>
        <v>50.84</v>
      </c>
    </row>
    <row r="138" spans="1:26" ht="14.25" x14ac:dyDescent="0.2">
      <c r="A138" s="45"/>
      <c r="B138" s="46"/>
      <c r="C138" s="46" t="s">
        <v>382</v>
      </c>
      <c r="D138" s="29"/>
      <c r="E138" s="11"/>
      <c r="F138" s="30">
        <f>Source!AM45</f>
        <v>747.73</v>
      </c>
      <c r="G138" s="31" t="str">
        <f>Source!DE45</f>
        <v/>
      </c>
      <c r="H138" s="30">
        <f>ROUND(Source!AD45*Source!I45, 2)</f>
        <v>49.87</v>
      </c>
      <c r="I138" s="31"/>
      <c r="J138" s="31">
        <f>IF(Source!BB45&lt;&gt; 0, Source!BB45, 1)</f>
        <v>6.71</v>
      </c>
      <c r="K138" s="30">
        <f>Source!Q45</f>
        <v>334.65</v>
      </c>
      <c r="L138" s="32"/>
    </row>
    <row r="139" spans="1:26" ht="14.25" x14ac:dyDescent="0.2">
      <c r="A139" s="45"/>
      <c r="B139" s="46"/>
      <c r="C139" s="46" t="s">
        <v>1168</v>
      </c>
      <c r="D139" s="29"/>
      <c r="E139" s="11"/>
      <c r="F139" s="30">
        <f>Source!AN45</f>
        <v>119.59</v>
      </c>
      <c r="G139" s="31" t="str">
        <f>Source!DF45</f>
        <v/>
      </c>
      <c r="H139" s="33">
        <f>ROUND(Source!AE45*Source!I45, 2)</f>
        <v>7.98</v>
      </c>
      <c r="I139" s="31"/>
      <c r="J139" s="31">
        <f>IF(Source!BS45&lt;&gt; 0, Source!BS45, 1)</f>
        <v>6.71</v>
      </c>
      <c r="K139" s="33">
        <f>Source!R45</f>
        <v>53.52</v>
      </c>
      <c r="L139" s="32"/>
      <c r="R139">
        <f>H139</f>
        <v>7.98</v>
      </c>
    </row>
    <row r="140" spans="1:26" ht="14.25" x14ac:dyDescent="0.2">
      <c r="A140" s="45"/>
      <c r="B140" s="46"/>
      <c r="C140" s="46" t="s">
        <v>1174</v>
      </c>
      <c r="D140" s="29"/>
      <c r="E140" s="11"/>
      <c r="F140" s="30">
        <f>Source!AL45</f>
        <v>1172.22</v>
      </c>
      <c r="G140" s="31" t="str">
        <f>Source!DD45</f>
        <v/>
      </c>
      <c r="H140" s="30">
        <f>ROUND(Source!AC45*Source!I45, 2)</f>
        <v>78.19</v>
      </c>
      <c r="I140" s="31"/>
      <c r="J140" s="31">
        <f>IF(Source!BC45&lt;&gt; 0, Source!BC45, 1)</f>
        <v>6.71</v>
      </c>
      <c r="K140" s="30">
        <f>Source!P45</f>
        <v>524.64</v>
      </c>
      <c r="L140" s="32"/>
    </row>
    <row r="141" spans="1:26" ht="14.25" x14ac:dyDescent="0.2">
      <c r="A141" s="45"/>
      <c r="B141" s="46"/>
      <c r="C141" s="46" t="s">
        <v>1169</v>
      </c>
      <c r="D141" s="29" t="s">
        <v>1170</v>
      </c>
      <c r="E141" s="11">
        <f>Source!BZ45</f>
        <v>118</v>
      </c>
      <c r="F141" s="74" t="str">
        <f>CONCATENATE(" )", Source!DL45, Source!FT45, "=", Source!FX45)</f>
        <v xml:space="preserve"> )*0,9=106,2</v>
      </c>
      <c r="G141" s="75"/>
      <c r="H141" s="30">
        <f>SUM(S135:S145)</f>
        <v>62.47</v>
      </c>
      <c r="I141" s="34"/>
      <c r="J141" s="27">
        <f>Source!AT45</f>
        <v>106</v>
      </c>
      <c r="K141" s="30">
        <f>SUM(T135:T145)</f>
        <v>418.35</v>
      </c>
      <c r="L141" s="32"/>
    </row>
    <row r="142" spans="1:26" ht="14.25" x14ac:dyDescent="0.2">
      <c r="A142" s="45"/>
      <c r="B142" s="46"/>
      <c r="C142" s="46" t="s">
        <v>1171</v>
      </c>
      <c r="D142" s="29" t="s">
        <v>1170</v>
      </c>
      <c r="E142" s="11">
        <f>Source!CA45</f>
        <v>63</v>
      </c>
      <c r="F142" s="74" t="str">
        <f>CONCATENATE(" )", Source!DM45, Source!FU45, "=", Source!FY45)</f>
        <v xml:space="preserve"> )*0,85=53,55</v>
      </c>
      <c r="G142" s="75"/>
      <c r="H142" s="30">
        <f>SUM(U135:U145)</f>
        <v>31.5</v>
      </c>
      <c r="I142" s="34"/>
      <c r="J142" s="27">
        <f>Source!AU45</f>
        <v>54</v>
      </c>
      <c r="K142" s="30">
        <f>SUM(V135:V145)</f>
        <v>213.12</v>
      </c>
      <c r="L142" s="32"/>
    </row>
    <row r="143" spans="1:26" ht="14.25" x14ac:dyDescent="0.2">
      <c r="A143" s="45"/>
      <c r="B143" s="46"/>
      <c r="C143" s="46" t="s">
        <v>1172</v>
      </c>
      <c r="D143" s="29" t="s">
        <v>1173</v>
      </c>
      <c r="E143" s="11">
        <f>Source!AQ45</f>
        <v>81.09</v>
      </c>
      <c r="F143" s="30"/>
      <c r="G143" s="31" t="str">
        <f>Source!DI45</f>
        <v/>
      </c>
      <c r="H143" s="30"/>
      <c r="I143" s="31"/>
      <c r="J143" s="31"/>
      <c r="K143" s="30"/>
      <c r="L143" s="41">
        <f>Source!U45</f>
        <v>5.408703</v>
      </c>
    </row>
    <row r="144" spans="1:26" ht="42.75" x14ac:dyDescent="0.2">
      <c r="A144" s="45" t="str">
        <f>Source!E46</f>
        <v>13,1</v>
      </c>
      <c r="B144" s="46" t="str">
        <f>Source!F46</f>
        <v>01.7.04.07-0002</v>
      </c>
      <c r="C144" s="46" t="str">
        <f>Source!G46</f>
        <v>Скобяные изделия для блоков входных дверей в помещение двупольных</v>
      </c>
      <c r="D144" s="29" t="str">
        <f>Source!H46</f>
        <v>компл.</v>
      </c>
      <c r="E144" s="11">
        <f>Source!I46</f>
        <v>2</v>
      </c>
      <c r="F144" s="30">
        <f>Source!AL46+Source!AM46+Source!AO46</f>
        <v>94.68</v>
      </c>
      <c r="G144" s="44" t="s">
        <v>6</v>
      </c>
      <c r="H144" s="30">
        <f>ROUND(Source!AC46*Source!I46, 2)+ROUND(Source!AD46*Source!I46, 2)+ROUND(Source!AF46*Source!I46, 2)</f>
        <v>189.36</v>
      </c>
      <c r="I144" s="31"/>
      <c r="J144" s="31">
        <f>IF(Source!BC46&lt;&gt; 0, Source!BC46, 1)</f>
        <v>6.71</v>
      </c>
      <c r="K144" s="30">
        <f>Source!O46</f>
        <v>1270.6099999999999</v>
      </c>
      <c r="L144" s="32"/>
      <c r="S144">
        <f>ROUND((Source!FX46/100)*((ROUND(Source!AF46*Source!I46, 2)+ROUND(Source!AE46*Source!I46, 2))), 2)</f>
        <v>0</v>
      </c>
      <c r="T144">
        <f>Source!X46</f>
        <v>0</v>
      </c>
      <c r="U144">
        <f>ROUND((Source!FY46/100)*((ROUND(Source!AF46*Source!I46, 2)+ROUND(Source!AE46*Source!I46, 2))), 2)</f>
        <v>0</v>
      </c>
      <c r="V144">
        <f>Source!Y46</f>
        <v>0</v>
      </c>
      <c r="W144">
        <f>IF(Source!BI46&lt;=1,H144, 0)</f>
        <v>189.36</v>
      </c>
      <c r="X144">
        <f>IF(Source!BI46=2,H144, 0)</f>
        <v>0</v>
      </c>
      <c r="Y144">
        <f>IF(Source!BI46=3,H144, 0)</f>
        <v>0</v>
      </c>
      <c r="Z144">
        <f>IF(Source!BI46=4,H144, 0)</f>
        <v>0</v>
      </c>
    </row>
    <row r="145" spans="1:26" ht="42.75" x14ac:dyDescent="0.2">
      <c r="A145" s="47" t="str">
        <f>Source!E47</f>
        <v>13,2</v>
      </c>
      <c r="B145" s="48" t="str">
        <f>Source!F47</f>
        <v>11.2.02.01-0027</v>
      </c>
      <c r="C145" s="48" t="str">
        <f>Source!G47</f>
        <v>Блоки дверные внутренние двупольные под стекло шлифованные, из массива сосны, тонированные</v>
      </c>
      <c r="D145" s="35" t="str">
        <f>Source!H47</f>
        <v>м2</v>
      </c>
      <c r="E145" s="36">
        <f>Source!I47</f>
        <v>6.67</v>
      </c>
      <c r="F145" s="37">
        <f>Source!AL47+Source!AM47+Source!AO47</f>
        <v>1231.92</v>
      </c>
      <c r="G145" s="42" t="s">
        <v>6</v>
      </c>
      <c r="H145" s="37">
        <f>ROUND(Source!AC47*Source!I47, 2)+ROUND(Source!AD47*Source!I47, 2)+ROUND(Source!AF47*Source!I47, 2)</f>
        <v>8216.91</v>
      </c>
      <c r="I145" s="38"/>
      <c r="J145" s="38">
        <f>IF(Source!BC47&lt;&gt; 0, Source!BC47, 1)</f>
        <v>6.71</v>
      </c>
      <c r="K145" s="37">
        <f>Source!O47</f>
        <v>55135.44</v>
      </c>
      <c r="L145" s="43"/>
      <c r="S145">
        <f>ROUND((Source!FX47/100)*((ROUND(Source!AF47*Source!I47, 2)+ROUND(Source!AE47*Source!I47, 2))), 2)</f>
        <v>0</v>
      </c>
      <c r="T145">
        <f>Source!X47</f>
        <v>0</v>
      </c>
      <c r="U145">
        <f>ROUND((Source!FY47/100)*((ROUND(Source!AF47*Source!I47, 2)+ROUND(Source!AE47*Source!I47, 2))), 2)</f>
        <v>0</v>
      </c>
      <c r="V145">
        <f>Source!Y47</f>
        <v>0</v>
      </c>
      <c r="W145">
        <f>IF(Source!BI47&lt;=1,H145, 0)</f>
        <v>8216.91</v>
      </c>
      <c r="X145">
        <f>IF(Source!BI47=2,H145, 0)</f>
        <v>0</v>
      </c>
      <c r="Y145">
        <f>IF(Source!BI47=3,H145, 0)</f>
        <v>0</v>
      </c>
      <c r="Z145">
        <f>IF(Source!BI47=4,H145, 0)</f>
        <v>0</v>
      </c>
    </row>
    <row r="146" spans="1:26" ht="15" x14ac:dyDescent="0.25">
      <c r="G146" s="72">
        <f>H137+H138+H140+H141+H142+SUM(H144:H145)</f>
        <v>8679.1400000000012</v>
      </c>
      <c r="H146" s="72"/>
      <c r="J146" s="72">
        <f>K137+K138+K140+K141+K142+SUM(K144:K145)</f>
        <v>58237.960000000006</v>
      </c>
      <c r="K146" s="72"/>
      <c r="L146" s="40">
        <f>Source!U45</f>
        <v>5.408703</v>
      </c>
      <c r="O146" s="24">
        <f>G146</f>
        <v>8679.1400000000012</v>
      </c>
      <c r="P146" s="24">
        <f>J146</f>
        <v>58237.960000000006</v>
      </c>
      <c r="Q146" s="24">
        <f>L146</f>
        <v>5.408703</v>
      </c>
      <c r="W146">
        <f>IF(Source!BI45&lt;=1,H137+H138+H140+H141+H142, 0)</f>
        <v>272.87</v>
      </c>
      <c r="X146">
        <f>IF(Source!BI45=2,H137+H138+H140+H141+H142, 0)</f>
        <v>0</v>
      </c>
      <c r="Y146">
        <f>IF(Source!BI45=3,H137+H138+H140+H141+H142, 0)</f>
        <v>0</v>
      </c>
      <c r="Z146">
        <f>IF(Source!BI45=4,H137+H138+H140+H141+H142, 0)</f>
        <v>0</v>
      </c>
    </row>
    <row r="147" spans="1:26" ht="28.5" x14ac:dyDescent="0.2">
      <c r="A147" s="45" t="str">
        <f>Source!E48</f>
        <v>14</v>
      </c>
      <c r="B147" s="46" t="str">
        <f>Source!F48</f>
        <v>57-10-3</v>
      </c>
      <c r="C147" s="46" t="str">
        <f>Source!G48</f>
        <v>Заделка выбоин в полах цементных площадью до 1,0 м2</v>
      </c>
      <c r="D147" s="29" t="str">
        <f>Source!H48</f>
        <v>100 мест</v>
      </c>
      <c r="E147" s="11">
        <f>Source!I48</f>
        <v>0.19</v>
      </c>
      <c r="F147" s="30">
        <f>Source!AL48+Source!AM48+Source!AO48</f>
        <v>1106.8800000000001</v>
      </c>
      <c r="G147" s="31"/>
      <c r="H147" s="30"/>
      <c r="I147" s="31" t="str">
        <f>Source!BO48</f>
        <v/>
      </c>
      <c r="J147" s="31"/>
      <c r="K147" s="30"/>
      <c r="L147" s="32"/>
      <c r="S147">
        <f>ROUND((Source!FX48/100)*((ROUND(Source!AF48*Source!I48, 2)+ROUND(Source!AE48*Source!I48, 2))), 2)</f>
        <v>161.07</v>
      </c>
      <c r="T147">
        <f>Source!X48</f>
        <v>1080.79</v>
      </c>
      <c r="U147">
        <f>ROUND((Source!FY48/100)*((ROUND(Source!AF48*Source!I48, 2)+ROUND(Source!AE48*Source!I48, 2))), 2)</f>
        <v>136.91</v>
      </c>
      <c r="V147">
        <f>Source!Y48</f>
        <v>918.67</v>
      </c>
    </row>
    <row r="148" spans="1:26" x14ac:dyDescent="0.2">
      <c r="C148" s="23" t="str">
        <f>"Объем: "&amp;Source!I48&amp;"=19/"&amp;"100"</f>
        <v>Объем: 0,19=19/100</v>
      </c>
    </row>
    <row r="149" spans="1:26" ht="14.25" x14ac:dyDescent="0.2">
      <c r="A149" s="45"/>
      <c r="B149" s="46"/>
      <c r="C149" s="46" t="s">
        <v>1167</v>
      </c>
      <c r="D149" s="29"/>
      <c r="E149" s="11"/>
      <c r="F149" s="30">
        <f>Source!AO48</f>
        <v>1059.68</v>
      </c>
      <c r="G149" s="31" t="str">
        <f>Source!DG48</f>
        <v/>
      </c>
      <c r="H149" s="30">
        <f>ROUND(Source!AF48*Source!I48, 2)</f>
        <v>201.34</v>
      </c>
      <c r="I149" s="31"/>
      <c r="J149" s="31">
        <f>IF(Source!BA48&lt;&gt; 0, Source!BA48, 1)</f>
        <v>6.71</v>
      </c>
      <c r="K149" s="30">
        <f>Source!S48</f>
        <v>1350.99</v>
      </c>
      <c r="L149" s="32"/>
      <c r="R149">
        <f>H149</f>
        <v>201.34</v>
      </c>
    </row>
    <row r="150" spans="1:26" ht="14.25" x14ac:dyDescent="0.2">
      <c r="A150" s="45"/>
      <c r="B150" s="46"/>
      <c r="C150" s="46" t="s">
        <v>382</v>
      </c>
      <c r="D150" s="29"/>
      <c r="E150" s="11"/>
      <c r="F150" s="30">
        <f>Source!AM48</f>
        <v>46.96</v>
      </c>
      <c r="G150" s="31" t="str">
        <f>Source!DE48</f>
        <v/>
      </c>
      <c r="H150" s="30">
        <f>ROUND(Source!AD48*Source!I48, 2)</f>
        <v>8.92</v>
      </c>
      <c r="I150" s="31"/>
      <c r="J150" s="31">
        <f>IF(Source!BB48&lt;&gt; 0, Source!BB48, 1)</f>
        <v>6.71</v>
      </c>
      <c r="K150" s="30">
        <f>Source!Q48</f>
        <v>59.87</v>
      </c>
      <c r="L150" s="32"/>
    </row>
    <row r="151" spans="1:26" ht="14.25" x14ac:dyDescent="0.2">
      <c r="A151" s="45"/>
      <c r="B151" s="46"/>
      <c r="C151" s="46" t="s">
        <v>1174</v>
      </c>
      <c r="D151" s="29"/>
      <c r="E151" s="11"/>
      <c r="F151" s="30">
        <f>Source!AL48</f>
        <v>0.24</v>
      </c>
      <c r="G151" s="31" t="str">
        <f>Source!DD48</f>
        <v/>
      </c>
      <c r="H151" s="30">
        <f>ROUND(Source!AC48*Source!I48, 2)</f>
        <v>0.05</v>
      </c>
      <c r="I151" s="31"/>
      <c r="J151" s="31">
        <f>IF(Source!BC48&lt;&gt; 0, Source!BC48, 1)</f>
        <v>6.71</v>
      </c>
      <c r="K151" s="30">
        <f>Source!P48</f>
        <v>0.31</v>
      </c>
      <c r="L151" s="32"/>
    </row>
    <row r="152" spans="1:26" ht="14.25" x14ac:dyDescent="0.2">
      <c r="A152" s="45"/>
      <c r="B152" s="46"/>
      <c r="C152" s="46" t="s">
        <v>1169</v>
      </c>
      <c r="D152" s="29" t="s">
        <v>1170</v>
      </c>
      <c r="E152" s="11">
        <f>Source!BZ48</f>
        <v>80</v>
      </c>
      <c r="F152" s="49"/>
      <c r="G152" s="31"/>
      <c r="H152" s="30">
        <f>SUM(S147:S156)</f>
        <v>161.07</v>
      </c>
      <c r="I152" s="34"/>
      <c r="J152" s="27">
        <f>Source!AT48</f>
        <v>80</v>
      </c>
      <c r="K152" s="30">
        <f>SUM(T147:T156)</f>
        <v>1080.79</v>
      </c>
      <c r="L152" s="32"/>
    </row>
    <row r="153" spans="1:26" ht="14.25" x14ac:dyDescent="0.2">
      <c r="A153" s="45"/>
      <c r="B153" s="46"/>
      <c r="C153" s="46" t="s">
        <v>1171</v>
      </c>
      <c r="D153" s="29" t="s">
        <v>1170</v>
      </c>
      <c r="E153" s="11">
        <f>Source!CA48</f>
        <v>68</v>
      </c>
      <c r="F153" s="49"/>
      <c r="G153" s="31"/>
      <c r="H153" s="30">
        <f>SUM(U147:U156)</f>
        <v>136.91</v>
      </c>
      <c r="I153" s="34"/>
      <c r="J153" s="27">
        <f>Source!AU48</f>
        <v>68</v>
      </c>
      <c r="K153" s="30">
        <f>SUM(V147:V156)</f>
        <v>918.67</v>
      </c>
      <c r="L153" s="32"/>
    </row>
    <row r="154" spans="1:26" ht="14.25" x14ac:dyDescent="0.2">
      <c r="A154" s="45"/>
      <c r="B154" s="46"/>
      <c r="C154" s="46" t="s">
        <v>1172</v>
      </c>
      <c r="D154" s="29" t="s">
        <v>1173</v>
      </c>
      <c r="E154" s="11">
        <f>Source!AQ48</f>
        <v>124.23</v>
      </c>
      <c r="F154" s="30"/>
      <c r="G154" s="31" t="str">
        <f>Source!DI48</f>
        <v/>
      </c>
      <c r="H154" s="30"/>
      <c r="I154" s="31"/>
      <c r="J154" s="31"/>
      <c r="K154" s="30"/>
      <c r="L154" s="41">
        <f>Source!U48</f>
        <v>23.6037</v>
      </c>
    </row>
    <row r="155" spans="1:26" ht="28.5" x14ac:dyDescent="0.2">
      <c r="A155" s="45" t="str">
        <f>Source!E49</f>
        <v>14,1</v>
      </c>
      <c r="B155" s="46" t="str">
        <f>Source!F49</f>
        <v>04.3.01.09</v>
      </c>
      <c r="C155" s="46" t="str">
        <f>Source!G49</f>
        <v>Раствор готовый кладочный тяжелый цементный</v>
      </c>
      <c r="D155" s="29" t="str">
        <f>Source!H49</f>
        <v>м3</v>
      </c>
      <c r="E155" s="11">
        <f>Source!I49</f>
        <v>0.40660000000000002</v>
      </c>
      <c r="F155" s="30">
        <f>Source!AL49+Source!AM49+Source!AO49</f>
        <v>0</v>
      </c>
      <c r="G155" s="44" t="s">
        <v>6</v>
      </c>
      <c r="H155" s="30">
        <f>ROUND(Source!AC49*Source!I49, 2)+ROUND(Source!AD49*Source!I49, 2)+ROUND(Source!AF49*Source!I49, 2)</f>
        <v>0</v>
      </c>
      <c r="I155" s="31"/>
      <c r="J155" s="31">
        <f>IF(Source!BC49&lt;&gt; 0, Source!BC49, 1)</f>
        <v>6.71</v>
      </c>
      <c r="K155" s="30">
        <f>Source!O49</f>
        <v>0</v>
      </c>
      <c r="L155" s="32"/>
      <c r="S155">
        <f>ROUND((Source!FX49/100)*((ROUND(Source!AF49*Source!I49, 2)+ROUND(Source!AE49*Source!I49, 2))), 2)</f>
        <v>0</v>
      </c>
      <c r="T155">
        <f>Source!X49</f>
        <v>0</v>
      </c>
      <c r="U155">
        <f>ROUND((Source!FY49/100)*((ROUND(Source!AF49*Source!I49, 2)+ROUND(Source!AE49*Source!I49, 2))), 2)</f>
        <v>0</v>
      </c>
      <c r="V155">
        <f>Source!Y49</f>
        <v>0</v>
      </c>
      <c r="W155">
        <f>IF(Source!BI49&lt;=1,H155, 0)</f>
        <v>0</v>
      </c>
      <c r="X155">
        <f>IF(Source!BI49=2,H155, 0)</f>
        <v>0</v>
      </c>
      <c r="Y155">
        <f>IF(Source!BI49=3,H155, 0)</f>
        <v>0</v>
      </c>
      <c r="Z155">
        <f>IF(Source!BI49=4,H155, 0)</f>
        <v>0</v>
      </c>
    </row>
    <row r="156" spans="1:26" ht="42.75" x14ac:dyDescent="0.2">
      <c r="A156" s="47" t="str">
        <f>Source!E50</f>
        <v>14,2</v>
      </c>
      <c r="B156" s="48" t="str">
        <f>Source!F50</f>
        <v>04.3.02.13-0103</v>
      </c>
      <c r="C156" s="48" t="str">
        <f>Source!G50</f>
        <v>Смесь сухая  цементно-песчаная "БИРСС 11" (марка М150), бездобавочная</v>
      </c>
      <c r="D156" s="35" t="str">
        <f>Source!H50</f>
        <v>т</v>
      </c>
      <c r="E156" s="36">
        <f>Source!I50</f>
        <v>0.88219199999999987</v>
      </c>
      <c r="F156" s="37">
        <f>Source!AL50+Source!AM50+Source!AO50</f>
        <v>728.14</v>
      </c>
      <c r="G156" s="42" t="s">
        <v>6</v>
      </c>
      <c r="H156" s="37">
        <f>ROUND(Source!AC50*Source!I50, 2)+ROUND(Source!AD50*Source!I50, 2)+ROUND(Source!AF50*Source!I50, 2)</f>
        <v>642.36</v>
      </c>
      <c r="I156" s="38"/>
      <c r="J156" s="38">
        <f>IF(Source!BC50&lt;&gt; 0, Source!BC50, 1)</f>
        <v>6.71</v>
      </c>
      <c r="K156" s="37">
        <f>Source!O50</f>
        <v>4310.2299999999996</v>
      </c>
      <c r="L156" s="43"/>
      <c r="S156">
        <f>ROUND((Source!FX50/100)*((ROUND(Source!AF50*Source!I50, 2)+ROUND(Source!AE50*Source!I50, 2))), 2)</f>
        <v>0</v>
      </c>
      <c r="T156">
        <f>Source!X50</f>
        <v>0</v>
      </c>
      <c r="U156">
        <f>ROUND((Source!FY50/100)*((ROUND(Source!AF50*Source!I50, 2)+ROUND(Source!AE50*Source!I50, 2))), 2)</f>
        <v>0</v>
      </c>
      <c r="V156">
        <f>Source!Y50</f>
        <v>0</v>
      </c>
      <c r="W156">
        <f>IF(Source!BI50&lt;=1,H156, 0)</f>
        <v>642.36</v>
      </c>
      <c r="X156">
        <f>IF(Source!BI50=2,H156, 0)</f>
        <v>0</v>
      </c>
      <c r="Y156">
        <f>IF(Source!BI50=3,H156, 0)</f>
        <v>0</v>
      </c>
      <c r="Z156">
        <f>IF(Source!BI50=4,H156, 0)</f>
        <v>0</v>
      </c>
    </row>
    <row r="157" spans="1:26" ht="15" x14ac:dyDescent="0.25">
      <c r="G157" s="72">
        <f>H149+H150+H151+H152+H153+SUM(H155:H156)</f>
        <v>1150.6500000000001</v>
      </c>
      <c r="H157" s="72"/>
      <c r="J157" s="72">
        <f>K149+K150+K151+K152+K153+SUM(K155:K156)</f>
        <v>7720.86</v>
      </c>
      <c r="K157" s="72"/>
      <c r="L157" s="40">
        <f>Source!U48</f>
        <v>23.6037</v>
      </c>
      <c r="O157" s="24">
        <f>G157</f>
        <v>1150.6500000000001</v>
      </c>
      <c r="P157" s="24">
        <f>J157</f>
        <v>7720.86</v>
      </c>
      <c r="Q157" s="24">
        <f>L157</f>
        <v>23.6037</v>
      </c>
      <c r="W157">
        <f>IF(Source!BI48&lt;=1,H149+H150+H151+H152+H153, 0)</f>
        <v>508.28999999999996</v>
      </c>
      <c r="X157">
        <f>IF(Source!BI48=2,H149+H150+H151+H152+H153, 0)</f>
        <v>0</v>
      </c>
      <c r="Y157">
        <f>IF(Source!BI48=3,H149+H150+H151+H152+H153, 0)</f>
        <v>0</v>
      </c>
      <c r="Z157">
        <f>IF(Source!BI48=4,H149+H150+H151+H152+H153, 0)</f>
        <v>0</v>
      </c>
    </row>
    <row r="158" spans="1:26" ht="42.75" x14ac:dyDescent="0.2">
      <c r="A158" s="45" t="str">
        <f>Source!E51</f>
        <v>15</v>
      </c>
      <c r="B158" s="46" t="str">
        <f>Source!F51</f>
        <v>11-01-011-08</v>
      </c>
      <c r="C158" s="46" t="str">
        <f>Source!G51</f>
        <v>Устройство стяжек из выравнивающей смеси типа "Ветонит" 5000, толщиной 5 мм</v>
      </c>
      <c r="D158" s="29" t="str">
        <f>Source!H51</f>
        <v>100 м2</v>
      </c>
      <c r="E158" s="11">
        <f>Source!I51</f>
        <v>1.3442000000000001</v>
      </c>
      <c r="F158" s="30">
        <f>Source!AL51+Source!AM51+Source!AO51</f>
        <v>11028.89</v>
      </c>
      <c r="G158" s="31"/>
      <c r="H158" s="30"/>
      <c r="I158" s="31" t="str">
        <f>Source!BO51</f>
        <v/>
      </c>
      <c r="J158" s="31"/>
      <c r="K158" s="30"/>
      <c r="L158" s="32"/>
      <c r="S158">
        <f>ROUND((Source!FX51/100)*((ROUND(Source!AF51*Source!I51, 2)+ROUND(Source!AE51*Source!I51, 2))), 2)</f>
        <v>553.53</v>
      </c>
      <c r="T158">
        <f>Source!X51</f>
        <v>3724.27</v>
      </c>
      <c r="U158">
        <f>ROUND((Source!FY51/100)*((ROUND(Source!AF51*Source!I51, 2)+ROUND(Source!AE51*Source!I51, 2))), 2)</f>
        <v>318.77</v>
      </c>
      <c r="V158">
        <f>Source!Y51</f>
        <v>2147.33</v>
      </c>
    </row>
    <row r="159" spans="1:26" x14ac:dyDescent="0.2">
      <c r="C159" s="23" t="str">
        <f>"Объем: "&amp;Source!I51&amp;"=134,42/"&amp;"100"</f>
        <v>Объем: 1,3442=134,42/100</v>
      </c>
    </row>
    <row r="160" spans="1:26" ht="14.25" x14ac:dyDescent="0.2">
      <c r="A160" s="45"/>
      <c r="B160" s="46"/>
      <c r="C160" s="46" t="s">
        <v>1167</v>
      </c>
      <c r="D160" s="29"/>
      <c r="E160" s="11"/>
      <c r="F160" s="30">
        <f>Source!AO51</f>
        <v>321.33</v>
      </c>
      <c r="G160" s="31" t="str">
        <f>Source!DG51</f>
        <v>)*1,15</v>
      </c>
      <c r="H160" s="30">
        <f>ROUND(Source!AF51*Source!I51, 2)</f>
        <v>496.72</v>
      </c>
      <c r="I160" s="31"/>
      <c r="J160" s="31">
        <f>IF(Source!BA51&lt;&gt; 0, Source!BA51, 1)</f>
        <v>6.71</v>
      </c>
      <c r="K160" s="30">
        <f>Source!S51</f>
        <v>3333.01</v>
      </c>
      <c r="L160" s="32"/>
      <c r="R160">
        <f>H160</f>
        <v>496.72</v>
      </c>
    </row>
    <row r="161" spans="1:26" ht="14.25" x14ac:dyDescent="0.2">
      <c r="A161" s="45"/>
      <c r="B161" s="46"/>
      <c r="C161" s="46" t="s">
        <v>382</v>
      </c>
      <c r="D161" s="29"/>
      <c r="E161" s="11"/>
      <c r="F161" s="30">
        <f>Source!AM51</f>
        <v>6.23</v>
      </c>
      <c r="G161" s="31" t="str">
        <f>Source!DE51</f>
        <v>)*1,25</v>
      </c>
      <c r="H161" s="30">
        <f>ROUND(Source!AD51*Source!I51, 2)</f>
        <v>10.47</v>
      </c>
      <c r="I161" s="31"/>
      <c r="J161" s="31">
        <f>IF(Source!BB51&lt;&gt; 0, Source!BB51, 1)</f>
        <v>6.71</v>
      </c>
      <c r="K161" s="30">
        <f>Source!Q51</f>
        <v>70.260000000000005</v>
      </c>
      <c r="L161" s="32"/>
    </row>
    <row r="162" spans="1:26" ht="14.25" x14ac:dyDescent="0.2">
      <c r="A162" s="45"/>
      <c r="B162" s="46"/>
      <c r="C162" s="46" t="s">
        <v>1168</v>
      </c>
      <c r="D162" s="29"/>
      <c r="E162" s="11"/>
      <c r="F162" s="30">
        <f>Source!AN51</f>
        <v>1.97</v>
      </c>
      <c r="G162" s="31" t="str">
        <f>Source!DF51</f>
        <v>)*1,25</v>
      </c>
      <c r="H162" s="33">
        <f>ROUND(Source!AE51*Source!I51, 2)</f>
        <v>3.31</v>
      </c>
      <c r="I162" s="31"/>
      <c r="J162" s="31">
        <f>IF(Source!BS51&lt;&gt; 0, Source!BS51, 1)</f>
        <v>6.71</v>
      </c>
      <c r="K162" s="33">
        <f>Source!R51</f>
        <v>22.19</v>
      </c>
      <c r="L162" s="32"/>
      <c r="R162">
        <f>H162</f>
        <v>3.31</v>
      </c>
    </row>
    <row r="163" spans="1:26" ht="14.25" x14ac:dyDescent="0.2">
      <c r="A163" s="45"/>
      <c r="B163" s="46"/>
      <c r="C163" s="46" t="s">
        <v>1174</v>
      </c>
      <c r="D163" s="29"/>
      <c r="E163" s="11"/>
      <c r="F163" s="30">
        <f>Source!AL51</f>
        <v>10701.33</v>
      </c>
      <c r="G163" s="31" t="str">
        <f>Source!DD51</f>
        <v/>
      </c>
      <c r="H163" s="30">
        <f>ROUND(Source!AC51*Source!I51, 2)</f>
        <v>14384.73</v>
      </c>
      <c r="I163" s="31"/>
      <c r="J163" s="31">
        <f>IF(Source!BC51&lt;&gt; 0, Source!BC51, 1)</f>
        <v>6.71</v>
      </c>
      <c r="K163" s="30">
        <f>Source!P51</f>
        <v>96521.52</v>
      </c>
      <c r="L163" s="32"/>
    </row>
    <row r="164" spans="1:26" ht="14.25" x14ac:dyDescent="0.2">
      <c r="A164" s="45"/>
      <c r="B164" s="46"/>
      <c r="C164" s="46" t="s">
        <v>1169</v>
      </c>
      <c r="D164" s="29" t="s">
        <v>1170</v>
      </c>
      <c r="E164" s="11">
        <f>Source!BZ51</f>
        <v>123</v>
      </c>
      <c r="F164" s="74" t="str">
        <f>CONCATENATE(" )", Source!DL51, Source!FT51, "=", Source!FX51)</f>
        <v xml:space="preserve"> )*0,9=110,7</v>
      </c>
      <c r="G164" s="75"/>
      <c r="H164" s="30">
        <f>SUM(S158:S166)</f>
        <v>553.53</v>
      </c>
      <c r="I164" s="34"/>
      <c r="J164" s="27">
        <f>Source!AT51</f>
        <v>111</v>
      </c>
      <c r="K164" s="30">
        <f>SUM(T158:T166)</f>
        <v>3724.27</v>
      </c>
      <c r="L164" s="32"/>
    </row>
    <row r="165" spans="1:26" ht="14.25" x14ac:dyDescent="0.2">
      <c r="A165" s="45"/>
      <c r="B165" s="46"/>
      <c r="C165" s="46" t="s">
        <v>1171</v>
      </c>
      <c r="D165" s="29" t="s">
        <v>1170</v>
      </c>
      <c r="E165" s="11">
        <f>Source!CA51</f>
        <v>75</v>
      </c>
      <c r="F165" s="74" t="str">
        <f>CONCATENATE(" )", Source!DM51, Source!FU51, "=", Source!FY51)</f>
        <v xml:space="preserve"> )*0,85=63,75</v>
      </c>
      <c r="G165" s="75"/>
      <c r="H165" s="30">
        <f>SUM(U158:U166)</f>
        <v>318.77</v>
      </c>
      <c r="I165" s="34"/>
      <c r="J165" s="27">
        <f>Source!AU51</f>
        <v>64</v>
      </c>
      <c r="K165" s="30">
        <f>SUM(V158:V166)</f>
        <v>2147.33</v>
      </c>
      <c r="L165" s="32"/>
    </row>
    <row r="166" spans="1:26" ht="14.25" x14ac:dyDescent="0.2">
      <c r="A166" s="47"/>
      <c r="B166" s="48"/>
      <c r="C166" s="48" t="s">
        <v>1172</v>
      </c>
      <c r="D166" s="35" t="s">
        <v>1173</v>
      </c>
      <c r="E166" s="36">
        <f>Source!AQ51</f>
        <v>37.67</v>
      </c>
      <c r="F166" s="37"/>
      <c r="G166" s="38" t="str">
        <f>Source!DI51</f>
        <v>)*1,15</v>
      </c>
      <c r="H166" s="37"/>
      <c r="I166" s="38"/>
      <c r="J166" s="38"/>
      <c r="K166" s="37"/>
      <c r="L166" s="39">
        <f>Source!U51</f>
        <v>58.231416099999997</v>
      </c>
    </row>
    <row r="167" spans="1:26" ht="15" x14ac:dyDescent="0.25">
      <c r="G167" s="72">
        <f>H160+H161+H163+H164+H165</f>
        <v>15764.220000000001</v>
      </c>
      <c r="H167" s="72"/>
      <c r="J167" s="72">
        <f>K160+K161+K163+K164+K165</f>
        <v>105796.39000000001</v>
      </c>
      <c r="K167" s="72"/>
      <c r="L167" s="40">
        <f>Source!U51</f>
        <v>58.231416099999997</v>
      </c>
      <c r="O167" s="24">
        <f>G167</f>
        <v>15764.220000000001</v>
      </c>
      <c r="P167" s="24">
        <f>J167</f>
        <v>105796.39000000001</v>
      </c>
      <c r="Q167" s="24">
        <f>L167</f>
        <v>58.231416099999997</v>
      </c>
      <c r="W167">
        <f>IF(Source!BI51&lt;=1,H160+H161+H163+H164+H165, 0)</f>
        <v>15764.220000000001</v>
      </c>
      <c r="X167">
        <f>IF(Source!BI51=2,H160+H161+H163+H164+H165, 0)</f>
        <v>0</v>
      </c>
      <c r="Y167">
        <f>IF(Source!BI51=3,H160+H161+H163+H164+H165, 0)</f>
        <v>0</v>
      </c>
      <c r="Z167">
        <f>IF(Source!BI51=4,H160+H161+H163+H164+H165, 0)</f>
        <v>0</v>
      </c>
    </row>
    <row r="168" spans="1:26" ht="42.75" x14ac:dyDescent="0.2">
      <c r="A168" s="45" t="str">
        <f>Source!E52</f>
        <v>16</v>
      </c>
      <c r="B168" s="46" t="str">
        <f>Source!F52</f>
        <v>11-01-011-10</v>
      </c>
      <c r="C168" s="46" t="str">
        <f>Source!G52</f>
        <v>Устройство стяжек на каждый последующий слой толщиной 1 мм добавлять к расценке 11-01-011-08</v>
      </c>
      <c r="D168" s="29" t="str">
        <f>Source!H52</f>
        <v>100 м2</v>
      </c>
      <c r="E168" s="11">
        <f>Source!I52</f>
        <v>1.3442000000000001</v>
      </c>
      <c r="F168" s="30">
        <f>Source!AL52+Source!AM52+Source!AO52</f>
        <v>2070.6</v>
      </c>
      <c r="G168" s="31"/>
      <c r="H168" s="30"/>
      <c r="I168" s="31" t="str">
        <f>Source!BO52</f>
        <v/>
      </c>
      <c r="J168" s="31"/>
      <c r="K168" s="30"/>
      <c r="L168" s="32"/>
      <c r="S168">
        <f>ROUND((Source!FX52/100)*((ROUND(Source!AF52*Source!I52, 2)+ROUND(Source!AE52*Source!I52, 2))), 2)</f>
        <v>179.85</v>
      </c>
      <c r="T168">
        <f>Source!X52</f>
        <v>1210.1099999999999</v>
      </c>
      <c r="U168">
        <f>ROUND((Source!FY52/100)*((ROUND(Source!AF52*Source!I52, 2)+ROUND(Source!AE52*Source!I52, 2))), 2)</f>
        <v>103.57</v>
      </c>
      <c r="V168">
        <f>Source!Y52</f>
        <v>697.72</v>
      </c>
    </row>
    <row r="169" spans="1:26" x14ac:dyDescent="0.2">
      <c r="C169" s="23" t="str">
        <f>"Объем: "&amp;Source!I52&amp;"=134,42/"&amp;"100"</f>
        <v>Объем: 1,3442=134,42/100</v>
      </c>
    </row>
    <row r="170" spans="1:26" ht="14.25" x14ac:dyDescent="0.2">
      <c r="A170" s="45"/>
      <c r="B170" s="46"/>
      <c r="C170" s="46" t="s">
        <v>1167</v>
      </c>
      <c r="D170" s="29"/>
      <c r="E170" s="11"/>
      <c r="F170" s="30">
        <f>Source!AO52</f>
        <v>20.64</v>
      </c>
      <c r="G170" s="31" t="str">
        <f>Source!DG52</f>
        <v>)*1,15*5</v>
      </c>
      <c r="H170" s="30">
        <f>ROUND(Source!AF52*Source!I52, 2)</f>
        <v>159.53</v>
      </c>
      <c r="I170" s="31"/>
      <c r="J170" s="31">
        <f>IF(Source!BA52&lt;&gt; 0, Source!BA52, 1)</f>
        <v>6.71</v>
      </c>
      <c r="K170" s="30">
        <f>Source!S52</f>
        <v>1070.44</v>
      </c>
      <c r="L170" s="32"/>
      <c r="R170">
        <f>H170</f>
        <v>159.53</v>
      </c>
    </row>
    <row r="171" spans="1:26" ht="14.25" x14ac:dyDescent="0.2">
      <c r="A171" s="45"/>
      <c r="B171" s="46"/>
      <c r="C171" s="46" t="s">
        <v>382</v>
      </c>
      <c r="D171" s="29"/>
      <c r="E171" s="11"/>
      <c r="F171" s="30">
        <f>Source!AM52</f>
        <v>1.21</v>
      </c>
      <c r="G171" s="31" t="str">
        <f>Source!DE52</f>
        <v>)*1,25*5</v>
      </c>
      <c r="H171" s="30">
        <f>ROUND(Source!AD52*Source!I52, 2)</f>
        <v>10.18</v>
      </c>
      <c r="I171" s="31"/>
      <c r="J171" s="31">
        <f>IF(Source!BB52&lt;&gt; 0, Source!BB52, 1)</f>
        <v>6.71</v>
      </c>
      <c r="K171" s="30">
        <f>Source!Q52</f>
        <v>68.28</v>
      </c>
      <c r="L171" s="32"/>
    </row>
    <row r="172" spans="1:26" ht="14.25" x14ac:dyDescent="0.2">
      <c r="A172" s="45"/>
      <c r="B172" s="46"/>
      <c r="C172" s="46" t="s">
        <v>1168</v>
      </c>
      <c r="D172" s="29"/>
      <c r="E172" s="11"/>
      <c r="F172" s="30">
        <f>Source!AN52</f>
        <v>0.35</v>
      </c>
      <c r="G172" s="31" t="str">
        <f>Source!DF52</f>
        <v>)*1,25*5</v>
      </c>
      <c r="H172" s="33">
        <f>ROUND(Source!AE52*Source!I52, 2)</f>
        <v>2.94</v>
      </c>
      <c r="I172" s="31"/>
      <c r="J172" s="31">
        <f>IF(Source!BS52&lt;&gt; 0, Source!BS52, 1)</f>
        <v>6.71</v>
      </c>
      <c r="K172" s="33">
        <f>Source!R52</f>
        <v>19.75</v>
      </c>
      <c r="L172" s="32"/>
      <c r="R172">
        <f>H172</f>
        <v>2.94</v>
      </c>
    </row>
    <row r="173" spans="1:26" ht="14.25" x14ac:dyDescent="0.2">
      <c r="A173" s="45"/>
      <c r="B173" s="46"/>
      <c r="C173" s="46" t="s">
        <v>1174</v>
      </c>
      <c r="D173" s="29"/>
      <c r="E173" s="11"/>
      <c r="F173" s="30">
        <f>Source!AL52</f>
        <v>2048.75</v>
      </c>
      <c r="G173" s="31" t="str">
        <f>Source!DD52</f>
        <v>*5</v>
      </c>
      <c r="H173" s="30">
        <f>ROUND(Source!AC52*Source!I52, 2)</f>
        <v>13769.65</v>
      </c>
      <c r="I173" s="31"/>
      <c r="J173" s="31">
        <f>IF(Source!BC52&lt;&gt; 0, Source!BC52, 1)</f>
        <v>6.71</v>
      </c>
      <c r="K173" s="30">
        <f>Source!P52</f>
        <v>92394.34</v>
      </c>
      <c r="L173" s="32"/>
    </row>
    <row r="174" spans="1:26" ht="14.25" x14ac:dyDescent="0.2">
      <c r="A174" s="45"/>
      <c r="B174" s="46"/>
      <c r="C174" s="46" t="s">
        <v>1169</v>
      </c>
      <c r="D174" s="29" t="s">
        <v>1170</v>
      </c>
      <c r="E174" s="11">
        <f>Source!BZ52</f>
        <v>123</v>
      </c>
      <c r="F174" s="74" t="str">
        <f>CONCATENATE(" )", Source!DL52, Source!FT52, "=", Source!FX52)</f>
        <v xml:space="preserve"> )*0,9=110,7</v>
      </c>
      <c r="G174" s="75"/>
      <c r="H174" s="30">
        <f>SUM(S168:S176)</f>
        <v>179.85</v>
      </c>
      <c r="I174" s="34"/>
      <c r="J174" s="27">
        <f>Source!AT52</f>
        <v>111</v>
      </c>
      <c r="K174" s="30">
        <f>SUM(T168:T176)</f>
        <v>1210.1099999999999</v>
      </c>
      <c r="L174" s="32"/>
    </row>
    <row r="175" spans="1:26" ht="14.25" x14ac:dyDescent="0.2">
      <c r="A175" s="45"/>
      <c r="B175" s="46"/>
      <c r="C175" s="46" t="s">
        <v>1171</v>
      </c>
      <c r="D175" s="29" t="s">
        <v>1170</v>
      </c>
      <c r="E175" s="11">
        <f>Source!CA52</f>
        <v>75</v>
      </c>
      <c r="F175" s="74" t="str">
        <f>CONCATENATE(" )", Source!DM52, Source!FU52, "=", Source!FY52)</f>
        <v xml:space="preserve"> )*0,85=63,75</v>
      </c>
      <c r="G175" s="75"/>
      <c r="H175" s="30">
        <f>SUM(U168:U176)</f>
        <v>103.57</v>
      </c>
      <c r="I175" s="34"/>
      <c r="J175" s="27">
        <f>Source!AU52</f>
        <v>64</v>
      </c>
      <c r="K175" s="30">
        <f>SUM(V168:V176)</f>
        <v>697.72</v>
      </c>
      <c r="L175" s="32"/>
    </row>
    <row r="176" spans="1:26" ht="14.25" x14ac:dyDescent="0.2">
      <c r="A176" s="47"/>
      <c r="B176" s="48"/>
      <c r="C176" s="48" t="s">
        <v>1172</v>
      </c>
      <c r="D176" s="35" t="s">
        <v>1173</v>
      </c>
      <c r="E176" s="36">
        <f>Source!AQ52</f>
        <v>2.42</v>
      </c>
      <c r="F176" s="37"/>
      <c r="G176" s="38" t="str">
        <f>Source!DI52</f>
        <v>)*1,15*5</v>
      </c>
      <c r="H176" s="37"/>
      <c r="I176" s="38"/>
      <c r="J176" s="38"/>
      <c r="K176" s="37"/>
      <c r="L176" s="39">
        <f>Source!U52</f>
        <v>18.704543000000001</v>
      </c>
    </row>
    <row r="177" spans="1:26" ht="15" x14ac:dyDescent="0.25">
      <c r="G177" s="72">
        <f>H170+H171+H173+H174+H175</f>
        <v>14222.779999999999</v>
      </c>
      <c r="H177" s="72"/>
      <c r="J177" s="72">
        <f>K170+K171+K173+K174+K175</f>
        <v>95440.89</v>
      </c>
      <c r="K177" s="72"/>
      <c r="L177" s="40">
        <f>Source!U52</f>
        <v>18.704543000000001</v>
      </c>
      <c r="O177" s="24">
        <f>G177</f>
        <v>14222.779999999999</v>
      </c>
      <c r="P177" s="24">
        <f>J177</f>
        <v>95440.89</v>
      </c>
      <c r="Q177" s="24">
        <f>L177</f>
        <v>18.704543000000001</v>
      </c>
      <c r="W177">
        <f>IF(Source!BI52&lt;=1,H170+H171+H173+H174+H175, 0)</f>
        <v>14222.779999999999</v>
      </c>
      <c r="X177">
        <f>IF(Source!BI52=2,H170+H171+H173+H174+H175, 0)</f>
        <v>0</v>
      </c>
      <c r="Y177">
        <f>IF(Source!BI52=3,H170+H171+H173+H174+H175, 0)</f>
        <v>0</v>
      </c>
      <c r="Z177">
        <f>IF(Source!BI52=4,H170+H171+H173+H174+H175, 0)</f>
        <v>0</v>
      </c>
    </row>
    <row r="178" spans="1:26" ht="28.5" x14ac:dyDescent="0.2">
      <c r="A178" s="45" t="str">
        <f>Source!E53</f>
        <v>17</v>
      </c>
      <c r="B178" s="46" t="str">
        <f>Source!F53</f>
        <v>11-01-034-04</v>
      </c>
      <c r="C178" s="46" t="str">
        <f>Source!G53</f>
        <v>Устройство покрытий из досок ламинированных замковым способом</v>
      </c>
      <c r="D178" s="29" t="str">
        <f>Source!H53</f>
        <v>100 м2</v>
      </c>
      <c r="E178" s="11">
        <f>Source!I53</f>
        <v>1.3442000000000001</v>
      </c>
      <c r="F178" s="30">
        <f>Source!AL53+Source!AM53+Source!AO53</f>
        <v>613.75</v>
      </c>
      <c r="G178" s="31"/>
      <c r="H178" s="30"/>
      <c r="I178" s="31" t="str">
        <f>Source!BO53</f>
        <v/>
      </c>
      <c r="J178" s="31"/>
      <c r="K178" s="30"/>
      <c r="L178" s="32"/>
      <c r="S178">
        <f>ROUND((Source!FX53/100)*((ROUND(Source!AF53*Source!I53, 2)+ROUND(Source!AE53*Source!I53, 2))), 2)</f>
        <v>414.11</v>
      </c>
      <c r="T178">
        <f>Source!X53</f>
        <v>2786.17</v>
      </c>
      <c r="U178">
        <f>ROUND((Source!FY53/100)*((ROUND(Source!AF53*Source!I53, 2)+ROUND(Source!AE53*Source!I53, 2))), 2)</f>
        <v>238.48</v>
      </c>
      <c r="V178">
        <f>Source!Y53</f>
        <v>1606.44</v>
      </c>
    </row>
    <row r="179" spans="1:26" x14ac:dyDescent="0.2">
      <c r="C179" s="23" t="str">
        <f>"Объем: "&amp;Source!I53&amp;"=134,42/"&amp;"100"</f>
        <v>Объем: 1,3442=134,42/100</v>
      </c>
    </row>
    <row r="180" spans="1:26" ht="14.25" x14ac:dyDescent="0.2">
      <c r="A180" s="45"/>
      <c r="B180" s="46"/>
      <c r="C180" s="46" t="s">
        <v>1167</v>
      </c>
      <c r="D180" s="29"/>
      <c r="E180" s="11"/>
      <c r="F180" s="30">
        <f>Source!AO53</f>
        <v>240.73</v>
      </c>
      <c r="G180" s="31" t="str">
        <f>Source!DG53</f>
        <v>)*1,15</v>
      </c>
      <c r="H180" s="30">
        <f>ROUND(Source!AF53*Source!I53, 2)</f>
        <v>372.13</v>
      </c>
      <c r="I180" s="31"/>
      <c r="J180" s="31">
        <f>IF(Source!BA53&lt;&gt; 0, Source!BA53, 1)</f>
        <v>6.71</v>
      </c>
      <c r="K180" s="30">
        <f>Source!S53</f>
        <v>2496.98</v>
      </c>
      <c r="L180" s="32"/>
      <c r="R180">
        <f>H180</f>
        <v>372.13</v>
      </c>
    </row>
    <row r="181" spans="1:26" ht="14.25" x14ac:dyDescent="0.2">
      <c r="A181" s="45"/>
      <c r="B181" s="46"/>
      <c r="C181" s="46" t="s">
        <v>382</v>
      </c>
      <c r="D181" s="29"/>
      <c r="E181" s="11"/>
      <c r="F181" s="30">
        <f>Source!AM53</f>
        <v>6.57</v>
      </c>
      <c r="G181" s="31" t="str">
        <f>Source!DE53</f>
        <v>)*1,25</v>
      </c>
      <c r="H181" s="30">
        <f>ROUND(Source!AD53*Source!I53, 2)</f>
        <v>11.04</v>
      </c>
      <c r="I181" s="31"/>
      <c r="J181" s="31">
        <f>IF(Source!BB53&lt;&gt; 0, Source!BB53, 1)</f>
        <v>6.71</v>
      </c>
      <c r="K181" s="30">
        <f>Source!Q53</f>
        <v>74.05</v>
      </c>
      <c r="L181" s="32"/>
    </row>
    <row r="182" spans="1:26" ht="14.25" x14ac:dyDescent="0.2">
      <c r="A182" s="45"/>
      <c r="B182" s="46"/>
      <c r="C182" s="46" t="s">
        <v>1168</v>
      </c>
      <c r="D182" s="29"/>
      <c r="E182" s="11"/>
      <c r="F182" s="30">
        <f>Source!AN53</f>
        <v>1.1599999999999999</v>
      </c>
      <c r="G182" s="31" t="str">
        <f>Source!DF53</f>
        <v>)*1,25</v>
      </c>
      <c r="H182" s="33">
        <f>ROUND(Source!AE53*Source!I53, 2)</f>
        <v>1.95</v>
      </c>
      <c r="I182" s="31"/>
      <c r="J182" s="31">
        <f>IF(Source!BS53&lt;&gt; 0, Source!BS53, 1)</f>
        <v>6.71</v>
      </c>
      <c r="K182" s="33">
        <f>Source!R53</f>
        <v>13.08</v>
      </c>
      <c r="L182" s="32"/>
      <c r="R182">
        <f>H182</f>
        <v>1.95</v>
      </c>
    </row>
    <row r="183" spans="1:26" ht="14.25" x14ac:dyDescent="0.2">
      <c r="A183" s="45"/>
      <c r="B183" s="46"/>
      <c r="C183" s="46" t="s">
        <v>1174</v>
      </c>
      <c r="D183" s="29"/>
      <c r="E183" s="11"/>
      <c r="F183" s="30">
        <f>Source!AL53</f>
        <v>366.45</v>
      </c>
      <c r="G183" s="31" t="str">
        <f>Source!DD53</f>
        <v/>
      </c>
      <c r="H183" s="30">
        <f>ROUND(Source!AC53*Source!I53, 2)</f>
        <v>492.58</v>
      </c>
      <c r="I183" s="31"/>
      <c r="J183" s="31">
        <f>IF(Source!BC53&lt;&gt; 0, Source!BC53, 1)</f>
        <v>6.71</v>
      </c>
      <c r="K183" s="30">
        <f>Source!P53</f>
        <v>3305.23</v>
      </c>
      <c r="L183" s="32"/>
    </row>
    <row r="184" spans="1:26" ht="14.25" x14ac:dyDescent="0.2">
      <c r="A184" s="45"/>
      <c r="B184" s="46"/>
      <c r="C184" s="46" t="s">
        <v>1169</v>
      </c>
      <c r="D184" s="29" t="s">
        <v>1170</v>
      </c>
      <c r="E184" s="11">
        <f>Source!BZ53</f>
        <v>123</v>
      </c>
      <c r="F184" s="74" t="str">
        <f>CONCATENATE(" )", Source!DL53, Source!FT53, "=", Source!FX53)</f>
        <v xml:space="preserve"> )*0,9=110,7</v>
      </c>
      <c r="G184" s="75"/>
      <c r="H184" s="30">
        <f>SUM(S178:S188)</f>
        <v>414.11</v>
      </c>
      <c r="I184" s="34"/>
      <c r="J184" s="27">
        <f>Source!AT53</f>
        <v>111</v>
      </c>
      <c r="K184" s="30">
        <f>SUM(T178:T188)</f>
        <v>2786.17</v>
      </c>
      <c r="L184" s="32"/>
    </row>
    <row r="185" spans="1:26" ht="14.25" x14ac:dyDescent="0.2">
      <c r="A185" s="45"/>
      <c r="B185" s="46"/>
      <c r="C185" s="46" t="s">
        <v>1171</v>
      </c>
      <c r="D185" s="29" t="s">
        <v>1170</v>
      </c>
      <c r="E185" s="11">
        <f>Source!CA53</f>
        <v>75</v>
      </c>
      <c r="F185" s="74" t="str">
        <f>CONCATENATE(" )", Source!DM53, Source!FU53, "=", Source!FY53)</f>
        <v xml:space="preserve"> )*0,85=63,75</v>
      </c>
      <c r="G185" s="75"/>
      <c r="H185" s="30">
        <f>SUM(U178:U188)</f>
        <v>238.48</v>
      </c>
      <c r="I185" s="34"/>
      <c r="J185" s="27">
        <f>Source!AU53</f>
        <v>64</v>
      </c>
      <c r="K185" s="30">
        <f>SUM(V178:V188)</f>
        <v>1606.44</v>
      </c>
      <c r="L185" s="32"/>
    </row>
    <row r="186" spans="1:26" ht="14.25" x14ac:dyDescent="0.2">
      <c r="A186" s="45"/>
      <c r="B186" s="46"/>
      <c r="C186" s="46" t="s">
        <v>1172</v>
      </c>
      <c r="D186" s="29" t="s">
        <v>1173</v>
      </c>
      <c r="E186" s="11">
        <f>Source!AQ53</f>
        <v>25.61</v>
      </c>
      <c r="F186" s="30"/>
      <c r="G186" s="31" t="str">
        <f>Source!DI53</f>
        <v>)*1,15</v>
      </c>
      <c r="H186" s="30"/>
      <c r="I186" s="31"/>
      <c r="J186" s="31"/>
      <c r="K186" s="30"/>
      <c r="L186" s="41">
        <f>Source!U53</f>
        <v>39.588706299999998</v>
      </c>
    </row>
    <row r="187" spans="1:26" ht="28.5" x14ac:dyDescent="0.2">
      <c r="A187" s="45" t="str">
        <f>Source!E54</f>
        <v>17,1</v>
      </c>
      <c r="B187" s="46" t="str">
        <f>Source!F54</f>
        <v>11.2.03.02</v>
      </c>
      <c r="C187" s="46" t="str">
        <f>Source!G54</f>
        <v>Покрытие напольное ламинированное (ламинат)</v>
      </c>
      <c r="D187" s="29" t="str">
        <f>Source!H54</f>
        <v>м2</v>
      </c>
      <c r="E187" s="11">
        <f>Source!I54</f>
        <v>137.78049999999999</v>
      </c>
      <c r="F187" s="30">
        <f>Source!AL54+Source!AM54+Source!AO54</f>
        <v>0</v>
      </c>
      <c r="G187" s="44" t="s">
        <v>6</v>
      </c>
      <c r="H187" s="30">
        <f>ROUND(Source!AC54*Source!I54, 2)+ROUND(Source!AD54*Source!I54, 2)+ROUND(Source!AF54*Source!I54, 2)</f>
        <v>0</v>
      </c>
      <c r="I187" s="31"/>
      <c r="J187" s="31">
        <f>IF(Source!BC54&lt;&gt; 0, Source!BC54, 1)</f>
        <v>6.71</v>
      </c>
      <c r="K187" s="30">
        <f>Source!O54</f>
        <v>0</v>
      </c>
      <c r="L187" s="32"/>
      <c r="S187">
        <f>ROUND((Source!FX54/100)*((ROUND(Source!AF54*Source!I54, 2)+ROUND(Source!AE54*Source!I54, 2))), 2)</f>
        <v>0</v>
      </c>
      <c r="T187">
        <f>Source!X54</f>
        <v>0</v>
      </c>
      <c r="U187">
        <f>ROUND((Source!FY54/100)*((ROUND(Source!AF54*Source!I54, 2)+ROUND(Source!AE54*Source!I54, 2))), 2)</f>
        <v>0</v>
      </c>
      <c r="V187">
        <f>Source!Y54</f>
        <v>0</v>
      </c>
      <c r="W187">
        <f>IF(Source!BI54&lt;=1,H187, 0)</f>
        <v>0</v>
      </c>
      <c r="X187">
        <f>IF(Source!BI54=2,H187, 0)</f>
        <v>0</v>
      </c>
      <c r="Y187">
        <f>IF(Source!BI54=3,H187, 0)</f>
        <v>0</v>
      </c>
      <c r="Z187">
        <f>IF(Source!BI54=4,H187, 0)</f>
        <v>0</v>
      </c>
    </row>
    <row r="188" spans="1:26" ht="42.75" x14ac:dyDescent="0.2">
      <c r="A188" s="47" t="str">
        <f>Source!E55</f>
        <v>17,2</v>
      </c>
      <c r="B188" s="48" t="str">
        <f>Source!F55</f>
        <v>11.2.03.02-0037</v>
      </c>
      <c r="C188" s="48" t="str">
        <f>Source!G55</f>
        <v>Покрытие напольное ламинированное марки "Quick Step", 33 класс износостойкости, толщина 9,5 мм</v>
      </c>
      <c r="D188" s="35" t="str">
        <f>Source!H55</f>
        <v>м2</v>
      </c>
      <c r="E188" s="36">
        <f>Source!I55</f>
        <v>137.78049999999999</v>
      </c>
      <c r="F188" s="37">
        <f>Source!AL55+Source!AM55+Source!AO55</f>
        <v>346.78</v>
      </c>
      <c r="G188" s="42" t="s">
        <v>6</v>
      </c>
      <c r="H188" s="37">
        <f>ROUND(Source!AC55*Source!I55, 2)+ROUND(Source!AD55*Source!I55, 2)+ROUND(Source!AF55*Source!I55, 2)</f>
        <v>47779.519999999997</v>
      </c>
      <c r="I188" s="38"/>
      <c r="J188" s="38">
        <f>IF(Source!BC55&lt;&gt; 0, Source!BC55, 1)</f>
        <v>6.71</v>
      </c>
      <c r="K188" s="37">
        <f>Source!O55</f>
        <v>320600.59000000003</v>
      </c>
      <c r="L188" s="43"/>
      <c r="S188">
        <f>ROUND((Source!FX55/100)*((ROUND(Source!AF55*Source!I55, 2)+ROUND(Source!AE55*Source!I55, 2))), 2)</f>
        <v>0</v>
      </c>
      <c r="T188">
        <f>Source!X55</f>
        <v>0</v>
      </c>
      <c r="U188">
        <f>ROUND((Source!FY55/100)*((ROUND(Source!AF55*Source!I55, 2)+ROUND(Source!AE55*Source!I55, 2))), 2)</f>
        <v>0</v>
      </c>
      <c r="V188">
        <f>Source!Y55</f>
        <v>0</v>
      </c>
      <c r="W188">
        <f>IF(Source!BI55&lt;=1,H188, 0)</f>
        <v>47779.519999999997</v>
      </c>
      <c r="X188">
        <f>IF(Source!BI55=2,H188, 0)</f>
        <v>0</v>
      </c>
      <c r="Y188">
        <f>IF(Source!BI55=3,H188, 0)</f>
        <v>0</v>
      </c>
      <c r="Z188">
        <f>IF(Source!BI55=4,H188, 0)</f>
        <v>0</v>
      </c>
    </row>
    <row r="189" spans="1:26" ht="15" x14ac:dyDescent="0.25">
      <c r="G189" s="72">
        <f>H180+H181+H183+H184+H185+SUM(H187:H188)</f>
        <v>49307.86</v>
      </c>
      <c r="H189" s="72"/>
      <c r="J189" s="72">
        <f>K180+K181+K183+K184+K185+SUM(K187:K188)</f>
        <v>330869.46000000002</v>
      </c>
      <c r="K189" s="72"/>
      <c r="L189" s="40">
        <f>Source!U53</f>
        <v>39.588706299999998</v>
      </c>
      <c r="O189" s="24">
        <f>G189</f>
        <v>49307.86</v>
      </c>
      <c r="P189" s="24">
        <f>J189</f>
        <v>330869.46000000002</v>
      </c>
      <c r="Q189" s="24">
        <f>L189</f>
        <v>39.588706299999998</v>
      </c>
      <c r="W189">
        <f>IF(Source!BI53&lt;=1,H180+H181+H183+H184+H185, 0)</f>
        <v>1528.3400000000001</v>
      </c>
      <c r="X189">
        <f>IF(Source!BI53=2,H180+H181+H183+H184+H185, 0)</f>
        <v>0</v>
      </c>
      <c r="Y189">
        <f>IF(Source!BI53=3,H180+H181+H183+H184+H185, 0)</f>
        <v>0</v>
      </c>
      <c r="Z189">
        <f>IF(Source!BI53=4,H180+H181+H183+H184+H185, 0)</f>
        <v>0</v>
      </c>
    </row>
    <row r="190" spans="1:26" ht="42.75" x14ac:dyDescent="0.2">
      <c r="A190" s="45" t="str">
        <f>Source!E56</f>
        <v>18</v>
      </c>
      <c r="B190" s="46" t="str">
        <f>Source!F56</f>
        <v>11-01-040-03</v>
      </c>
      <c r="C190" s="46" t="str">
        <f>Source!G56</f>
        <v>Устройство плинтусов поливинилхлоридных на винтах самонарезающих</v>
      </c>
      <c r="D190" s="29" t="str">
        <f>Source!H56</f>
        <v>100 м</v>
      </c>
      <c r="E190" s="11">
        <f>Source!I56</f>
        <v>0.95599999999999996</v>
      </c>
      <c r="F190" s="30">
        <f>Source!AL56+Source!AM56+Source!AO56</f>
        <v>137.09</v>
      </c>
      <c r="G190" s="31"/>
      <c r="H190" s="30"/>
      <c r="I190" s="31" t="str">
        <f>Source!BO56</f>
        <v/>
      </c>
      <c r="J190" s="31"/>
      <c r="K190" s="30"/>
      <c r="L190" s="32"/>
      <c r="S190">
        <f>ROUND((Source!FX56/100)*((ROUND(Source!AF56*Source!I56, 2)+ROUND(Source!AE56*Source!I56, 2))), 2)</f>
        <v>75.2</v>
      </c>
      <c r="T190">
        <f>Source!X56</f>
        <v>505.9</v>
      </c>
      <c r="U190">
        <f>ROUND((Source!FY56/100)*((ROUND(Source!AF56*Source!I56, 2)+ROUND(Source!AE56*Source!I56, 2))), 2)</f>
        <v>43.31</v>
      </c>
      <c r="V190">
        <f>Source!Y56</f>
        <v>291.69</v>
      </c>
    </row>
    <row r="191" spans="1:26" x14ac:dyDescent="0.2">
      <c r="C191" s="23" t="str">
        <f>"Объем: "&amp;Source!I56&amp;"=95,6/"&amp;"100"</f>
        <v>Объем: 0,956=95,6/100</v>
      </c>
    </row>
    <row r="192" spans="1:26" ht="14.25" x14ac:dyDescent="0.2">
      <c r="A192" s="45"/>
      <c r="B192" s="46"/>
      <c r="C192" s="46" t="s">
        <v>1167</v>
      </c>
      <c r="D192" s="29"/>
      <c r="E192" s="11"/>
      <c r="F192" s="30">
        <f>Source!AO56</f>
        <v>61.32</v>
      </c>
      <c r="G192" s="31" t="str">
        <f>Source!DG56</f>
        <v>)*1,15</v>
      </c>
      <c r="H192" s="30">
        <f>ROUND(Source!AF56*Source!I56, 2)</f>
        <v>67.42</v>
      </c>
      <c r="I192" s="31"/>
      <c r="J192" s="31">
        <f>IF(Source!BA56&lt;&gt; 0, Source!BA56, 1)</f>
        <v>6.71</v>
      </c>
      <c r="K192" s="30">
        <f>Source!S56</f>
        <v>452.37</v>
      </c>
      <c r="L192" s="32"/>
      <c r="R192">
        <f>H192</f>
        <v>67.42</v>
      </c>
    </row>
    <row r="193" spans="1:26" ht="14.25" x14ac:dyDescent="0.2">
      <c r="A193" s="45"/>
      <c r="B193" s="46"/>
      <c r="C193" s="46" t="s">
        <v>382</v>
      </c>
      <c r="D193" s="29"/>
      <c r="E193" s="11"/>
      <c r="F193" s="30">
        <f>Source!AM56</f>
        <v>2.13</v>
      </c>
      <c r="G193" s="31" t="str">
        <f>Source!DE56</f>
        <v>)*1,25</v>
      </c>
      <c r="H193" s="30">
        <f>ROUND(Source!AD56*Source!I56, 2)</f>
        <v>2.5499999999999998</v>
      </c>
      <c r="I193" s="31"/>
      <c r="J193" s="31">
        <f>IF(Source!BB56&lt;&gt; 0, Source!BB56, 1)</f>
        <v>6.71</v>
      </c>
      <c r="K193" s="30">
        <f>Source!Q56</f>
        <v>17.13</v>
      </c>
      <c r="L193" s="32"/>
    </row>
    <row r="194" spans="1:26" ht="14.25" x14ac:dyDescent="0.2">
      <c r="A194" s="45"/>
      <c r="B194" s="46"/>
      <c r="C194" s="46" t="s">
        <v>1168</v>
      </c>
      <c r="D194" s="29"/>
      <c r="E194" s="11"/>
      <c r="F194" s="30">
        <f>Source!AN56</f>
        <v>0.42</v>
      </c>
      <c r="G194" s="31" t="str">
        <f>Source!DF56</f>
        <v>)*1,25</v>
      </c>
      <c r="H194" s="33">
        <f>ROUND(Source!AE56*Source!I56, 2)</f>
        <v>0.51</v>
      </c>
      <c r="I194" s="31"/>
      <c r="J194" s="31">
        <f>IF(Source!BS56&lt;&gt; 0, Source!BS56, 1)</f>
        <v>6.71</v>
      </c>
      <c r="K194" s="33">
        <f>Source!R56</f>
        <v>3.4</v>
      </c>
      <c r="L194" s="32"/>
      <c r="R194">
        <f>H194</f>
        <v>0.51</v>
      </c>
    </row>
    <row r="195" spans="1:26" ht="14.25" x14ac:dyDescent="0.2">
      <c r="A195" s="45"/>
      <c r="B195" s="46"/>
      <c r="C195" s="46" t="s">
        <v>1174</v>
      </c>
      <c r="D195" s="29"/>
      <c r="E195" s="11"/>
      <c r="F195" s="30">
        <f>Source!AL56</f>
        <v>73.64</v>
      </c>
      <c r="G195" s="31" t="str">
        <f>Source!DD56</f>
        <v/>
      </c>
      <c r="H195" s="30">
        <f>ROUND(Source!AC56*Source!I56, 2)</f>
        <v>70.400000000000006</v>
      </c>
      <c r="I195" s="31"/>
      <c r="J195" s="31">
        <f>IF(Source!BC56&lt;&gt; 0, Source!BC56, 1)</f>
        <v>6.71</v>
      </c>
      <c r="K195" s="30">
        <f>Source!P56</f>
        <v>472.38</v>
      </c>
      <c r="L195" s="32"/>
    </row>
    <row r="196" spans="1:26" ht="14.25" x14ac:dyDescent="0.2">
      <c r="A196" s="45"/>
      <c r="B196" s="46"/>
      <c r="C196" s="46" t="s">
        <v>1169</v>
      </c>
      <c r="D196" s="29" t="s">
        <v>1170</v>
      </c>
      <c r="E196" s="11">
        <f>Source!BZ56</f>
        <v>123</v>
      </c>
      <c r="F196" s="74" t="str">
        <f>CONCATENATE(" )", Source!DL56, Source!FT56, "=", Source!FX56)</f>
        <v xml:space="preserve"> )*0,9=110,7</v>
      </c>
      <c r="G196" s="75"/>
      <c r="H196" s="30">
        <f>SUM(S190:S210)</f>
        <v>75.2</v>
      </c>
      <c r="I196" s="34"/>
      <c r="J196" s="27">
        <f>Source!AT56</f>
        <v>111</v>
      </c>
      <c r="K196" s="30">
        <f>SUM(T190:T210)</f>
        <v>505.9</v>
      </c>
      <c r="L196" s="32"/>
    </row>
    <row r="197" spans="1:26" ht="14.25" x14ac:dyDescent="0.2">
      <c r="A197" s="45"/>
      <c r="B197" s="46"/>
      <c r="C197" s="46" t="s">
        <v>1171</v>
      </c>
      <c r="D197" s="29" t="s">
        <v>1170</v>
      </c>
      <c r="E197" s="11">
        <f>Source!CA56</f>
        <v>75</v>
      </c>
      <c r="F197" s="74" t="str">
        <f>CONCATENATE(" )", Source!DM56, Source!FU56, "=", Source!FY56)</f>
        <v xml:space="preserve"> )*0,85=63,75</v>
      </c>
      <c r="G197" s="75"/>
      <c r="H197" s="30">
        <f>SUM(U190:U210)</f>
        <v>43.31</v>
      </c>
      <c r="I197" s="34"/>
      <c r="J197" s="27">
        <f>Source!AU56</f>
        <v>64</v>
      </c>
      <c r="K197" s="30">
        <f>SUM(V190:V210)</f>
        <v>291.69</v>
      </c>
      <c r="L197" s="32"/>
    </row>
    <row r="198" spans="1:26" ht="14.25" x14ac:dyDescent="0.2">
      <c r="A198" s="45"/>
      <c r="B198" s="46"/>
      <c r="C198" s="46" t="s">
        <v>1172</v>
      </c>
      <c r="D198" s="29" t="s">
        <v>1173</v>
      </c>
      <c r="E198" s="11">
        <f>Source!AQ56</f>
        <v>6.68</v>
      </c>
      <c r="F198" s="30"/>
      <c r="G198" s="31" t="str">
        <f>Source!DI56</f>
        <v>)*1,15</v>
      </c>
      <c r="H198" s="30"/>
      <c r="I198" s="31"/>
      <c r="J198" s="31"/>
      <c r="K198" s="30"/>
      <c r="L198" s="41">
        <f>Source!U56</f>
        <v>7.3439919999999992</v>
      </c>
    </row>
    <row r="199" spans="1:26" ht="14.25" x14ac:dyDescent="0.2">
      <c r="A199" s="45" t="str">
        <f>Source!E57</f>
        <v>18,1</v>
      </c>
      <c r="B199" s="46" t="str">
        <f>Source!F57</f>
        <v>11.3.03.06</v>
      </c>
      <c r="C199" s="46" t="str">
        <f>Source!G57</f>
        <v>Плинтуса для полов пластиковые</v>
      </c>
      <c r="D199" s="29" t="str">
        <f>Source!H57</f>
        <v>м</v>
      </c>
      <c r="E199" s="11">
        <f>Source!I57</f>
        <v>96.555999999999997</v>
      </c>
      <c r="F199" s="30">
        <f>Source!AL57+Source!AM57+Source!AO57</f>
        <v>0</v>
      </c>
      <c r="G199" s="44" t="s">
        <v>6</v>
      </c>
      <c r="H199" s="30">
        <f>ROUND(Source!AC57*Source!I57, 2)+ROUND(Source!AD57*Source!I57, 2)+ROUND(Source!AF57*Source!I57, 2)</f>
        <v>0</v>
      </c>
      <c r="I199" s="31"/>
      <c r="J199" s="31">
        <f>IF(Source!BC57&lt;&gt; 0, Source!BC57, 1)</f>
        <v>6.71</v>
      </c>
      <c r="K199" s="30">
        <f>Source!O57</f>
        <v>0</v>
      </c>
      <c r="L199" s="32"/>
      <c r="S199">
        <f>ROUND((Source!FX57/100)*((ROUND(Source!AF57*Source!I57, 2)+ROUND(Source!AE57*Source!I57, 2))), 2)</f>
        <v>0</v>
      </c>
      <c r="T199">
        <f>Source!X57</f>
        <v>0</v>
      </c>
      <c r="U199">
        <f>ROUND((Source!FY57/100)*((ROUND(Source!AF57*Source!I57, 2)+ROUND(Source!AE57*Source!I57, 2))), 2)</f>
        <v>0</v>
      </c>
      <c r="V199">
        <f>Source!Y57</f>
        <v>0</v>
      </c>
      <c r="W199">
        <f>IF(Source!BI57&lt;=1,H199, 0)</f>
        <v>0</v>
      </c>
      <c r="X199">
        <f>IF(Source!BI57=2,H199, 0)</f>
        <v>0</v>
      </c>
      <c r="Y199">
        <f>IF(Source!BI57=3,H199, 0)</f>
        <v>0</v>
      </c>
      <c r="Z199">
        <f>IF(Source!BI57=4,H199, 0)</f>
        <v>0</v>
      </c>
    </row>
    <row r="200" spans="1:26" ht="28.5" x14ac:dyDescent="0.2">
      <c r="A200" s="45" t="str">
        <f>Source!E58</f>
        <v>18,2</v>
      </c>
      <c r="B200" s="46" t="str">
        <f>Source!F58</f>
        <v>11.3.03.06-0001</v>
      </c>
      <c r="C200" s="46" t="str">
        <f>Source!G58</f>
        <v>Плинтуса для полов пластиковые, KronPlast Premium19х48 мм</v>
      </c>
      <c r="D200" s="29" t="str">
        <f>Source!H58</f>
        <v>м</v>
      </c>
      <c r="E200" s="11">
        <f>Source!I58</f>
        <v>96.555999999999997</v>
      </c>
      <c r="F200" s="30">
        <f>Source!AL58+Source!AM58+Source!AO58</f>
        <v>12.3</v>
      </c>
      <c r="G200" s="44" t="s">
        <v>6</v>
      </c>
      <c r="H200" s="30">
        <f>ROUND(Source!AC58*Source!I58, 2)+ROUND(Source!AD58*Source!I58, 2)+ROUND(Source!AF58*Source!I58, 2)</f>
        <v>1187.6400000000001</v>
      </c>
      <c r="I200" s="31"/>
      <c r="J200" s="31">
        <f>IF(Source!BC58&lt;&gt; 0, Source!BC58, 1)</f>
        <v>6.71</v>
      </c>
      <c r="K200" s="30">
        <f>Source!O58</f>
        <v>7969.06</v>
      </c>
      <c r="L200" s="32"/>
      <c r="S200">
        <f>ROUND((Source!FX58/100)*((ROUND(Source!AF58*Source!I58, 2)+ROUND(Source!AE58*Source!I58, 2))), 2)</f>
        <v>0</v>
      </c>
      <c r="T200">
        <f>Source!X58</f>
        <v>0</v>
      </c>
      <c r="U200">
        <f>ROUND((Source!FY58/100)*((ROUND(Source!AF58*Source!I58, 2)+ROUND(Source!AE58*Source!I58, 2))), 2)</f>
        <v>0</v>
      </c>
      <c r="V200">
        <f>Source!Y58</f>
        <v>0</v>
      </c>
      <c r="W200">
        <f>IF(Source!BI58&lt;=1,H200, 0)</f>
        <v>1187.6400000000001</v>
      </c>
      <c r="X200">
        <f>IF(Source!BI58=2,H200, 0)</f>
        <v>0</v>
      </c>
      <c r="Y200">
        <f>IF(Source!BI58=3,H200, 0)</f>
        <v>0</v>
      </c>
      <c r="Z200">
        <f>IF(Source!BI58=4,H200, 0)</f>
        <v>0</v>
      </c>
    </row>
    <row r="201" spans="1:26" ht="28.5" x14ac:dyDescent="0.2">
      <c r="A201" s="45" t="str">
        <f>Source!E59</f>
        <v>18,3</v>
      </c>
      <c r="B201" s="46" t="str">
        <f>Source!F59</f>
        <v>11.3.03.14</v>
      </c>
      <c r="C201" s="46" t="str">
        <f>Source!G59</f>
        <v>Уголок наружный для пластикового плинтуса</v>
      </c>
      <c r="D201" s="29" t="str">
        <f>Source!H59</f>
        <v>шт.</v>
      </c>
      <c r="E201" s="11">
        <f>Source!I59</f>
        <v>6.6920000000000002</v>
      </c>
      <c r="F201" s="30">
        <f>Source!AL59+Source!AM59+Source!AO59</f>
        <v>0</v>
      </c>
      <c r="G201" s="44" t="s">
        <v>6</v>
      </c>
      <c r="H201" s="30">
        <f>ROUND(Source!AC59*Source!I59, 2)+ROUND(Source!AD59*Source!I59, 2)+ROUND(Source!AF59*Source!I59, 2)</f>
        <v>0</v>
      </c>
      <c r="I201" s="31"/>
      <c r="J201" s="31">
        <f>IF(Source!BC59&lt;&gt; 0, Source!BC59, 1)</f>
        <v>6.71</v>
      </c>
      <c r="K201" s="30">
        <f>Source!O59</f>
        <v>0</v>
      </c>
      <c r="L201" s="32"/>
      <c r="S201">
        <f>ROUND((Source!FX59/100)*((ROUND(Source!AF59*Source!I59, 2)+ROUND(Source!AE59*Source!I59, 2))), 2)</f>
        <v>0</v>
      </c>
      <c r="T201">
        <f>Source!X59</f>
        <v>0</v>
      </c>
      <c r="U201">
        <f>ROUND((Source!FY59/100)*((ROUND(Source!AF59*Source!I59, 2)+ROUND(Source!AE59*Source!I59, 2))), 2)</f>
        <v>0</v>
      </c>
      <c r="V201">
        <f>Source!Y59</f>
        <v>0</v>
      </c>
      <c r="W201">
        <f>IF(Source!BI59&lt;=1,H201, 0)</f>
        <v>0</v>
      </c>
      <c r="X201">
        <f>IF(Source!BI59=2,H201, 0)</f>
        <v>0</v>
      </c>
      <c r="Y201">
        <f>IF(Source!BI59=3,H201, 0)</f>
        <v>0</v>
      </c>
      <c r="Z201">
        <f>IF(Source!BI59=4,H201, 0)</f>
        <v>0</v>
      </c>
    </row>
    <row r="202" spans="1:26" ht="28.5" x14ac:dyDescent="0.2">
      <c r="A202" s="45" t="str">
        <f>Source!E60</f>
        <v>18,4</v>
      </c>
      <c r="B202" s="46" t="str">
        <f>Source!F60</f>
        <v>11.3.03.14-0011</v>
      </c>
      <c r="C202" s="46" t="str">
        <f>Source!G60</f>
        <v>Заглушки торцевая для пластикового плинтуса правая, высота 48 мм</v>
      </c>
      <c r="D202" s="29" t="str">
        <f>Source!H60</f>
        <v>100 шт.</v>
      </c>
      <c r="E202" s="11">
        <f>Source!I60</f>
        <v>7.0000000000000007E-2</v>
      </c>
      <c r="F202" s="30">
        <f>Source!AL60+Source!AM60+Source!AO60</f>
        <v>63</v>
      </c>
      <c r="G202" s="44" t="s">
        <v>6</v>
      </c>
      <c r="H202" s="30">
        <f>ROUND(Source!AC60*Source!I60, 2)+ROUND(Source!AD60*Source!I60, 2)+ROUND(Source!AF60*Source!I60, 2)</f>
        <v>4.41</v>
      </c>
      <c r="I202" s="31"/>
      <c r="J202" s="31">
        <f>IF(Source!BC60&lt;&gt; 0, Source!BC60, 1)</f>
        <v>6.71</v>
      </c>
      <c r="K202" s="30">
        <f>Source!O60</f>
        <v>29.59</v>
      </c>
      <c r="L202" s="32"/>
      <c r="S202">
        <f>ROUND((Source!FX60/100)*((ROUND(Source!AF60*Source!I60, 2)+ROUND(Source!AE60*Source!I60, 2))), 2)</f>
        <v>0</v>
      </c>
      <c r="T202">
        <f>Source!X60</f>
        <v>0</v>
      </c>
      <c r="U202">
        <f>ROUND((Source!FY60/100)*((ROUND(Source!AF60*Source!I60, 2)+ROUND(Source!AE60*Source!I60, 2))), 2)</f>
        <v>0</v>
      </c>
      <c r="V202">
        <f>Source!Y60</f>
        <v>0</v>
      </c>
      <c r="W202">
        <f>IF(Source!BI60&lt;=1,H202, 0)</f>
        <v>4.41</v>
      </c>
      <c r="X202">
        <f>IF(Source!BI60=2,H202, 0)</f>
        <v>0</v>
      </c>
      <c r="Y202">
        <f>IF(Source!BI60=3,H202, 0)</f>
        <v>0</v>
      </c>
      <c r="Z202">
        <f>IF(Source!BI60=4,H202, 0)</f>
        <v>0</v>
      </c>
    </row>
    <row r="203" spans="1:26" ht="28.5" x14ac:dyDescent="0.2">
      <c r="A203" s="45" t="str">
        <f>Source!E61</f>
        <v>18,5</v>
      </c>
      <c r="B203" s="46" t="str">
        <f>Source!F61</f>
        <v>11.3.03.14-0001</v>
      </c>
      <c r="C203" s="46" t="str">
        <f>Source!G61</f>
        <v>Заглушка торцевая для пластикового плинтуса левая, высота 48 мм</v>
      </c>
      <c r="D203" s="29" t="str">
        <f>Source!H61</f>
        <v>100 шт.</v>
      </c>
      <c r="E203" s="11">
        <f>Source!I61</f>
        <v>7.0000000000000007E-2</v>
      </c>
      <c r="F203" s="30">
        <f>Source!AL61+Source!AM61+Source!AO61</f>
        <v>63</v>
      </c>
      <c r="G203" s="44" t="s">
        <v>6</v>
      </c>
      <c r="H203" s="30">
        <f>ROUND(Source!AC61*Source!I61, 2)+ROUND(Source!AD61*Source!I61, 2)+ROUND(Source!AF61*Source!I61, 2)</f>
        <v>4.41</v>
      </c>
      <c r="I203" s="31"/>
      <c r="J203" s="31">
        <f>IF(Source!BC61&lt;&gt; 0, Source!BC61, 1)</f>
        <v>6.71</v>
      </c>
      <c r="K203" s="30">
        <f>Source!O61</f>
        <v>29.59</v>
      </c>
      <c r="L203" s="32"/>
      <c r="S203">
        <f>ROUND((Source!FX61/100)*((ROUND(Source!AF61*Source!I61, 2)+ROUND(Source!AE61*Source!I61, 2))), 2)</f>
        <v>0</v>
      </c>
      <c r="T203">
        <f>Source!X61</f>
        <v>0</v>
      </c>
      <c r="U203">
        <f>ROUND((Source!FY61/100)*((ROUND(Source!AF61*Source!I61, 2)+ROUND(Source!AE61*Source!I61, 2))), 2)</f>
        <v>0</v>
      </c>
      <c r="V203">
        <f>Source!Y61</f>
        <v>0</v>
      </c>
      <c r="W203">
        <f>IF(Source!BI61&lt;=1,H203, 0)</f>
        <v>4.41</v>
      </c>
      <c r="X203">
        <f>IF(Source!BI61=2,H203, 0)</f>
        <v>0</v>
      </c>
      <c r="Y203">
        <f>IF(Source!BI61=3,H203, 0)</f>
        <v>0</v>
      </c>
      <c r="Z203">
        <f>IF(Source!BI61=4,H203, 0)</f>
        <v>0</v>
      </c>
    </row>
    <row r="204" spans="1:26" ht="28.5" x14ac:dyDescent="0.2">
      <c r="A204" s="45" t="str">
        <f>Source!E62</f>
        <v>18,6</v>
      </c>
      <c r="B204" s="46" t="str">
        <f>Source!F62</f>
        <v>11.3.03.14-0021</v>
      </c>
      <c r="C204" s="46" t="str">
        <f>Source!G62</f>
        <v>Соединитель для пластикового плинтуса, высота 48 мм</v>
      </c>
      <c r="D204" s="29" t="str">
        <f>Source!H62</f>
        <v>100 шт.</v>
      </c>
      <c r="E204" s="11">
        <f>Source!I62</f>
        <v>0.38</v>
      </c>
      <c r="F204" s="30">
        <f>Source!AL62+Source!AM62+Source!AO62</f>
        <v>128</v>
      </c>
      <c r="G204" s="44" t="s">
        <v>6</v>
      </c>
      <c r="H204" s="30">
        <f>ROUND(Source!AC62*Source!I62, 2)+ROUND(Source!AD62*Source!I62, 2)+ROUND(Source!AF62*Source!I62, 2)</f>
        <v>48.64</v>
      </c>
      <c r="I204" s="31"/>
      <c r="J204" s="31">
        <f>IF(Source!BC62&lt;&gt; 0, Source!BC62, 1)</f>
        <v>6.71</v>
      </c>
      <c r="K204" s="30">
        <f>Source!O62</f>
        <v>326.37</v>
      </c>
      <c r="L204" s="32"/>
      <c r="S204">
        <f>ROUND((Source!FX62/100)*((ROUND(Source!AF62*Source!I62, 2)+ROUND(Source!AE62*Source!I62, 2))), 2)</f>
        <v>0</v>
      </c>
      <c r="T204">
        <f>Source!X62</f>
        <v>0</v>
      </c>
      <c r="U204">
        <f>ROUND((Source!FY62/100)*((ROUND(Source!AF62*Source!I62, 2)+ROUND(Source!AE62*Source!I62, 2))), 2)</f>
        <v>0</v>
      </c>
      <c r="V204">
        <f>Source!Y62</f>
        <v>0</v>
      </c>
      <c r="W204">
        <f>IF(Source!BI62&lt;=1,H204, 0)</f>
        <v>48.64</v>
      </c>
      <c r="X204">
        <f>IF(Source!BI62=2,H204, 0)</f>
        <v>0</v>
      </c>
      <c r="Y204">
        <f>IF(Source!BI62=3,H204, 0)</f>
        <v>0</v>
      </c>
      <c r="Z204">
        <f>IF(Source!BI62=4,H204, 0)</f>
        <v>0</v>
      </c>
    </row>
    <row r="205" spans="1:26" ht="28.5" x14ac:dyDescent="0.2">
      <c r="A205" s="45" t="str">
        <f>Source!E63</f>
        <v>18,7</v>
      </c>
      <c r="B205" s="46" t="str">
        <f>Source!F63</f>
        <v>11.3.03.14-0031</v>
      </c>
      <c r="C205" s="46" t="str">
        <f>Source!G63</f>
        <v>Уголок внутренний для пластикового плинтуса, высота 48 мм</v>
      </c>
      <c r="D205" s="29" t="str">
        <f>Source!H63</f>
        <v>100 шт.</v>
      </c>
      <c r="E205" s="11">
        <f>Source!I63</f>
        <v>0.06</v>
      </c>
      <c r="F205" s="30">
        <f>Source!AL63+Source!AM63+Source!AO63</f>
        <v>128</v>
      </c>
      <c r="G205" s="44" t="s">
        <v>6</v>
      </c>
      <c r="H205" s="30">
        <f>ROUND(Source!AC63*Source!I63, 2)+ROUND(Source!AD63*Source!I63, 2)+ROUND(Source!AF63*Source!I63, 2)</f>
        <v>7.68</v>
      </c>
      <c r="I205" s="31"/>
      <c r="J205" s="31">
        <f>IF(Source!BC63&lt;&gt; 0, Source!BC63, 1)</f>
        <v>6.71</v>
      </c>
      <c r="K205" s="30">
        <f>Source!O63</f>
        <v>51.53</v>
      </c>
      <c r="L205" s="32"/>
      <c r="S205">
        <f>ROUND((Source!FX63/100)*((ROUND(Source!AF63*Source!I63, 2)+ROUND(Source!AE63*Source!I63, 2))), 2)</f>
        <v>0</v>
      </c>
      <c r="T205">
        <f>Source!X63</f>
        <v>0</v>
      </c>
      <c r="U205">
        <f>ROUND((Source!FY63/100)*((ROUND(Source!AF63*Source!I63, 2)+ROUND(Source!AE63*Source!I63, 2))), 2)</f>
        <v>0</v>
      </c>
      <c r="V205">
        <f>Source!Y63</f>
        <v>0</v>
      </c>
      <c r="W205">
        <f>IF(Source!BI63&lt;=1,H205, 0)</f>
        <v>7.68</v>
      </c>
      <c r="X205">
        <f>IF(Source!BI63=2,H205, 0)</f>
        <v>0</v>
      </c>
      <c r="Y205">
        <f>IF(Source!BI63=3,H205, 0)</f>
        <v>0</v>
      </c>
      <c r="Z205">
        <f>IF(Source!BI63=4,H205, 0)</f>
        <v>0</v>
      </c>
    </row>
    <row r="206" spans="1:26" ht="28.5" x14ac:dyDescent="0.2">
      <c r="A206" s="45" t="str">
        <f>Source!E64</f>
        <v>18,8</v>
      </c>
      <c r="B206" s="46" t="str">
        <f>Source!F64</f>
        <v>11.3.03.14-0033</v>
      </c>
      <c r="C206" s="46" t="str">
        <f>Source!G64</f>
        <v>Уголок наружный для пластикового плинтуса, высота 48 мм</v>
      </c>
      <c r="D206" s="29" t="str">
        <f>Source!H64</f>
        <v>100 шт.</v>
      </c>
      <c r="E206" s="11">
        <f>Source!I64</f>
        <v>0.06</v>
      </c>
      <c r="F206" s="30">
        <f>Source!AL64+Source!AM64+Source!AO64</f>
        <v>128</v>
      </c>
      <c r="G206" s="44" t="s">
        <v>6</v>
      </c>
      <c r="H206" s="30">
        <f>ROUND(Source!AC64*Source!I64, 2)+ROUND(Source!AD64*Source!I64, 2)+ROUND(Source!AF64*Source!I64, 2)</f>
        <v>7.68</v>
      </c>
      <c r="I206" s="31"/>
      <c r="J206" s="31">
        <f>IF(Source!BC64&lt;&gt; 0, Source!BC64, 1)</f>
        <v>6.71</v>
      </c>
      <c r="K206" s="30">
        <f>Source!O64</f>
        <v>51.53</v>
      </c>
      <c r="L206" s="32"/>
      <c r="S206">
        <f>ROUND((Source!FX64/100)*((ROUND(Source!AF64*Source!I64, 2)+ROUND(Source!AE64*Source!I64, 2))), 2)</f>
        <v>0</v>
      </c>
      <c r="T206">
        <f>Source!X64</f>
        <v>0</v>
      </c>
      <c r="U206">
        <f>ROUND((Source!FY64/100)*((ROUND(Source!AF64*Source!I64, 2)+ROUND(Source!AE64*Source!I64, 2))), 2)</f>
        <v>0</v>
      </c>
      <c r="V206">
        <f>Source!Y64</f>
        <v>0</v>
      </c>
      <c r="W206">
        <f>IF(Source!BI64&lt;=1,H206, 0)</f>
        <v>7.68</v>
      </c>
      <c r="X206">
        <f>IF(Source!BI64=2,H206, 0)</f>
        <v>0</v>
      </c>
      <c r="Y206">
        <f>IF(Source!BI64=3,H206, 0)</f>
        <v>0</v>
      </c>
      <c r="Z206">
        <f>IF(Source!BI64=4,H206, 0)</f>
        <v>0</v>
      </c>
    </row>
    <row r="207" spans="1:26" ht="28.5" x14ac:dyDescent="0.2">
      <c r="A207" s="45" t="str">
        <f>Source!E65</f>
        <v>18,9</v>
      </c>
      <c r="B207" s="46" t="str">
        <f>Source!F65</f>
        <v>11.3.03.14</v>
      </c>
      <c r="C207" s="46" t="str">
        <f>Source!G65</f>
        <v>Уголок внутренний для пластикового плинтуса</v>
      </c>
      <c r="D207" s="29" t="str">
        <f>Source!H65</f>
        <v>шт.</v>
      </c>
      <c r="E207" s="11">
        <f>Source!I65</f>
        <v>6.6741650000000003</v>
      </c>
      <c r="F207" s="30">
        <f>Source!AL65+Source!AM65+Source!AO65</f>
        <v>0</v>
      </c>
      <c r="G207" s="44" t="s">
        <v>6</v>
      </c>
      <c r="H207" s="30">
        <f>ROUND(Source!AC65*Source!I65, 2)+ROUND(Source!AD65*Source!I65, 2)+ROUND(Source!AF65*Source!I65, 2)</f>
        <v>0</v>
      </c>
      <c r="I207" s="31"/>
      <c r="J207" s="31">
        <f>IF(Source!BC65&lt;&gt; 0, Source!BC65, 1)</f>
        <v>6.71</v>
      </c>
      <c r="K207" s="30">
        <f>Source!O65</f>
        <v>0</v>
      </c>
      <c r="L207" s="32"/>
      <c r="S207">
        <f>ROUND((Source!FX65/100)*((ROUND(Source!AF65*Source!I65, 2)+ROUND(Source!AE65*Source!I65, 2))), 2)</f>
        <v>0</v>
      </c>
      <c r="T207">
        <f>Source!X65</f>
        <v>0</v>
      </c>
      <c r="U207">
        <f>ROUND((Source!FY65/100)*((ROUND(Source!AF65*Source!I65, 2)+ROUND(Source!AE65*Source!I65, 2))), 2)</f>
        <v>0</v>
      </c>
      <c r="V207">
        <f>Source!Y65</f>
        <v>0</v>
      </c>
      <c r="W207">
        <f>IF(Source!BI65&lt;=1,H207, 0)</f>
        <v>0</v>
      </c>
      <c r="X207">
        <f>IF(Source!BI65=2,H207, 0)</f>
        <v>0</v>
      </c>
      <c r="Y207">
        <f>IF(Source!BI65=3,H207, 0)</f>
        <v>0</v>
      </c>
      <c r="Z207">
        <f>IF(Source!BI65=4,H207, 0)</f>
        <v>0</v>
      </c>
    </row>
    <row r="208" spans="1:26" ht="28.5" x14ac:dyDescent="0.2">
      <c r="A208" s="45" t="str">
        <f>Source!E66</f>
        <v>18,10</v>
      </c>
      <c r="B208" s="46" t="str">
        <f>Source!F66</f>
        <v>11.3.03.14</v>
      </c>
      <c r="C208" s="46" t="str">
        <f>Source!G66</f>
        <v>Соединитель для пластикового плинтуса</v>
      </c>
      <c r="D208" s="29" t="str">
        <f>Source!H66</f>
        <v>шт.</v>
      </c>
      <c r="E208" s="11">
        <f>Source!I66</f>
        <v>38.191056000000003</v>
      </c>
      <c r="F208" s="30">
        <f>Source!AL66+Source!AM66+Source!AO66</f>
        <v>0</v>
      </c>
      <c r="G208" s="44" t="s">
        <v>6</v>
      </c>
      <c r="H208" s="30">
        <f>ROUND(Source!AC66*Source!I66, 2)+ROUND(Source!AD66*Source!I66, 2)+ROUND(Source!AF66*Source!I66, 2)</f>
        <v>0</v>
      </c>
      <c r="I208" s="31"/>
      <c r="J208" s="31">
        <f>IF(Source!BC66&lt;&gt; 0, Source!BC66, 1)</f>
        <v>6.71</v>
      </c>
      <c r="K208" s="30">
        <f>Source!O66</f>
        <v>0</v>
      </c>
      <c r="L208" s="32"/>
      <c r="S208">
        <f>ROUND((Source!FX66/100)*((ROUND(Source!AF66*Source!I66, 2)+ROUND(Source!AE66*Source!I66, 2))), 2)</f>
        <v>0</v>
      </c>
      <c r="T208">
        <f>Source!X66</f>
        <v>0</v>
      </c>
      <c r="U208">
        <f>ROUND((Source!FY66/100)*((ROUND(Source!AF66*Source!I66, 2)+ROUND(Source!AE66*Source!I66, 2))), 2)</f>
        <v>0</v>
      </c>
      <c r="V208">
        <f>Source!Y66</f>
        <v>0</v>
      </c>
      <c r="W208">
        <f>IF(Source!BI66&lt;=1,H208, 0)</f>
        <v>0</v>
      </c>
      <c r="X208">
        <f>IF(Source!BI66=2,H208, 0)</f>
        <v>0</v>
      </c>
      <c r="Y208">
        <f>IF(Source!BI66=3,H208, 0)</f>
        <v>0</v>
      </c>
      <c r="Z208">
        <f>IF(Source!BI66=4,H208, 0)</f>
        <v>0</v>
      </c>
    </row>
    <row r="209" spans="1:26" ht="28.5" x14ac:dyDescent="0.2">
      <c r="A209" s="45" t="str">
        <f>Source!E67</f>
        <v>18,11</v>
      </c>
      <c r="B209" s="46" t="str">
        <f>Source!F67</f>
        <v>11.3.03.14</v>
      </c>
      <c r="C209" s="46" t="str">
        <f>Source!G67</f>
        <v>Заглушка торцевая для пластикового плинтуса левая</v>
      </c>
      <c r="D209" s="29" t="str">
        <f>Source!H67</f>
        <v>шт.</v>
      </c>
      <c r="E209" s="11">
        <f>Source!I67</f>
        <v>7.6011319999999998</v>
      </c>
      <c r="F209" s="30">
        <f>Source!AL67+Source!AM67+Source!AO67</f>
        <v>0</v>
      </c>
      <c r="G209" s="44" t="s">
        <v>6</v>
      </c>
      <c r="H209" s="30">
        <f>ROUND(Source!AC67*Source!I67, 2)+ROUND(Source!AD67*Source!I67, 2)+ROUND(Source!AF67*Source!I67, 2)</f>
        <v>0</v>
      </c>
      <c r="I209" s="31"/>
      <c r="J209" s="31">
        <f>IF(Source!BC67&lt;&gt; 0, Source!BC67, 1)</f>
        <v>6.71</v>
      </c>
      <c r="K209" s="30">
        <f>Source!O67</f>
        <v>0</v>
      </c>
      <c r="L209" s="32"/>
      <c r="S209">
        <f>ROUND((Source!FX67/100)*((ROUND(Source!AF67*Source!I67, 2)+ROUND(Source!AE67*Source!I67, 2))), 2)</f>
        <v>0</v>
      </c>
      <c r="T209">
        <f>Source!X67</f>
        <v>0</v>
      </c>
      <c r="U209">
        <f>ROUND((Source!FY67/100)*((ROUND(Source!AF67*Source!I67, 2)+ROUND(Source!AE67*Source!I67, 2))), 2)</f>
        <v>0</v>
      </c>
      <c r="V209">
        <f>Source!Y67</f>
        <v>0</v>
      </c>
      <c r="W209">
        <f>IF(Source!BI67&lt;=1,H209, 0)</f>
        <v>0</v>
      </c>
      <c r="X209">
        <f>IF(Source!BI67=2,H209, 0)</f>
        <v>0</v>
      </c>
      <c r="Y209">
        <f>IF(Source!BI67=3,H209, 0)</f>
        <v>0</v>
      </c>
      <c r="Z209">
        <f>IF(Source!BI67=4,H209, 0)</f>
        <v>0</v>
      </c>
    </row>
    <row r="210" spans="1:26" ht="28.5" x14ac:dyDescent="0.2">
      <c r="A210" s="47" t="str">
        <f>Source!E68</f>
        <v>18,12</v>
      </c>
      <c r="B210" s="48" t="str">
        <f>Source!F68</f>
        <v>11.3.03.14</v>
      </c>
      <c r="C210" s="48" t="str">
        <f>Source!G68</f>
        <v>Заглушка торцевая для пластикового плинтуса правая</v>
      </c>
      <c r="D210" s="35" t="str">
        <f>Source!H68</f>
        <v>шт.</v>
      </c>
      <c r="E210" s="36">
        <f>Source!I68</f>
        <v>7.6011319999999998</v>
      </c>
      <c r="F210" s="37">
        <f>Source!AL68+Source!AM68+Source!AO68</f>
        <v>0</v>
      </c>
      <c r="G210" s="42" t="s">
        <v>6</v>
      </c>
      <c r="H210" s="37">
        <f>ROUND(Source!AC68*Source!I68, 2)+ROUND(Source!AD68*Source!I68, 2)+ROUND(Source!AF68*Source!I68, 2)</f>
        <v>0</v>
      </c>
      <c r="I210" s="38"/>
      <c r="J210" s="38">
        <f>IF(Source!BC68&lt;&gt; 0, Source!BC68, 1)</f>
        <v>6.71</v>
      </c>
      <c r="K210" s="37">
        <f>Source!O68</f>
        <v>0</v>
      </c>
      <c r="L210" s="43"/>
      <c r="S210">
        <f>ROUND((Source!FX68/100)*((ROUND(Source!AF68*Source!I68, 2)+ROUND(Source!AE68*Source!I68, 2))), 2)</f>
        <v>0</v>
      </c>
      <c r="T210">
        <f>Source!X68</f>
        <v>0</v>
      </c>
      <c r="U210">
        <f>ROUND((Source!FY68/100)*((ROUND(Source!AF68*Source!I68, 2)+ROUND(Source!AE68*Source!I68, 2))), 2)</f>
        <v>0</v>
      </c>
      <c r="V210">
        <f>Source!Y68</f>
        <v>0</v>
      </c>
      <c r="W210">
        <f>IF(Source!BI68&lt;=1,H210, 0)</f>
        <v>0</v>
      </c>
      <c r="X210">
        <f>IF(Source!BI68=2,H210, 0)</f>
        <v>0</v>
      </c>
      <c r="Y210">
        <f>IF(Source!BI68=3,H210, 0)</f>
        <v>0</v>
      </c>
      <c r="Z210">
        <f>IF(Source!BI68=4,H210, 0)</f>
        <v>0</v>
      </c>
    </row>
    <row r="211" spans="1:26" ht="15" x14ac:dyDescent="0.25">
      <c r="G211" s="72">
        <f>H192+H193+H195+H196+H197+SUM(H199:H210)</f>
        <v>1519.3400000000006</v>
      </c>
      <c r="H211" s="72"/>
      <c r="J211" s="72">
        <f>K192+K193+K195+K196+K197+SUM(K199:K210)</f>
        <v>10197.140000000001</v>
      </c>
      <c r="K211" s="72"/>
      <c r="L211" s="40">
        <f>Source!U56</f>
        <v>7.3439919999999992</v>
      </c>
      <c r="O211" s="24">
        <f>G211</f>
        <v>1519.3400000000006</v>
      </c>
      <c r="P211" s="24">
        <f>J211</f>
        <v>10197.140000000001</v>
      </c>
      <c r="Q211" s="24">
        <f>L211</f>
        <v>7.3439919999999992</v>
      </c>
      <c r="W211">
        <f>IF(Source!BI56&lt;=1,H192+H193+H195+H196+H197, 0)</f>
        <v>258.88</v>
      </c>
      <c r="X211">
        <f>IF(Source!BI56=2,H192+H193+H195+H196+H197, 0)</f>
        <v>0</v>
      </c>
      <c r="Y211">
        <f>IF(Source!BI56=3,H192+H193+H195+H196+H197, 0)</f>
        <v>0</v>
      </c>
      <c r="Z211">
        <f>IF(Source!BI56=4,H192+H193+H195+H196+H197, 0)</f>
        <v>0</v>
      </c>
    </row>
    <row r="212" spans="1:26" ht="28.5" x14ac:dyDescent="0.2">
      <c r="A212" s="45" t="str">
        <f>Source!E69</f>
        <v>19</v>
      </c>
      <c r="B212" s="46" t="str">
        <f>Source!F69</f>
        <v>11-01-049-01</v>
      </c>
      <c r="C212" s="46" t="str">
        <f>Source!G69</f>
        <v>Укладка металлического накладного профиля (порога)</v>
      </c>
      <c r="D212" s="29" t="str">
        <f>Source!H69</f>
        <v>100 м</v>
      </c>
      <c r="E212" s="11">
        <f>Source!I69</f>
        <v>5.3999999999999999E-2</v>
      </c>
      <c r="F212" s="30">
        <f>Source!AL69+Source!AM69+Source!AO69</f>
        <v>225.83</v>
      </c>
      <c r="G212" s="31"/>
      <c r="H212" s="30"/>
      <c r="I212" s="31" t="str">
        <f>Source!BO69</f>
        <v/>
      </c>
      <c r="J212" s="31"/>
      <c r="K212" s="30"/>
      <c r="L212" s="32"/>
      <c r="S212">
        <f>ROUND((Source!FX69/100)*((ROUND(Source!AF69*Source!I69, 2)+ROUND(Source!AE69*Source!I69, 2))), 2)</f>
        <v>10</v>
      </c>
      <c r="T212">
        <f>Source!X69</f>
        <v>67.27</v>
      </c>
      <c r="U212">
        <f>ROUND((Source!FY69/100)*((ROUND(Source!AF69*Source!I69, 2)+ROUND(Source!AE69*Source!I69, 2))), 2)</f>
        <v>5.76</v>
      </c>
      <c r="V212">
        <f>Source!Y69</f>
        <v>38.78</v>
      </c>
    </row>
    <row r="213" spans="1:26" x14ac:dyDescent="0.2">
      <c r="C213" s="23" t="str">
        <f>"Объем: "&amp;Source!I69&amp;"=5,4/"&amp;"100"</f>
        <v>Объем: 0,054=5,4/100</v>
      </c>
    </row>
    <row r="214" spans="1:26" ht="14.25" x14ac:dyDescent="0.2">
      <c r="A214" s="45"/>
      <c r="B214" s="46"/>
      <c r="C214" s="46" t="s">
        <v>1167</v>
      </c>
      <c r="D214" s="29"/>
      <c r="E214" s="11"/>
      <c r="F214" s="30">
        <f>Source!AO69</f>
        <v>145.43</v>
      </c>
      <c r="G214" s="31" t="str">
        <f>Source!DG69</f>
        <v>)*1,15</v>
      </c>
      <c r="H214" s="30">
        <f>ROUND(Source!AF69*Source!I69, 2)</f>
        <v>9.0299999999999994</v>
      </c>
      <c r="I214" s="31"/>
      <c r="J214" s="31">
        <f>IF(Source!BA69&lt;&gt; 0, Source!BA69, 1)</f>
        <v>6.71</v>
      </c>
      <c r="K214" s="30">
        <f>Source!S69</f>
        <v>60.6</v>
      </c>
      <c r="L214" s="32"/>
      <c r="R214">
        <f>H214</f>
        <v>9.0299999999999994</v>
      </c>
    </row>
    <row r="215" spans="1:26" ht="14.25" x14ac:dyDescent="0.2">
      <c r="A215" s="45"/>
      <c r="B215" s="46"/>
      <c r="C215" s="46" t="s">
        <v>1174</v>
      </c>
      <c r="D215" s="29"/>
      <c r="E215" s="11"/>
      <c r="F215" s="30">
        <f>Source!AL69</f>
        <v>80.400000000000006</v>
      </c>
      <c r="G215" s="31" t="str">
        <f>Source!DD69</f>
        <v/>
      </c>
      <c r="H215" s="30">
        <f>ROUND(Source!AC69*Source!I69, 2)</f>
        <v>4.34</v>
      </c>
      <c r="I215" s="31"/>
      <c r="J215" s="31">
        <f>IF(Source!BC69&lt;&gt; 0, Source!BC69, 1)</f>
        <v>6.71</v>
      </c>
      <c r="K215" s="30">
        <f>Source!P69</f>
        <v>29.13</v>
      </c>
      <c r="L215" s="32"/>
    </row>
    <row r="216" spans="1:26" ht="14.25" x14ac:dyDescent="0.2">
      <c r="A216" s="45"/>
      <c r="B216" s="46"/>
      <c r="C216" s="46" t="s">
        <v>1169</v>
      </c>
      <c r="D216" s="29" t="s">
        <v>1170</v>
      </c>
      <c r="E216" s="11">
        <f>Source!BZ69</f>
        <v>123</v>
      </c>
      <c r="F216" s="74" t="str">
        <f>CONCATENATE(" )", Source!DL69, Source!FT69, "=", Source!FX69)</f>
        <v xml:space="preserve"> )*0,9=110,7</v>
      </c>
      <c r="G216" s="75"/>
      <c r="H216" s="30">
        <f>SUM(S212:S221)</f>
        <v>10</v>
      </c>
      <c r="I216" s="34"/>
      <c r="J216" s="27">
        <f>Source!AT69</f>
        <v>111</v>
      </c>
      <c r="K216" s="30">
        <f>SUM(T212:T221)</f>
        <v>67.27</v>
      </c>
      <c r="L216" s="32"/>
    </row>
    <row r="217" spans="1:26" ht="14.25" x14ac:dyDescent="0.2">
      <c r="A217" s="45"/>
      <c r="B217" s="46"/>
      <c r="C217" s="46" t="s">
        <v>1171</v>
      </c>
      <c r="D217" s="29" t="s">
        <v>1170</v>
      </c>
      <c r="E217" s="11">
        <f>Source!CA69</f>
        <v>75</v>
      </c>
      <c r="F217" s="74" t="str">
        <f>CONCATENATE(" )", Source!DM69, Source!FU69, "=", Source!FY69)</f>
        <v xml:space="preserve"> )*0,85=63,75</v>
      </c>
      <c r="G217" s="75"/>
      <c r="H217" s="30">
        <f>SUM(U212:U221)</f>
        <v>5.76</v>
      </c>
      <c r="I217" s="34"/>
      <c r="J217" s="27">
        <f>Source!AU69</f>
        <v>64</v>
      </c>
      <c r="K217" s="30">
        <f>SUM(V212:V221)</f>
        <v>38.78</v>
      </c>
      <c r="L217" s="32"/>
    </row>
    <row r="218" spans="1:26" ht="14.25" x14ac:dyDescent="0.2">
      <c r="A218" s="45"/>
      <c r="B218" s="46"/>
      <c r="C218" s="46" t="s">
        <v>1172</v>
      </c>
      <c r="D218" s="29" t="s">
        <v>1173</v>
      </c>
      <c r="E218" s="11">
        <f>Source!AQ69</f>
        <v>16.64</v>
      </c>
      <c r="F218" s="30"/>
      <c r="G218" s="31" t="str">
        <f>Source!DI69</f>
        <v>)*1,15</v>
      </c>
      <c r="H218" s="30"/>
      <c r="I218" s="31"/>
      <c r="J218" s="31"/>
      <c r="K218" s="30"/>
      <c r="L218" s="41">
        <f>Source!U69</f>
        <v>1.033344</v>
      </c>
    </row>
    <row r="219" spans="1:26" ht="71.25" x14ac:dyDescent="0.2">
      <c r="A219" s="45" t="str">
        <f>Source!E70</f>
        <v>19,1</v>
      </c>
      <c r="B219" s="46" t="str">
        <f>Source!F70</f>
        <v>09.2.03.02-0002</v>
      </c>
      <c r="C219" s="46" t="str">
        <f>Source!G70</f>
        <v>Профили стыкоперекрывающие из алюминиевых сплавов (порожки) с покрытием и антискользящей вставкой, шириной 39 мм, длиной до 1,8 м</v>
      </c>
      <c r="D219" s="29" t="str">
        <f>Source!H70</f>
        <v>шт.</v>
      </c>
      <c r="E219" s="11">
        <f>Source!I70</f>
        <v>3</v>
      </c>
      <c r="F219" s="30">
        <f>Source!AL70+Source!AM70+Source!AO70</f>
        <v>31.28</v>
      </c>
      <c r="G219" s="44" t="s">
        <v>6</v>
      </c>
      <c r="H219" s="30">
        <f>ROUND(Source!AC70*Source!I70, 2)+ROUND(Source!AD70*Source!I70, 2)+ROUND(Source!AF70*Source!I70, 2)</f>
        <v>93.84</v>
      </c>
      <c r="I219" s="31"/>
      <c r="J219" s="31">
        <f>IF(Source!BC70&lt;&gt; 0, Source!BC70, 1)</f>
        <v>6.71</v>
      </c>
      <c r="K219" s="30">
        <f>Source!O70</f>
        <v>629.66999999999996</v>
      </c>
      <c r="L219" s="32"/>
      <c r="S219">
        <f>ROUND((Source!FX70/100)*((ROUND(Source!AF70*Source!I70, 2)+ROUND(Source!AE70*Source!I70, 2))), 2)</f>
        <v>0</v>
      </c>
      <c r="T219">
        <f>Source!X70</f>
        <v>0</v>
      </c>
      <c r="U219">
        <f>ROUND((Source!FY70/100)*((ROUND(Source!AF70*Source!I70, 2)+ROUND(Source!AE70*Source!I70, 2))), 2)</f>
        <v>0</v>
      </c>
      <c r="V219">
        <f>Source!Y70</f>
        <v>0</v>
      </c>
      <c r="W219">
        <f>IF(Source!BI70&lt;=1,H219, 0)</f>
        <v>93.84</v>
      </c>
      <c r="X219">
        <f>IF(Source!BI70=2,H219, 0)</f>
        <v>0</v>
      </c>
      <c r="Y219">
        <f>IF(Source!BI70=3,H219, 0)</f>
        <v>0</v>
      </c>
      <c r="Z219">
        <f>IF(Source!BI70=4,H219, 0)</f>
        <v>0</v>
      </c>
    </row>
    <row r="220" spans="1:26" ht="57" x14ac:dyDescent="0.2">
      <c r="A220" s="45" t="str">
        <f>Source!E71</f>
        <v>19,2</v>
      </c>
      <c r="B220" s="46" t="str">
        <f>Source!F71</f>
        <v>09.2.03.02-0001</v>
      </c>
      <c r="C220" s="46" t="str">
        <f>Source!G71</f>
        <v>Профили стыкоперекрывающие из алюминиевых сплавов (порожки) с покрытием и антискользящей вставкой, шириной 39 мм, длиной 0,9 м</v>
      </c>
      <c r="D220" s="29" t="str">
        <f>Source!H71</f>
        <v>шт.</v>
      </c>
      <c r="E220" s="11">
        <f>Source!I71</f>
        <v>1</v>
      </c>
      <c r="F220" s="30">
        <f>Source!AL71+Source!AM71+Source!AO71</f>
        <v>15.07</v>
      </c>
      <c r="G220" s="44" t="s">
        <v>6</v>
      </c>
      <c r="H220" s="30">
        <f>ROUND(Source!AC71*Source!I71, 2)+ROUND(Source!AD71*Source!I71, 2)+ROUND(Source!AF71*Source!I71, 2)</f>
        <v>15.07</v>
      </c>
      <c r="I220" s="31"/>
      <c r="J220" s="31">
        <f>IF(Source!BC71&lt;&gt; 0, Source!BC71, 1)</f>
        <v>6.71</v>
      </c>
      <c r="K220" s="30">
        <f>Source!O71</f>
        <v>101.12</v>
      </c>
      <c r="L220" s="32"/>
      <c r="S220">
        <f>ROUND((Source!FX71/100)*((ROUND(Source!AF71*Source!I71, 2)+ROUND(Source!AE71*Source!I71, 2))), 2)</f>
        <v>0</v>
      </c>
      <c r="T220">
        <f>Source!X71</f>
        <v>0</v>
      </c>
      <c r="U220">
        <f>ROUND((Source!FY71/100)*((ROUND(Source!AF71*Source!I71, 2)+ROUND(Source!AE71*Source!I71, 2))), 2)</f>
        <v>0</v>
      </c>
      <c r="V220">
        <f>Source!Y71</f>
        <v>0</v>
      </c>
      <c r="W220">
        <f>IF(Source!BI71&lt;=1,H220, 0)</f>
        <v>15.07</v>
      </c>
      <c r="X220">
        <f>IF(Source!BI71=2,H220, 0)</f>
        <v>0</v>
      </c>
      <c r="Y220">
        <f>IF(Source!BI71=3,H220, 0)</f>
        <v>0</v>
      </c>
      <c r="Z220">
        <f>IF(Source!BI71=4,H220, 0)</f>
        <v>0</v>
      </c>
    </row>
    <row r="221" spans="1:26" ht="42.75" x14ac:dyDescent="0.2">
      <c r="A221" s="47" t="str">
        <f>Source!E72</f>
        <v>19,3</v>
      </c>
      <c r="B221" s="48" t="str">
        <f>Source!F72</f>
        <v>09.2.03.02</v>
      </c>
      <c r="C221" s="48" t="str">
        <f>Source!G72</f>
        <v>Профили стыкоперекрывающие из алюминиевых сплавов (порожки) с покрытием</v>
      </c>
      <c r="D221" s="35" t="str">
        <f>Source!H72</f>
        <v>м</v>
      </c>
      <c r="E221" s="36">
        <f>Source!I72</f>
        <v>5.67</v>
      </c>
      <c r="F221" s="37">
        <f>Source!AL72+Source!AM72+Source!AO72</f>
        <v>0</v>
      </c>
      <c r="G221" s="42" t="s">
        <v>6</v>
      </c>
      <c r="H221" s="37">
        <f>ROUND(Source!AC72*Source!I72, 2)+ROUND(Source!AD72*Source!I72, 2)+ROUND(Source!AF72*Source!I72, 2)</f>
        <v>0</v>
      </c>
      <c r="I221" s="38"/>
      <c r="J221" s="38">
        <f>IF(Source!BC72&lt;&gt; 0, Source!BC72, 1)</f>
        <v>6.71</v>
      </c>
      <c r="K221" s="37">
        <f>Source!O72</f>
        <v>0</v>
      </c>
      <c r="L221" s="43"/>
      <c r="S221">
        <f>ROUND((Source!FX72/100)*((ROUND(Source!AF72*Source!I72, 2)+ROUND(Source!AE72*Source!I72, 2))), 2)</f>
        <v>0</v>
      </c>
      <c r="T221">
        <f>Source!X72</f>
        <v>0</v>
      </c>
      <c r="U221">
        <f>ROUND((Source!FY72/100)*((ROUND(Source!AF72*Source!I72, 2)+ROUND(Source!AE72*Source!I72, 2))), 2)</f>
        <v>0</v>
      </c>
      <c r="V221">
        <f>Source!Y72</f>
        <v>0</v>
      </c>
      <c r="W221">
        <f>IF(Source!BI72&lt;=1,H221, 0)</f>
        <v>0</v>
      </c>
      <c r="X221">
        <f>IF(Source!BI72=2,H221, 0)</f>
        <v>0</v>
      </c>
      <c r="Y221">
        <f>IF(Source!BI72=3,H221, 0)</f>
        <v>0</v>
      </c>
      <c r="Z221">
        <f>IF(Source!BI72=4,H221, 0)</f>
        <v>0</v>
      </c>
    </row>
    <row r="222" spans="1:26" ht="15" x14ac:dyDescent="0.25">
      <c r="G222" s="72">
        <f>H214+H215+H216+H217+SUM(H219:H221)</f>
        <v>138.04</v>
      </c>
      <c r="H222" s="72"/>
      <c r="J222" s="72">
        <f>K214+K215+K216+K217+SUM(K219:K221)</f>
        <v>926.56999999999994</v>
      </c>
      <c r="K222" s="72"/>
      <c r="L222" s="40">
        <f>Source!U69</f>
        <v>1.033344</v>
      </c>
      <c r="O222" s="24">
        <f>G222</f>
        <v>138.04</v>
      </c>
      <c r="P222" s="24">
        <f>J222</f>
        <v>926.56999999999994</v>
      </c>
      <c r="Q222" s="24">
        <f>L222</f>
        <v>1.033344</v>
      </c>
      <c r="W222">
        <f>IF(Source!BI69&lt;=1,H214+H215+H216+H217, 0)</f>
        <v>29.129999999999995</v>
      </c>
      <c r="X222">
        <f>IF(Source!BI69=2,H214+H215+H216+H217, 0)</f>
        <v>0</v>
      </c>
      <c r="Y222">
        <f>IF(Source!BI69=3,H214+H215+H216+H217, 0)</f>
        <v>0</v>
      </c>
      <c r="Z222">
        <f>IF(Source!BI69=4,H214+H215+H216+H217, 0)</f>
        <v>0</v>
      </c>
    </row>
    <row r="223" spans="1:26" ht="42.75" x14ac:dyDescent="0.2">
      <c r="A223" s="45" t="str">
        <f>Source!E73</f>
        <v>20</v>
      </c>
      <c r="B223" s="46" t="str">
        <f>Source!F73</f>
        <v>15-01-047-15</v>
      </c>
      <c r="C223" s="46" t="str">
        <f>Source!G73</f>
        <v>Устройство подвесных потолков типа &lt;Армстронг&gt; по каркасу из оцинкованного профиля</v>
      </c>
      <c r="D223" s="29" t="str">
        <f>Source!H73</f>
        <v>100 м2</v>
      </c>
      <c r="E223" s="11">
        <f>Source!I73</f>
        <v>1.319</v>
      </c>
      <c r="F223" s="30">
        <f>Source!AL73+Source!AM73+Source!AO73</f>
        <v>6623.23</v>
      </c>
      <c r="G223" s="31"/>
      <c r="H223" s="30"/>
      <c r="I223" s="31" t="str">
        <f>Source!BO73</f>
        <v/>
      </c>
      <c r="J223" s="31"/>
      <c r="K223" s="30"/>
      <c r="L223" s="32"/>
      <c r="S223">
        <f>ROUND((Source!FX73/100)*((ROUND(Source!AF73*Source!I73, 2)+ROUND(Source!AE73*Source!I73, 2))), 2)</f>
        <v>1479.33</v>
      </c>
      <c r="T223">
        <f>Source!X73</f>
        <v>9978.82</v>
      </c>
      <c r="U223">
        <f>ROUND((Source!FY73/100)*((ROUND(Source!AF73*Source!I73, 2)+ROUND(Source!AE73*Source!I73, 2))), 2)</f>
        <v>731.84</v>
      </c>
      <c r="V223">
        <f>Source!Y73</f>
        <v>4936.8900000000003</v>
      </c>
    </row>
    <row r="224" spans="1:26" x14ac:dyDescent="0.2">
      <c r="C224" s="23" t="str">
        <f>"Объем: "&amp;Source!I73&amp;"=131,9/"&amp;"100"</f>
        <v>Объем: 1,319=131,9/100</v>
      </c>
    </row>
    <row r="225" spans="1:26" ht="14.25" x14ac:dyDescent="0.2">
      <c r="A225" s="45"/>
      <c r="B225" s="46"/>
      <c r="C225" s="46" t="s">
        <v>1167</v>
      </c>
      <c r="D225" s="29"/>
      <c r="E225" s="11"/>
      <c r="F225" s="30">
        <f>Source!AO73</f>
        <v>963.12</v>
      </c>
      <c r="G225" s="31" t="str">
        <f>Source!DG73</f>
        <v>)*1,15</v>
      </c>
      <c r="H225" s="30">
        <f>ROUND(Source!AF73*Source!I73, 2)</f>
        <v>1460.91</v>
      </c>
      <c r="I225" s="31"/>
      <c r="J225" s="31">
        <f>IF(Source!BA73&lt;&gt; 0, Source!BA73, 1)</f>
        <v>6.71</v>
      </c>
      <c r="K225" s="30">
        <f>Source!S73</f>
        <v>9802.7099999999991</v>
      </c>
      <c r="L225" s="32"/>
      <c r="R225">
        <f>H225</f>
        <v>1460.91</v>
      </c>
    </row>
    <row r="226" spans="1:26" ht="14.25" x14ac:dyDescent="0.2">
      <c r="A226" s="45"/>
      <c r="B226" s="46"/>
      <c r="C226" s="46" t="s">
        <v>382</v>
      </c>
      <c r="D226" s="29"/>
      <c r="E226" s="11"/>
      <c r="F226" s="30">
        <f>Source!AM73</f>
        <v>324.70999999999998</v>
      </c>
      <c r="G226" s="31" t="str">
        <f>Source!DE73</f>
        <v>)*1,25</v>
      </c>
      <c r="H226" s="30">
        <f>ROUND(Source!AD73*Source!I73, 2)</f>
        <v>535.37</v>
      </c>
      <c r="I226" s="31"/>
      <c r="J226" s="31">
        <f>IF(Source!BB73&lt;&gt; 0, Source!BB73, 1)</f>
        <v>6.71</v>
      </c>
      <c r="K226" s="30">
        <f>Source!Q73</f>
        <v>3592.33</v>
      </c>
      <c r="L226" s="32"/>
    </row>
    <row r="227" spans="1:26" ht="14.25" x14ac:dyDescent="0.2">
      <c r="A227" s="45"/>
      <c r="B227" s="46"/>
      <c r="C227" s="46" t="s">
        <v>1168</v>
      </c>
      <c r="D227" s="29"/>
      <c r="E227" s="11"/>
      <c r="F227" s="30">
        <f>Source!AN73</f>
        <v>63.39</v>
      </c>
      <c r="G227" s="31" t="str">
        <f>Source!DF73</f>
        <v>)*1,25</v>
      </c>
      <c r="H227" s="33">
        <f>ROUND(Source!AE73*Source!I73, 2)</f>
        <v>104.52</v>
      </c>
      <c r="I227" s="31"/>
      <c r="J227" s="31">
        <f>IF(Source!BS73&lt;&gt; 0, Source!BS73, 1)</f>
        <v>6.71</v>
      </c>
      <c r="K227" s="33">
        <f>Source!R73</f>
        <v>701.31</v>
      </c>
      <c r="L227" s="32"/>
      <c r="R227">
        <f>H227</f>
        <v>104.52</v>
      </c>
    </row>
    <row r="228" spans="1:26" ht="14.25" x14ac:dyDescent="0.2">
      <c r="A228" s="45"/>
      <c r="B228" s="46"/>
      <c r="C228" s="46" t="s">
        <v>1174</v>
      </c>
      <c r="D228" s="29"/>
      <c r="E228" s="11"/>
      <c r="F228" s="30">
        <f>Source!AL73</f>
        <v>5335.4</v>
      </c>
      <c r="G228" s="31" t="str">
        <f>Source!DD73</f>
        <v/>
      </c>
      <c r="H228" s="30">
        <f>ROUND(Source!AC73*Source!I73, 2)</f>
        <v>7037.39</v>
      </c>
      <c r="I228" s="31"/>
      <c r="J228" s="31">
        <f>IF(Source!BC73&lt;&gt; 0, Source!BC73, 1)</f>
        <v>6.71</v>
      </c>
      <c r="K228" s="30">
        <f>Source!P73</f>
        <v>47220.9</v>
      </c>
      <c r="L228" s="32"/>
    </row>
    <row r="229" spans="1:26" ht="14.25" x14ac:dyDescent="0.2">
      <c r="A229" s="45"/>
      <c r="B229" s="46"/>
      <c r="C229" s="46" t="s">
        <v>1169</v>
      </c>
      <c r="D229" s="29" t="s">
        <v>1170</v>
      </c>
      <c r="E229" s="11">
        <f>Source!BZ73</f>
        <v>105</v>
      </c>
      <c r="F229" s="74" t="str">
        <f>CONCATENATE(" )", Source!DL73, Source!FT73, "=", Source!FX73)</f>
        <v xml:space="preserve"> )*0,9=94,5</v>
      </c>
      <c r="G229" s="75"/>
      <c r="H229" s="30">
        <f>SUM(S223:S231)</f>
        <v>1479.33</v>
      </c>
      <c r="I229" s="34"/>
      <c r="J229" s="27">
        <f>Source!AT73</f>
        <v>95</v>
      </c>
      <c r="K229" s="30">
        <f>SUM(T223:T231)</f>
        <v>9978.82</v>
      </c>
      <c r="L229" s="32"/>
    </row>
    <row r="230" spans="1:26" ht="14.25" x14ac:dyDescent="0.2">
      <c r="A230" s="45"/>
      <c r="B230" s="46"/>
      <c r="C230" s="46" t="s">
        <v>1171</v>
      </c>
      <c r="D230" s="29" t="s">
        <v>1170</v>
      </c>
      <c r="E230" s="11">
        <f>Source!CA73</f>
        <v>55</v>
      </c>
      <c r="F230" s="74" t="str">
        <f>CONCATENATE(" )", Source!DM73, Source!FU73, "=", Source!FY73)</f>
        <v xml:space="preserve"> )*0,85=46,75</v>
      </c>
      <c r="G230" s="75"/>
      <c r="H230" s="30">
        <f>SUM(U223:U231)</f>
        <v>731.84</v>
      </c>
      <c r="I230" s="34"/>
      <c r="J230" s="27">
        <f>Source!AU73</f>
        <v>47</v>
      </c>
      <c r="K230" s="30">
        <f>SUM(V223:V231)</f>
        <v>4936.8900000000003</v>
      </c>
      <c r="L230" s="32"/>
    </row>
    <row r="231" spans="1:26" ht="14.25" x14ac:dyDescent="0.2">
      <c r="A231" s="47"/>
      <c r="B231" s="48"/>
      <c r="C231" s="48" t="s">
        <v>1172</v>
      </c>
      <c r="D231" s="35" t="s">
        <v>1173</v>
      </c>
      <c r="E231" s="36">
        <f>Source!AQ73</f>
        <v>102.46</v>
      </c>
      <c r="F231" s="37"/>
      <c r="G231" s="38" t="str">
        <f>Source!DI73</f>
        <v>)*1,15</v>
      </c>
      <c r="H231" s="37"/>
      <c r="I231" s="38"/>
      <c r="J231" s="38"/>
      <c r="K231" s="37"/>
      <c r="L231" s="39">
        <f>Source!U73</f>
        <v>155.41645099999997</v>
      </c>
    </row>
    <row r="232" spans="1:26" ht="15" x14ac:dyDescent="0.25">
      <c r="G232" s="72">
        <f>H225+H226+H228+H229+H230</f>
        <v>11244.84</v>
      </c>
      <c r="H232" s="72"/>
      <c r="J232" s="72">
        <f>K225+K226+K228+K229+K230</f>
        <v>75531.650000000009</v>
      </c>
      <c r="K232" s="72"/>
      <c r="L232" s="40">
        <f>Source!U73</f>
        <v>155.41645099999997</v>
      </c>
      <c r="O232" s="24">
        <f>G232</f>
        <v>11244.84</v>
      </c>
      <c r="P232" s="24">
        <f>J232</f>
        <v>75531.650000000009</v>
      </c>
      <c r="Q232" s="24">
        <f>L232</f>
        <v>155.41645099999997</v>
      </c>
      <c r="W232">
        <f>IF(Source!BI73&lt;=1,H225+H226+H228+H229+H230, 0)</f>
        <v>11244.84</v>
      </c>
      <c r="X232">
        <f>IF(Source!BI73=2,H225+H226+H228+H229+H230, 0)</f>
        <v>0</v>
      </c>
      <c r="Y232">
        <f>IF(Source!BI73=3,H225+H226+H228+H229+H230, 0)</f>
        <v>0</v>
      </c>
      <c r="Z232">
        <f>IF(Source!BI73=4,H225+H226+H228+H229+H230, 0)</f>
        <v>0</v>
      </c>
    </row>
    <row r="233" spans="1:26" ht="85.5" x14ac:dyDescent="0.2">
      <c r="A233" s="45" t="str">
        <f>Source!E74</f>
        <v>21</v>
      </c>
      <c r="B233" s="46" t="str">
        <f>Source!F74</f>
        <v>10-05-001-01</v>
      </c>
      <c r="C233" s="46" t="str">
        <f>Source!G74</f>
        <v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глухих(короб)</v>
      </c>
      <c r="D233" s="29" t="str">
        <f>Source!H74</f>
        <v>100 м2</v>
      </c>
      <c r="E233" s="11">
        <f>Source!I74</f>
        <v>1.4999999999999999E-2</v>
      </c>
      <c r="F233" s="30">
        <f>Source!AL74+Source!AM74+Source!AO74</f>
        <v>1868.1599999999999</v>
      </c>
      <c r="G233" s="31"/>
      <c r="H233" s="30"/>
      <c r="I233" s="31" t="str">
        <f>Source!BO74</f>
        <v/>
      </c>
      <c r="J233" s="31"/>
      <c r="K233" s="30"/>
      <c r="L233" s="32"/>
      <c r="S233">
        <f>ROUND((Source!FX74/100)*((ROUND(Source!AF74*Source!I74, 2)+ROUND(Source!AE74*Source!I74, 2))), 2)</f>
        <v>16.28</v>
      </c>
      <c r="T233">
        <f>Source!X74</f>
        <v>109.05</v>
      </c>
      <c r="U233">
        <f>ROUND((Source!FY74/100)*((ROUND(Source!AF74*Source!I74, 2)+ROUND(Source!AE74*Source!I74, 2))), 2)</f>
        <v>8.2100000000000009</v>
      </c>
      <c r="V233">
        <f>Source!Y74</f>
        <v>55.56</v>
      </c>
    </row>
    <row r="234" spans="1:26" x14ac:dyDescent="0.2">
      <c r="C234" s="23" t="str">
        <f>"Объем: "&amp;Source!I74&amp;"=1,5/"&amp;"100"</f>
        <v>Объем: 0,015=1,5/100</v>
      </c>
    </row>
    <row r="235" spans="1:26" ht="14.25" x14ac:dyDescent="0.2">
      <c r="A235" s="45"/>
      <c r="B235" s="46"/>
      <c r="C235" s="46" t="s">
        <v>1167</v>
      </c>
      <c r="D235" s="29"/>
      <c r="E235" s="11"/>
      <c r="F235" s="30">
        <f>Source!AO74</f>
        <v>888.86</v>
      </c>
      <c r="G235" s="31" t="str">
        <f>Source!DG74</f>
        <v>)*1,15</v>
      </c>
      <c r="H235" s="30">
        <f>ROUND(Source!AF74*Source!I74, 2)</f>
        <v>15.33</v>
      </c>
      <c r="I235" s="31"/>
      <c r="J235" s="31">
        <f>IF(Source!BA74&lt;&gt; 0, Source!BA74, 1)</f>
        <v>6.71</v>
      </c>
      <c r="K235" s="30">
        <f>Source!S74</f>
        <v>102.88</v>
      </c>
      <c r="L235" s="32"/>
      <c r="R235">
        <f>H235</f>
        <v>15.33</v>
      </c>
    </row>
    <row r="236" spans="1:26" ht="14.25" x14ac:dyDescent="0.2">
      <c r="A236" s="45"/>
      <c r="B236" s="46"/>
      <c r="C236" s="46" t="s">
        <v>382</v>
      </c>
      <c r="D236" s="29"/>
      <c r="E236" s="11"/>
      <c r="F236" s="30">
        <f>Source!AM74</f>
        <v>18.809999999999999</v>
      </c>
      <c r="G236" s="31" t="str">
        <f>Source!DE74</f>
        <v>)*1,25</v>
      </c>
      <c r="H236" s="30">
        <f>ROUND(Source!AD74*Source!I74, 2)</f>
        <v>0.35</v>
      </c>
      <c r="I236" s="31"/>
      <c r="J236" s="31">
        <f>IF(Source!BB74&lt;&gt; 0, Source!BB74, 1)</f>
        <v>6.71</v>
      </c>
      <c r="K236" s="30">
        <f>Source!Q74</f>
        <v>2.37</v>
      </c>
      <c r="L236" s="32"/>
    </row>
    <row r="237" spans="1:26" ht="14.25" x14ac:dyDescent="0.2">
      <c r="A237" s="45"/>
      <c r="B237" s="46"/>
      <c r="C237" s="46" t="s">
        <v>1174</v>
      </c>
      <c r="D237" s="29"/>
      <c r="E237" s="11"/>
      <c r="F237" s="30">
        <f>Source!AL74</f>
        <v>960.49</v>
      </c>
      <c r="G237" s="31" t="str">
        <f>Source!DD74</f>
        <v/>
      </c>
      <c r="H237" s="30">
        <f>ROUND(Source!AC74*Source!I74, 2)</f>
        <v>14.41</v>
      </c>
      <c r="I237" s="31"/>
      <c r="J237" s="31">
        <f>IF(Source!BC74&lt;&gt; 0, Source!BC74, 1)</f>
        <v>6.71</v>
      </c>
      <c r="K237" s="30">
        <f>Source!P74</f>
        <v>96.67</v>
      </c>
      <c r="L237" s="32"/>
    </row>
    <row r="238" spans="1:26" ht="14.25" x14ac:dyDescent="0.2">
      <c r="A238" s="45"/>
      <c r="B238" s="46"/>
      <c r="C238" s="46" t="s">
        <v>1169</v>
      </c>
      <c r="D238" s="29" t="s">
        <v>1170</v>
      </c>
      <c r="E238" s="11">
        <f>Source!BZ74</f>
        <v>118</v>
      </c>
      <c r="F238" s="74" t="str">
        <f>CONCATENATE(" )", Source!DL74, Source!FT74, "=", Source!FX74)</f>
        <v xml:space="preserve"> )*0,9=106,2</v>
      </c>
      <c r="G238" s="75"/>
      <c r="H238" s="30">
        <f>SUM(S233:S248)</f>
        <v>16.28</v>
      </c>
      <c r="I238" s="34"/>
      <c r="J238" s="27">
        <f>Source!AT74</f>
        <v>106</v>
      </c>
      <c r="K238" s="30">
        <f>SUM(T233:T248)</f>
        <v>109.05</v>
      </c>
      <c r="L238" s="32"/>
    </row>
    <row r="239" spans="1:26" ht="14.25" x14ac:dyDescent="0.2">
      <c r="A239" s="45"/>
      <c r="B239" s="46"/>
      <c r="C239" s="46" t="s">
        <v>1171</v>
      </c>
      <c r="D239" s="29" t="s">
        <v>1170</v>
      </c>
      <c r="E239" s="11">
        <f>Source!CA74</f>
        <v>63</v>
      </c>
      <c r="F239" s="74" t="str">
        <f>CONCATENATE(" )", Source!DM74, Source!FU74, "=", Source!FY74)</f>
        <v xml:space="preserve"> )*0,85=53,55</v>
      </c>
      <c r="G239" s="75"/>
      <c r="H239" s="30">
        <f>SUM(U233:U248)</f>
        <v>8.2100000000000009</v>
      </c>
      <c r="I239" s="34"/>
      <c r="J239" s="27">
        <f>Source!AU74</f>
        <v>54</v>
      </c>
      <c r="K239" s="30">
        <f>SUM(V233:V248)</f>
        <v>55.56</v>
      </c>
      <c r="L239" s="32"/>
    </row>
    <row r="240" spans="1:26" ht="14.25" x14ac:dyDescent="0.2">
      <c r="A240" s="45"/>
      <c r="B240" s="46"/>
      <c r="C240" s="46" t="s">
        <v>1172</v>
      </c>
      <c r="D240" s="29" t="s">
        <v>1173</v>
      </c>
      <c r="E240" s="11">
        <f>Source!AQ74</f>
        <v>98</v>
      </c>
      <c r="F240" s="30"/>
      <c r="G240" s="31" t="str">
        <f>Source!DI74</f>
        <v>)*1,15</v>
      </c>
      <c r="H240" s="30"/>
      <c r="I240" s="31"/>
      <c r="J240" s="31"/>
      <c r="K240" s="30"/>
      <c r="L240" s="41">
        <f>Source!U74</f>
        <v>1.6904999999999997</v>
      </c>
    </row>
    <row r="241" spans="1:26" ht="14.25" x14ac:dyDescent="0.2">
      <c r="A241" s="45" t="str">
        <f>Source!E75</f>
        <v>21,1</v>
      </c>
      <c r="B241" s="46" t="str">
        <f>Source!F75</f>
        <v>01.6.01.02</v>
      </c>
      <c r="C241" s="46" t="str">
        <f>Source!G75</f>
        <v>Листы гипсокартонные</v>
      </c>
      <c r="D241" s="29" t="str">
        <f>Source!H75</f>
        <v>м2</v>
      </c>
      <c r="E241" s="11">
        <f>Source!I75</f>
        <v>3.15</v>
      </c>
      <c r="F241" s="30">
        <f>Source!AL75+Source!AM75+Source!AO75</f>
        <v>0</v>
      </c>
      <c r="G241" s="44" t="s">
        <v>6</v>
      </c>
      <c r="H241" s="30">
        <f>ROUND(Source!AC75*Source!I75, 2)+ROUND(Source!AD75*Source!I75, 2)+ROUND(Source!AF75*Source!I75, 2)</f>
        <v>0</v>
      </c>
      <c r="I241" s="31"/>
      <c r="J241" s="31">
        <f>IF(Source!BC75&lt;&gt; 0, Source!BC75, 1)</f>
        <v>6.71</v>
      </c>
      <c r="K241" s="30">
        <f>Source!O75</f>
        <v>0</v>
      </c>
      <c r="L241" s="32"/>
      <c r="S241">
        <f>ROUND((Source!FX75/100)*((ROUND(Source!AF75*Source!I75, 2)+ROUND(Source!AE75*Source!I75, 2))), 2)</f>
        <v>0</v>
      </c>
      <c r="T241">
        <f>Source!X75</f>
        <v>0</v>
      </c>
      <c r="U241">
        <f>ROUND((Source!FY75/100)*((ROUND(Source!AF75*Source!I75, 2)+ROUND(Source!AE75*Source!I75, 2))), 2)</f>
        <v>0</v>
      </c>
      <c r="V241">
        <f>Source!Y75</f>
        <v>0</v>
      </c>
      <c r="W241">
        <f>IF(Source!BI75&lt;=1,H241, 0)</f>
        <v>0</v>
      </c>
      <c r="X241">
        <f>IF(Source!BI75=2,H241, 0)</f>
        <v>0</v>
      </c>
      <c r="Y241">
        <f>IF(Source!BI75=3,H241, 0)</f>
        <v>0</v>
      </c>
      <c r="Z241">
        <f>IF(Source!BI75=4,H241, 0)</f>
        <v>0</v>
      </c>
    </row>
    <row r="242" spans="1:26" ht="28.5" x14ac:dyDescent="0.2">
      <c r="A242" s="45" t="str">
        <f>Source!E76</f>
        <v>21,2</v>
      </c>
      <c r="B242" s="46" t="str">
        <f>Source!F76</f>
        <v>01.6.01.02-0006</v>
      </c>
      <c r="C242" s="46" t="str">
        <f>Source!G76</f>
        <v>Листы гипсокартонные ГКЛ 12,5 мм</v>
      </c>
      <c r="D242" s="29" t="str">
        <f>Source!H76</f>
        <v>м2</v>
      </c>
      <c r="E242" s="11">
        <f>Source!I76</f>
        <v>3.15</v>
      </c>
      <c r="F242" s="30">
        <f>Source!AL76+Source!AM76+Source!AO76</f>
        <v>15</v>
      </c>
      <c r="G242" s="44" t="s">
        <v>6</v>
      </c>
      <c r="H242" s="30">
        <f>ROUND(Source!AC76*Source!I76, 2)+ROUND(Source!AD76*Source!I76, 2)+ROUND(Source!AF76*Source!I76, 2)</f>
        <v>47.25</v>
      </c>
      <c r="I242" s="31"/>
      <c r="J242" s="31">
        <f>IF(Source!BC76&lt;&gt; 0, Source!BC76, 1)</f>
        <v>6.71</v>
      </c>
      <c r="K242" s="30">
        <f>Source!O76</f>
        <v>317.05</v>
      </c>
      <c r="L242" s="32"/>
      <c r="S242">
        <f>ROUND((Source!FX76/100)*((ROUND(Source!AF76*Source!I76, 2)+ROUND(Source!AE76*Source!I76, 2))), 2)</f>
        <v>0</v>
      </c>
      <c r="T242">
        <f>Source!X76</f>
        <v>0</v>
      </c>
      <c r="U242">
        <f>ROUND((Source!FY76/100)*((ROUND(Source!AF76*Source!I76, 2)+ROUND(Source!AE76*Source!I76, 2))), 2)</f>
        <v>0</v>
      </c>
      <c r="V242">
        <f>Source!Y76</f>
        <v>0</v>
      </c>
      <c r="W242">
        <f>IF(Source!BI76&lt;=1,H242, 0)</f>
        <v>47.25</v>
      </c>
      <c r="X242">
        <f>IF(Source!BI76=2,H242, 0)</f>
        <v>0</v>
      </c>
      <c r="Y242">
        <f>IF(Source!BI76=3,H242, 0)</f>
        <v>0</v>
      </c>
      <c r="Z242">
        <f>IF(Source!BI76=4,H242, 0)</f>
        <v>0</v>
      </c>
    </row>
    <row r="243" spans="1:26" ht="42.75" x14ac:dyDescent="0.2">
      <c r="A243" s="45" t="str">
        <f>Source!E77</f>
        <v>21,3</v>
      </c>
      <c r="B243" s="46" t="str">
        <f>Source!F77</f>
        <v>01.7.06.01-0041</v>
      </c>
      <c r="C243" s="46" t="str">
        <f>Source!G77</f>
        <v>Лента эластичная самоклеящаяся для профилей направляющих «Дихтунгсбанд» 30/30000 мм</v>
      </c>
      <c r="D243" s="29" t="str">
        <f>Source!H77</f>
        <v>м</v>
      </c>
      <c r="E243" s="11">
        <f>Source!I77</f>
        <v>1.89</v>
      </c>
      <c r="F243" s="30">
        <f>Source!AL77+Source!AM77+Source!AO77</f>
        <v>0.37</v>
      </c>
      <c r="G243" s="44" t="s">
        <v>6</v>
      </c>
      <c r="H243" s="30">
        <f>ROUND(Source!AC77*Source!I77, 2)+ROUND(Source!AD77*Source!I77, 2)+ROUND(Source!AF77*Source!I77, 2)</f>
        <v>0.7</v>
      </c>
      <c r="I243" s="31"/>
      <c r="J243" s="31">
        <f>IF(Source!BC77&lt;&gt; 0, Source!BC77, 1)</f>
        <v>6.71</v>
      </c>
      <c r="K243" s="30">
        <f>Source!O77</f>
        <v>4.6900000000000004</v>
      </c>
      <c r="L243" s="32"/>
      <c r="S243">
        <f>ROUND((Source!FX77/100)*((ROUND(Source!AF77*Source!I77, 2)+ROUND(Source!AE77*Source!I77, 2))), 2)</f>
        <v>0</v>
      </c>
      <c r="T243">
        <f>Source!X77</f>
        <v>0</v>
      </c>
      <c r="U243">
        <f>ROUND((Source!FY77/100)*((ROUND(Source!AF77*Source!I77, 2)+ROUND(Source!AE77*Source!I77, 2))), 2)</f>
        <v>0</v>
      </c>
      <c r="V243">
        <f>Source!Y77</f>
        <v>0</v>
      </c>
      <c r="W243">
        <f>IF(Source!BI77&lt;=1,H243, 0)</f>
        <v>0.7</v>
      </c>
      <c r="X243">
        <f>IF(Source!BI77=2,H243, 0)</f>
        <v>0</v>
      </c>
      <c r="Y243">
        <f>IF(Source!BI77=3,H243, 0)</f>
        <v>0</v>
      </c>
      <c r="Z243">
        <f>IF(Source!BI77=4,H243, 0)</f>
        <v>0</v>
      </c>
    </row>
    <row r="244" spans="1:26" ht="28.5" x14ac:dyDescent="0.2">
      <c r="A244" s="45" t="str">
        <f>Source!E78</f>
        <v>21,4</v>
      </c>
      <c r="B244" s="46" t="str">
        <f>Source!F78</f>
        <v>01.7.06.11</v>
      </c>
      <c r="C244" s="46" t="str">
        <f>Source!G78</f>
        <v>Лента уплотнительная типа Дихтунгсбанд</v>
      </c>
      <c r="D244" s="29" t="str">
        <f>Source!H78</f>
        <v>м</v>
      </c>
      <c r="E244" s="11">
        <f>Source!I78</f>
        <v>1.89</v>
      </c>
      <c r="F244" s="30">
        <f>Source!AL78+Source!AM78+Source!AO78</f>
        <v>0</v>
      </c>
      <c r="G244" s="44" t="s">
        <v>6</v>
      </c>
      <c r="H244" s="30">
        <f>ROUND(Source!AC78*Source!I78, 2)+ROUND(Source!AD78*Source!I78, 2)+ROUND(Source!AF78*Source!I78, 2)</f>
        <v>0</v>
      </c>
      <c r="I244" s="31"/>
      <c r="J244" s="31">
        <f>IF(Source!BC78&lt;&gt; 0, Source!BC78, 1)</f>
        <v>6.71</v>
      </c>
      <c r="K244" s="30">
        <f>Source!O78</f>
        <v>0</v>
      </c>
      <c r="L244" s="32"/>
      <c r="S244">
        <f>ROUND((Source!FX78/100)*((ROUND(Source!AF78*Source!I78, 2)+ROUND(Source!AE78*Source!I78, 2))), 2)</f>
        <v>0</v>
      </c>
      <c r="T244">
        <f>Source!X78</f>
        <v>0</v>
      </c>
      <c r="U244">
        <f>ROUND((Source!FY78/100)*((ROUND(Source!AF78*Source!I78, 2)+ROUND(Source!AE78*Source!I78, 2))), 2)</f>
        <v>0</v>
      </c>
      <c r="V244">
        <f>Source!Y78</f>
        <v>0</v>
      </c>
      <c r="W244">
        <f>IF(Source!BI78&lt;=1,H244, 0)</f>
        <v>0</v>
      </c>
      <c r="X244">
        <f>IF(Source!BI78=2,H244, 0)</f>
        <v>0</v>
      </c>
      <c r="Y244">
        <f>IF(Source!BI78=3,H244, 0)</f>
        <v>0</v>
      </c>
      <c r="Z244">
        <f>IF(Source!BI78=4,H244, 0)</f>
        <v>0</v>
      </c>
    </row>
    <row r="245" spans="1:26" ht="14.25" x14ac:dyDescent="0.2">
      <c r="A245" s="45" t="str">
        <f>Source!E79</f>
        <v>21,5</v>
      </c>
      <c r="B245" s="46" t="str">
        <f>Source!F79</f>
        <v>07.2.06.03</v>
      </c>
      <c r="C245" s="46" t="str">
        <f>Source!G79</f>
        <v>Профиль направляющий</v>
      </c>
      <c r="D245" s="29" t="str">
        <f>Source!H79</f>
        <v>м</v>
      </c>
      <c r="E245" s="11">
        <f>Source!I79</f>
        <v>2.2650000000000001</v>
      </c>
      <c r="F245" s="30">
        <f>Source!AL79+Source!AM79+Source!AO79</f>
        <v>0</v>
      </c>
      <c r="G245" s="44" t="s">
        <v>6</v>
      </c>
      <c r="H245" s="30">
        <f>ROUND(Source!AC79*Source!I79, 2)+ROUND(Source!AD79*Source!I79, 2)+ROUND(Source!AF79*Source!I79, 2)</f>
        <v>0</v>
      </c>
      <c r="I245" s="31"/>
      <c r="J245" s="31">
        <f>IF(Source!BC79&lt;&gt; 0, Source!BC79, 1)</f>
        <v>6.71</v>
      </c>
      <c r="K245" s="30">
        <f>Source!O79</f>
        <v>0</v>
      </c>
      <c r="L245" s="32"/>
      <c r="S245">
        <f>ROUND((Source!FX79/100)*((ROUND(Source!AF79*Source!I79, 2)+ROUND(Source!AE79*Source!I79, 2))), 2)</f>
        <v>0</v>
      </c>
      <c r="T245">
        <f>Source!X79</f>
        <v>0</v>
      </c>
      <c r="U245">
        <f>ROUND((Source!FY79/100)*((ROUND(Source!AF79*Source!I79, 2)+ROUND(Source!AE79*Source!I79, 2))), 2)</f>
        <v>0</v>
      </c>
      <c r="V245">
        <f>Source!Y79</f>
        <v>0</v>
      </c>
      <c r="W245">
        <f>IF(Source!BI79&lt;=1,H245, 0)</f>
        <v>0</v>
      </c>
      <c r="X245">
        <f>IF(Source!BI79=2,H245, 0)</f>
        <v>0</v>
      </c>
      <c r="Y245">
        <f>IF(Source!BI79=3,H245, 0)</f>
        <v>0</v>
      </c>
      <c r="Z245">
        <f>IF(Source!BI79=4,H245, 0)</f>
        <v>0</v>
      </c>
    </row>
    <row r="246" spans="1:26" ht="28.5" x14ac:dyDescent="0.2">
      <c r="A246" s="45" t="str">
        <f>Source!E80</f>
        <v>21,6</v>
      </c>
      <c r="B246" s="46" t="str">
        <f>Source!F80</f>
        <v>07.2.06.03-0111</v>
      </c>
      <c r="C246" s="46" t="str">
        <f>Source!G80</f>
        <v>Профиль направляющий ПН-2 50/30/0,6</v>
      </c>
      <c r="D246" s="29" t="str">
        <f>Source!H80</f>
        <v>м</v>
      </c>
      <c r="E246" s="11">
        <f>Source!I80</f>
        <v>2.2650000000000001</v>
      </c>
      <c r="F246" s="30">
        <f>Source!AL80+Source!AM80+Source!AO80</f>
        <v>5.6</v>
      </c>
      <c r="G246" s="44" t="s">
        <v>6</v>
      </c>
      <c r="H246" s="30">
        <f>ROUND(Source!AC80*Source!I80, 2)+ROUND(Source!AD80*Source!I80, 2)+ROUND(Source!AF80*Source!I80, 2)</f>
        <v>12.68</v>
      </c>
      <c r="I246" s="31"/>
      <c r="J246" s="31">
        <f>IF(Source!BC80&lt;&gt; 0, Source!BC80, 1)</f>
        <v>6.71</v>
      </c>
      <c r="K246" s="30">
        <f>Source!O80</f>
        <v>85.11</v>
      </c>
      <c r="L246" s="32"/>
      <c r="S246">
        <f>ROUND((Source!FX80/100)*((ROUND(Source!AF80*Source!I80, 2)+ROUND(Source!AE80*Source!I80, 2))), 2)</f>
        <v>0</v>
      </c>
      <c r="T246">
        <f>Source!X80</f>
        <v>0</v>
      </c>
      <c r="U246">
        <f>ROUND((Source!FY80/100)*((ROUND(Source!AF80*Source!I80, 2)+ROUND(Source!AE80*Source!I80, 2))), 2)</f>
        <v>0</v>
      </c>
      <c r="V246">
        <f>Source!Y80</f>
        <v>0</v>
      </c>
      <c r="W246">
        <f>IF(Source!BI80&lt;=1,H246, 0)</f>
        <v>12.68</v>
      </c>
      <c r="X246">
        <f>IF(Source!BI80=2,H246, 0)</f>
        <v>0</v>
      </c>
      <c r="Y246">
        <f>IF(Source!BI80=3,H246, 0)</f>
        <v>0</v>
      </c>
      <c r="Z246">
        <f>IF(Source!BI80=4,H246, 0)</f>
        <v>0</v>
      </c>
    </row>
    <row r="247" spans="1:26" ht="28.5" x14ac:dyDescent="0.2">
      <c r="A247" s="45" t="str">
        <f>Source!E81</f>
        <v>21,7</v>
      </c>
      <c r="B247" s="46" t="str">
        <f>Source!F81</f>
        <v>07.2.06.03-0194</v>
      </c>
      <c r="C247" s="46" t="str">
        <f>Source!G81</f>
        <v>Профиль стоечный ПС-2 50/35/0,55</v>
      </c>
      <c r="D247" s="29" t="str">
        <f>Source!H81</f>
        <v>м</v>
      </c>
      <c r="E247" s="11">
        <f>Source!I81</f>
        <v>3.06</v>
      </c>
      <c r="F247" s="30">
        <f>Source!AL81+Source!AM81+Source!AO81</f>
        <v>4.67</v>
      </c>
      <c r="G247" s="44" t="s">
        <v>6</v>
      </c>
      <c r="H247" s="30">
        <f>ROUND(Source!AC81*Source!I81, 2)+ROUND(Source!AD81*Source!I81, 2)+ROUND(Source!AF81*Source!I81, 2)</f>
        <v>14.29</v>
      </c>
      <c r="I247" s="31"/>
      <c r="J247" s="31">
        <f>IF(Source!BC81&lt;&gt; 0, Source!BC81, 1)</f>
        <v>6.71</v>
      </c>
      <c r="K247" s="30">
        <f>Source!O81</f>
        <v>95.89</v>
      </c>
      <c r="L247" s="32"/>
      <c r="S247">
        <f>ROUND((Source!FX81/100)*((ROUND(Source!AF81*Source!I81, 2)+ROUND(Source!AE81*Source!I81, 2))), 2)</f>
        <v>0</v>
      </c>
      <c r="T247">
        <f>Source!X81</f>
        <v>0</v>
      </c>
      <c r="U247">
        <f>ROUND((Source!FY81/100)*((ROUND(Source!AF81*Source!I81, 2)+ROUND(Source!AE81*Source!I81, 2))), 2)</f>
        <v>0</v>
      </c>
      <c r="V247">
        <f>Source!Y81</f>
        <v>0</v>
      </c>
      <c r="W247">
        <f>IF(Source!BI81&lt;=1,H247, 0)</f>
        <v>14.29</v>
      </c>
      <c r="X247">
        <f>IF(Source!BI81=2,H247, 0)</f>
        <v>0</v>
      </c>
      <c r="Y247">
        <f>IF(Source!BI81=3,H247, 0)</f>
        <v>0</v>
      </c>
      <c r="Z247">
        <f>IF(Source!BI81=4,H247, 0)</f>
        <v>0</v>
      </c>
    </row>
    <row r="248" spans="1:26" ht="14.25" x14ac:dyDescent="0.2">
      <c r="A248" s="47" t="str">
        <f>Source!E82</f>
        <v>21,8</v>
      </c>
      <c r="B248" s="48" t="str">
        <f>Source!F82</f>
        <v>07.2.06.03</v>
      </c>
      <c r="C248" s="48" t="str">
        <f>Source!G82</f>
        <v>Профиль стоечный</v>
      </c>
      <c r="D248" s="35" t="str">
        <f>Source!H82</f>
        <v>м</v>
      </c>
      <c r="E248" s="36">
        <f>Source!I82</f>
        <v>3.06</v>
      </c>
      <c r="F248" s="37">
        <f>Source!AL82+Source!AM82+Source!AO82</f>
        <v>0</v>
      </c>
      <c r="G248" s="42" t="s">
        <v>6</v>
      </c>
      <c r="H248" s="37">
        <f>ROUND(Source!AC82*Source!I82, 2)+ROUND(Source!AD82*Source!I82, 2)+ROUND(Source!AF82*Source!I82, 2)</f>
        <v>0</v>
      </c>
      <c r="I248" s="38"/>
      <c r="J248" s="38">
        <f>IF(Source!BC82&lt;&gt; 0, Source!BC82, 1)</f>
        <v>6.71</v>
      </c>
      <c r="K248" s="37">
        <f>Source!O82</f>
        <v>0</v>
      </c>
      <c r="L248" s="43"/>
      <c r="S248">
        <f>ROUND((Source!FX82/100)*((ROUND(Source!AF82*Source!I82, 2)+ROUND(Source!AE82*Source!I82, 2))), 2)</f>
        <v>0</v>
      </c>
      <c r="T248">
        <f>Source!X82</f>
        <v>0</v>
      </c>
      <c r="U248">
        <f>ROUND((Source!FY82/100)*((ROUND(Source!AF82*Source!I82, 2)+ROUND(Source!AE82*Source!I82, 2))), 2)</f>
        <v>0</v>
      </c>
      <c r="V248">
        <f>Source!Y82</f>
        <v>0</v>
      </c>
      <c r="W248">
        <f>IF(Source!BI82&lt;=1,H248, 0)</f>
        <v>0</v>
      </c>
      <c r="X248">
        <f>IF(Source!BI82=2,H248, 0)</f>
        <v>0</v>
      </c>
      <c r="Y248">
        <f>IF(Source!BI82=3,H248, 0)</f>
        <v>0</v>
      </c>
      <c r="Z248">
        <f>IF(Source!BI82=4,H248, 0)</f>
        <v>0</v>
      </c>
    </row>
    <row r="249" spans="1:26" ht="15" x14ac:dyDescent="0.25">
      <c r="G249" s="72">
        <f>H235+H236+H237+H238+H239+SUM(H241:H248)</f>
        <v>129.5</v>
      </c>
      <c r="H249" s="72"/>
      <c r="J249" s="72">
        <f>K235+K236+K237+K238+K239+SUM(K241:K248)</f>
        <v>869.27</v>
      </c>
      <c r="K249" s="72"/>
      <c r="L249" s="40">
        <f>Source!U74</f>
        <v>1.6904999999999997</v>
      </c>
      <c r="O249" s="24">
        <f>G249</f>
        <v>129.5</v>
      </c>
      <c r="P249" s="24">
        <f>J249</f>
        <v>869.27</v>
      </c>
      <c r="Q249" s="24">
        <f>L249</f>
        <v>1.6904999999999997</v>
      </c>
      <c r="W249">
        <f>IF(Source!BI74&lt;=1,H235+H236+H237+H238+H239, 0)</f>
        <v>54.580000000000005</v>
      </c>
      <c r="X249">
        <f>IF(Source!BI74=2,H235+H236+H237+H238+H239, 0)</f>
        <v>0</v>
      </c>
      <c r="Y249">
        <f>IF(Source!BI74=3,H235+H236+H237+H238+H239, 0)</f>
        <v>0</v>
      </c>
      <c r="Z249">
        <f>IF(Source!BI74=4,H235+H236+H237+H238+H239, 0)</f>
        <v>0</v>
      </c>
    </row>
    <row r="250" spans="1:26" ht="57" x14ac:dyDescent="0.2">
      <c r="A250" s="45" t="str">
        <f>Source!E83</f>
        <v>22</v>
      </c>
      <c r="B250" s="46" t="str">
        <f>Source!F83</f>
        <v>61-1-2</v>
      </c>
      <c r="C250" s="46" t="str">
        <f>Source!G83</f>
        <v>Сплошное выравнивание штукатурки стен цементно-известковым раствором при толщине намета до 10 мм</v>
      </c>
      <c r="D250" s="29" t="str">
        <f>Source!H83</f>
        <v>100 м2</v>
      </c>
      <c r="E250" s="11">
        <f>Source!I83</f>
        <v>2.68</v>
      </c>
      <c r="F250" s="30">
        <f>Source!AL83+Source!AM83+Source!AO83</f>
        <v>921.93000000000006</v>
      </c>
      <c r="G250" s="31"/>
      <c r="H250" s="30"/>
      <c r="I250" s="31" t="str">
        <f>Source!BO83</f>
        <v/>
      </c>
      <c r="J250" s="31"/>
      <c r="K250" s="30"/>
      <c r="L250" s="32"/>
      <c r="S250">
        <f>ROUND((Source!FX83/100)*((ROUND(Source!AF83*Source!I83, 2)+ROUND(Source!AE83*Source!I83, 2))), 2)</f>
        <v>763.74</v>
      </c>
      <c r="T250">
        <f>Source!X83</f>
        <v>5124.67</v>
      </c>
      <c r="U250">
        <f>ROUND((Source!FY83/100)*((ROUND(Source!AF83*Source!I83, 2)+ROUND(Source!AE83*Source!I83, 2))), 2)</f>
        <v>483.38</v>
      </c>
      <c r="V250">
        <f>Source!Y83</f>
        <v>3243.47</v>
      </c>
    </row>
    <row r="251" spans="1:26" x14ac:dyDescent="0.2">
      <c r="C251" s="23" t="str">
        <f>"Объем: "&amp;Source!I83&amp;"=268/"&amp;"100"</f>
        <v>Объем: 2,68=268/100</v>
      </c>
    </row>
    <row r="252" spans="1:26" ht="14.25" x14ac:dyDescent="0.2">
      <c r="A252" s="45"/>
      <c r="B252" s="46"/>
      <c r="C252" s="46" t="s">
        <v>1167</v>
      </c>
      <c r="D252" s="29"/>
      <c r="E252" s="11"/>
      <c r="F252" s="30">
        <f>Source!AO83</f>
        <v>352.09</v>
      </c>
      <c r="G252" s="31" t="str">
        <f>Source!DG83</f>
        <v/>
      </c>
      <c r="H252" s="30">
        <f>ROUND(Source!AF83*Source!I83, 2)</f>
        <v>943.6</v>
      </c>
      <c r="I252" s="31"/>
      <c r="J252" s="31">
        <f>IF(Source!BA83&lt;&gt; 0, Source!BA83, 1)</f>
        <v>6.71</v>
      </c>
      <c r="K252" s="30">
        <f>Source!S83</f>
        <v>6331.56</v>
      </c>
      <c r="L252" s="32"/>
      <c r="R252">
        <f>H252</f>
        <v>943.6</v>
      </c>
    </row>
    <row r="253" spans="1:26" ht="14.25" x14ac:dyDescent="0.2">
      <c r="A253" s="45"/>
      <c r="B253" s="46"/>
      <c r="C253" s="46" t="s">
        <v>382</v>
      </c>
      <c r="D253" s="29"/>
      <c r="E253" s="11"/>
      <c r="F253" s="30">
        <f>Source!AM83</f>
        <v>20.010000000000002</v>
      </c>
      <c r="G253" s="31" t="str">
        <f>Source!DE83</f>
        <v/>
      </c>
      <c r="H253" s="30">
        <f>ROUND(Source!AD83*Source!I83, 2)</f>
        <v>53.63</v>
      </c>
      <c r="I253" s="31"/>
      <c r="J253" s="31">
        <f>IF(Source!BB83&lt;&gt; 0, Source!BB83, 1)</f>
        <v>6.71</v>
      </c>
      <c r="K253" s="30">
        <f>Source!Q83</f>
        <v>359.84</v>
      </c>
      <c r="L253" s="32"/>
    </row>
    <row r="254" spans="1:26" ht="14.25" x14ac:dyDescent="0.2">
      <c r="A254" s="45"/>
      <c r="B254" s="46"/>
      <c r="C254" s="46" t="s">
        <v>1168</v>
      </c>
      <c r="D254" s="29"/>
      <c r="E254" s="11"/>
      <c r="F254" s="30">
        <f>Source!AN83</f>
        <v>8.64</v>
      </c>
      <c r="G254" s="31" t="str">
        <f>Source!DF83</f>
        <v/>
      </c>
      <c r="H254" s="33">
        <f>ROUND(Source!AE83*Source!I83, 2)</f>
        <v>23.16</v>
      </c>
      <c r="I254" s="31"/>
      <c r="J254" s="31">
        <f>IF(Source!BS83&lt;&gt; 0, Source!BS83, 1)</f>
        <v>6.71</v>
      </c>
      <c r="K254" s="33">
        <f>Source!R83</f>
        <v>155.37</v>
      </c>
      <c r="L254" s="32"/>
      <c r="R254">
        <f>H254</f>
        <v>23.16</v>
      </c>
    </row>
    <row r="255" spans="1:26" ht="14.25" x14ac:dyDescent="0.2">
      <c r="A255" s="45"/>
      <c r="B255" s="46"/>
      <c r="C255" s="46" t="s">
        <v>1174</v>
      </c>
      <c r="D255" s="29"/>
      <c r="E255" s="11"/>
      <c r="F255" s="30">
        <f>Source!AL83</f>
        <v>549.83000000000004</v>
      </c>
      <c r="G255" s="31" t="str">
        <f>Source!DD83</f>
        <v/>
      </c>
      <c r="H255" s="30">
        <f>ROUND(Source!AC83*Source!I83, 2)</f>
        <v>1473.54</v>
      </c>
      <c r="I255" s="31"/>
      <c r="J255" s="31">
        <f>IF(Source!BC83&lt;&gt; 0, Source!BC83, 1)</f>
        <v>6.71</v>
      </c>
      <c r="K255" s="30">
        <f>Source!P83</f>
        <v>9887.48</v>
      </c>
      <c r="L255" s="32"/>
    </row>
    <row r="256" spans="1:26" ht="14.25" x14ac:dyDescent="0.2">
      <c r="A256" s="45"/>
      <c r="B256" s="46"/>
      <c r="C256" s="46" t="s">
        <v>1169</v>
      </c>
      <c r="D256" s="29" t="s">
        <v>1170</v>
      </c>
      <c r="E256" s="11">
        <f>Source!BZ83</f>
        <v>79</v>
      </c>
      <c r="F256" s="49"/>
      <c r="G256" s="31"/>
      <c r="H256" s="30">
        <f>SUM(S250:S260)</f>
        <v>763.74</v>
      </c>
      <c r="I256" s="34"/>
      <c r="J256" s="27">
        <f>Source!AT83</f>
        <v>79</v>
      </c>
      <c r="K256" s="30">
        <f>SUM(T250:T260)</f>
        <v>5124.67</v>
      </c>
      <c r="L256" s="32"/>
    </row>
    <row r="257" spans="1:26" ht="14.25" x14ac:dyDescent="0.2">
      <c r="A257" s="45"/>
      <c r="B257" s="46"/>
      <c r="C257" s="46" t="s">
        <v>1171</v>
      </c>
      <c r="D257" s="29" t="s">
        <v>1170</v>
      </c>
      <c r="E257" s="11">
        <f>Source!CA83</f>
        <v>50</v>
      </c>
      <c r="F257" s="49"/>
      <c r="G257" s="31"/>
      <c r="H257" s="30">
        <f>SUM(U250:U260)</f>
        <v>483.38</v>
      </c>
      <c r="I257" s="34"/>
      <c r="J257" s="27">
        <f>Source!AU83</f>
        <v>50</v>
      </c>
      <c r="K257" s="30">
        <f>SUM(V250:V260)</f>
        <v>3243.47</v>
      </c>
      <c r="L257" s="32"/>
    </row>
    <row r="258" spans="1:26" ht="14.25" x14ac:dyDescent="0.2">
      <c r="A258" s="45"/>
      <c r="B258" s="46"/>
      <c r="C258" s="46" t="s">
        <v>1172</v>
      </c>
      <c r="D258" s="29" t="s">
        <v>1173</v>
      </c>
      <c r="E258" s="11">
        <f>Source!AQ83</f>
        <v>42.37</v>
      </c>
      <c r="F258" s="30"/>
      <c r="G258" s="31" t="str">
        <f>Source!DI83</f>
        <v/>
      </c>
      <c r="H258" s="30"/>
      <c r="I258" s="31"/>
      <c r="J258" s="31"/>
      <c r="K258" s="30"/>
      <c r="L258" s="41">
        <f>Source!U83</f>
        <v>113.55159999999999</v>
      </c>
    </row>
    <row r="259" spans="1:26" ht="28.5" x14ac:dyDescent="0.2">
      <c r="A259" s="45" t="str">
        <f>Source!E84</f>
        <v>22,1</v>
      </c>
      <c r="B259" s="46" t="str">
        <f>Source!F84</f>
        <v>04.3.01.12-0111</v>
      </c>
      <c r="C259" s="46" t="str">
        <f>Source!G84</f>
        <v>Раствор готовый отделочный тяжелый, цементно-известковый 1:1:6</v>
      </c>
      <c r="D259" s="29" t="str">
        <f>Source!H84</f>
        <v>м3</v>
      </c>
      <c r="E259" s="11">
        <f>Source!I84</f>
        <v>-2.8408000000000002</v>
      </c>
      <c r="F259" s="30">
        <f>Source!AL84+Source!AM84+Source!AO84</f>
        <v>517.91</v>
      </c>
      <c r="G259" s="44" t="s">
        <v>6</v>
      </c>
      <c r="H259" s="30">
        <f>ROUND(Source!AC84*Source!I84, 2)+ROUND(Source!AD84*Source!I84, 2)+ROUND(Source!AF84*Source!I84, 2)</f>
        <v>-1471.28</v>
      </c>
      <c r="I259" s="31"/>
      <c r="J259" s="31">
        <f>IF(Source!BC84&lt;&gt; 0, Source!BC84, 1)</f>
        <v>6.71</v>
      </c>
      <c r="K259" s="30">
        <f>Source!O84</f>
        <v>-9872.2800000000007</v>
      </c>
      <c r="L259" s="32"/>
      <c r="S259">
        <f>ROUND((Source!FX84/100)*((ROUND(Source!AF84*Source!I84, 2)+ROUND(Source!AE84*Source!I84, 2))), 2)</f>
        <v>0</v>
      </c>
      <c r="T259">
        <f>Source!X84</f>
        <v>0</v>
      </c>
      <c r="U259">
        <f>ROUND((Source!FY84/100)*((ROUND(Source!AF84*Source!I84, 2)+ROUND(Source!AE84*Source!I84, 2))), 2)</f>
        <v>0</v>
      </c>
      <c r="V259">
        <f>Source!Y84</f>
        <v>0</v>
      </c>
      <c r="W259">
        <f>IF(Source!BI84&lt;=1,H259, 0)</f>
        <v>-1471.28</v>
      </c>
      <c r="X259">
        <f>IF(Source!BI84=2,H259, 0)</f>
        <v>0</v>
      </c>
      <c r="Y259">
        <f>IF(Source!BI84=3,H259, 0)</f>
        <v>0</v>
      </c>
      <c r="Z259">
        <f>IF(Source!BI84=4,H259, 0)</f>
        <v>0</v>
      </c>
    </row>
    <row r="260" spans="1:26" ht="28.5" x14ac:dyDescent="0.2">
      <c r="A260" s="47" t="str">
        <f>Source!E85</f>
        <v>22,2</v>
      </c>
      <c r="B260" s="48" t="str">
        <f>Source!F85</f>
        <v>04.3.02.05-0002</v>
      </c>
      <c r="C260" s="48" t="str">
        <f>Source!G85</f>
        <v>Смесь штукатурная «Ротбанд», КНАУФ</v>
      </c>
      <c r="D260" s="35" t="str">
        <f>Source!H85</f>
        <v>кг</v>
      </c>
      <c r="E260" s="36">
        <f>Source!I85</f>
        <v>4260.9523730000001</v>
      </c>
      <c r="F260" s="37">
        <f>Source!AL85+Source!AM85+Source!AO85</f>
        <v>2.0699999999999998</v>
      </c>
      <c r="G260" s="42" t="s">
        <v>6</v>
      </c>
      <c r="H260" s="37">
        <f>ROUND(Source!AC85*Source!I85, 2)+ROUND(Source!AD85*Source!I85, 2)+ROUND(Source!AF85*Source!I85, 2)</f>
        <v>8820.17</v>
      </c>
      <c r="I260" s="38"/>
      <c r="J260" s="38">
        <f>IF(Source!BC85&lt;&gt; 0, Source!BC85, 1)</f>
        <v>6.71</v>
      </c>
      <c r="K260" s="37">
        <f>Source!O85</f>
        <v>59183.35</v>
      </c>
      <c r="L260" s="43"/>
      <c r="S260">
        <f>ROUND((Source!FX85/100)*((ROUND(Source!AF85*Source!I85, 2)+ROUND(Source!AE85*Source!I85, 2))), 2)</f>
        <v>0</v>
      </c>
      <c r="T260">
        <f>Source!X85</f>
        <v>0</v>
      </c>
      <c r="U260">
        <f>ROUND((Source!FY85/100)*((ROUND(Source!AF85*Source!I85, 2)+ROUND(Source!AE85*Source!I85, 2))), 2)</f>
        <v>0</v>
      </c>
      <c r="V260">
        <f>Source!Y85</f>
        <v>0</v>
      </c>
      <c r="W260">
        <f>IF(Source!BI85&lt;=1,H260, 0)</f>
        <v>8820.17</v>
      </c>
      <c r="X260">
        <f>IF(Source!BI85=2,H260, 0)</f>
        <v>0</v>
      </c>
      <c r="Y260">
        <f>IF(Source!BI85=3,H260, 0)</f>
        <v>0</v>
      </c>
      <c r="Z260">
        <f>IF(Source!BI85=4,H260, 0)</f>
        <v>0</v>
      </c>
    </row>
    <row r="261" spans="1:26" ht="15" x14ac:dyDescent="0.25">
      <c r="G261" s="72">
        <f>H252+H253+H255+H256+H257+SUM(H259:H260)</f>
        <v>11066.78</v>
      </c>
      <c r="H261" s="72"/>
      <c r="J261" s="72">
        <f>K252+K253+K255+K256+K257+SUM(K259:K260)</f>
        <v>74258.09</v>
      </c>
      <c r="K261" s="72"/>
      <c r="L261" s="40">
        <f>Source!U83</f>
        <v>113.55159999999999</v>
      </c>
      <c r="O261" s="24">
        <f>G261</f>
        <v>11066.78</v>
      </c>
      <c r="P261" s="24">
        <f>J261</f>
        <v>74258.09</v>
      </c>
      <c r="Q261" s="24">
        <f>L261</f>
        <v>113.55159999999999</v>
      </c>
      <c r="W261">
        <f>IF(Source!BI83&lt;=1,H252+H253+H255+H256+H257, 0)</f>
        <v>3717.8900000000003</v>
      </c>
      <c r="X261">
        <f>IF(Source!BI83=2,H252+H253+H255+H256+H257, 0)</f>
        <v>0</v>
      </c>
      <c r="Y261">
        <f>IF(Source!BI83=3,H252+H253+H255+H256+H257, 0)</f>
        <v>0</v>
      </c>
      <c r="Z261">
        <f>IF(Source!BI83=4,H252+H253+H255+H256+H257, 0)</f>
        <v>0</v>
      </c>
    </row>
    <row r="262" spans="1:26" ht="42.75" x14ac:dyDescent="0.2">
      <c r="A262" s="45" t="str">
        <f>Source!E86</f>
        <v>23</v>
      </c>
      <c r="B262" s="46" t="str">
        <f>Source!F86</f>
        <v>15-04-006-04</v>
      </c>
      <c r="C262" s="46" t="str">
        <f>Source!G86</f>
        <v>Покрытие поверхностей грунтовкой глубокого проникновения за 2 раза стен</v>
      </c>
      <c r="D262" s="29" t="str">
        <f>Source!H86</f>
        <v>100 м2</v>
      </c>
      <c r="E262" s="11">
        <f>Source!I86</f>
        <v>2.68</v>
      </c>
      <c r="F262" s="30">
        <f>Source!AL86+Source!AM86+Source!AO86</f>
        <v>158.97999999999999</v>
      </c>
      <c r="G262" s="31"/>
      <c r="H262" s="30"/>
      <c r="I262" s="31" t="str">
        <f>Source!BO86</f>
        <v/>
      </c>
      <c r="J262" s="31"/>
      <c r="K262" s="30"/>
      <c r="L262" s="32"/>
      <c r="S262">
        <f>ROUND((Source!FX86/100)*((ROUND(Source!AF86*Source!I86, 2)+ROUND(Source!AE86*Source!I86, 2))), 2)</f>
        <v>458.42</v>
      </c>
      <c r="T262">
        <f>Source!X86</f>
        <v>3092.31</v>
      </c>
      <c r="U262">
        <f>ROUND((Source!FY86/100)*((ROUND(Source!AF86*Source!I86, 2)+ROUND(Source!AE86*Source!I86, 2))), 2)</f>
        <v>226.78</v>
      </c>
      <c r="V262">
        <f>Source!Y86</f>
        <v>1529.88</v>
      </c>
    </row>
    <row r="263" spans="1:26" x14ac:dyDescent="0.2">
      <c r="C263" s="23" t="str">
        <f>"Объем: "&amp;Source!I86&amp;"=268/"&amp;"100"</f>
        <v>Объем: 2,68=268/100</v>
      </c>
    </row>
    <row r="264" spans="1:26" ht="14.25" x14ac:dyDescent="0.2">
      <c r="A264" s="45"/>
      <c r="B264" s="46"/>
      <c r="C264" s="46" t="s">
        <v>1167</v>
      </c>
      <c r="D264" s="29"/>
      <c r="E264" s="11"/>
      <c r="F264" s="30">
        <f>Source!AO86</f>
        <v>157</v>
      </c>
      <c r="G264" s="31" t="str">
        <f>Source!DG86</f>
        <v>)*1,15</v>
      </c>
      <c r="H264" s="30">
        <f>ROUND(Source!AF86*Source!I86, 2)</f>
        <v>483.87</v>
      </c>
      <c r="I264" s="31"/>
      <c r="J264" s="31">
        <f>IF(Source!BA86&lt;&gt; 0, Source!BA86, 1)</f>
        <v>6.71</v>
      </c>
      <c r="K264" s="30">
        <f>Source!S86</f>
        <v>3246.79</v>
      </c>
      <c r="L264" s="32"/>
      <c r="R264">
        <f>H264</f>
        <v>483.87</v>
      </c>
    </row>
    <row r="265" spans="1:26" ht="14.25" x14ac:dyDescent="0.2">
      <c r="A265" s="45"/>
      <c r="B265" s="46"/>
      <c r="C265" s="46" t="s">
        <v>382</v>
      </c>
      <c r="D265" s="29"/>
      <c r="E265" s="11"/>
      <c r="F265" s="30">
        <f>Source!AM86</f>
        <v>1.62</v>
      </c>
      <c r="G265" s="31" t="str">
        <f>Source!DE86</f>
        <v>)*1,25</v>
      </c>
      <c r="H265" s="30">
        <f>ROUND(Source!AD86*Source!I86, 2)</f>
        <v>5.41</v>
      </c>
      <c r="I265" s="31"/>
      <c r="J265" s="31">
        <f>IF(Source!BB86&lt;&gt; 0, Source!BB86, 1)</f>
        <v>6.71</v>
      </c>
      <c r="K265" s="30">
        <f>Source!Q86</f>
        <v>36.33</v>
      </c>
      <c r="L265" s="32"/>
    </row>
    <row r="266" spans="1:26" ht="14.25" x14ac:dyDescent="0.2">
      <c r="A266" s="45"/>
      <c r="B266" s="46"/>
      <c r="C266" s="46" t="s">
        <v>1168</v>
      </c>
      <c r="D266" s="29"/>
      <c r="E266" s="11"/>
      <c r="F266" s="30">
        <f>Source!AN86</f>
        <v>0.37</v>
      </c>
      <c r="G266" s="31" t="str">
        <f>Source!DF86</f>
        <v>)*1,25</v>
      </c>
      <c r="H266" s="33">
        <f>ROUND(Source!AE86*Source!I86, 2)</f>
        <v>1.23</v>
      </c>
      <c r="I266" s="31"/>
      <c r="J266" s="31">
        <f>IF(Source!BS86&lt;&gt; 0, Source!BS86, 1)</f>
        <v>6.71</v>
      </c>
      <c r="K266" s="33">
        <f>Source!R86</f>
        <v>8.27</v>
      </c>
      <c r="L266" s="32"/>
      <c r="R266">
        <f>H266</f>
        <v>1.23</v>
      </c>
    </row>
    <row r="267" spans="1:26" ht="14.25" x14ac:dyDescent="0.2">
      <c r="A267" s="45"/>
      <c r="B267" s="46"/>
      <c r="C267" s="46" t="s">
        <v>1174</v>
      </c>
      <c r="D267" s="29"/>
      <c r="E267" s="11"/>
      <c r="F267" s="30">
        <f>Source!AL86</f>
        <v>0.36</v>
      </c>
      <c r="G267" s="31" t="str">
        <f>Source!DD86</f>
        <v/>
      </c>
      <c r="H267" s="30">
        <f>ROUND(Source!AC86*Source!I86, 2)</f>
        <v>0.96</v>
      </c>
      <c r="I267" s="31"/>
      <c r="J267" s="31">
        <f>IF(Source!BC86&lt;&gt; 0, Source!BC86, 1)</f>
        <v>6.71</v>
      </c>
      <c r="K267" s="30">
        <f>Source!P86</f>
        <v>6.47</v>
      </c>
      <c r="L267" s="32"/>
    </row>
    <row r="268" spans="1:26" ht="14.25" x14ac:dyDescent="0.2">
      <c r="A268" s="45"/>
      <c r="B268" s="46"/>
      <c r="C268" s="46" t="s">
        <v>1169</v>
      </c>
      <c r="D268" s="29" t="s">
        <v>1170</v>
      </c>
      <c r="E268" s="11">
        <f>Source!BZ86</f>
        <v>105</v>
      </c>
      <c r="F268" s="74" t="str">
        <f>CONCATENATE(" )", Source!DL86, Source!FT86, "=", Source!FX86)</f>
        <v xml:space="preserve"> )*0,9=94,5</v>
      </c>
      <c r="G268" s="75"/>
      <c r="H268" s="30">
        <f>SUM(S262:S272)</f>
        <v>458.42</v>
      </c>
      <c r="I268" s="34"/>
      <c r="J268" s="27">
        <f>Source!AT86</f>
        <v>95</v>
      </c>
      <c r="K268" s="30">
        <f>SUM(T262:T272)</f>
        <v>3092.31</v>
      </c>
      <c r="L268" s="32"/>
    </row>
    <row r="269" spans="1:26" ht="14.25" x14ac:dyDescent="0.2">
      <c r="A269" s="45"/>
      <c r="B269" s="46"/>
      <c r="C269" s="46" t="s">
        <v>1171</v>
      </c>
      <c r="D269" s="29" t="s">
        <v>1170</v>
      </c>
      <c r="E269" s="11">
        <f>Source!CA86</f>
        <v>55</v>
      </c>
      <c r="F269" s="74" t="str">
        <f>CONCATENATE(" )", Source!DM86, Source!FU86, "=", Source!FY86)</f>
        <v xml:space="preserve"> )*0,85=46,75</v>
      </c>
      <c r="G269" s="75"/>
      <c r="H269" s="30">
        <f>SUM(U262:U272)</f>
        <v>226.78</v>
      </c>
      <c r="I269" s="34"/>
      <c r="J269" s="27">
        <f>Source!AU86</f>
        <v>47</v>
      </c>
      <c r="K269" s="30">
        <f>SUM(V262:V272)</f>
        <v>1529.88</v>
      </c>
      <c r="L269" s="32"/>
    </row>
    <row r="270" spans="1:26" ht="14.25" x14ac:dyDescent="0.2">
      <c r="A270" s="45"/>
      <c r="B270" s="46"/>
      <c r="C270" s="46" t="s">
        <v>1172</v>
      </c>
      <c r="D270" s="29" t="s">
        <v>1173</v>
      </c>
      <c r="E270" s="11">
        <f>Source!AQ86</f>
        <v>16.32</v>
      </c>
      <c r="F270" s="30"/>
      <c r="G270" s="31" t="str">
        <f>Source!DI86</f>
        <v>)*1,15</v>
      </c>
      <c r="H270" s="30"/>
      <c r="I270" s="31"/>
      <c r="J270" s="31"/>
      <c r="K270" s="30"/>
      <c r="L270" s="41">
        <f>Source!U86</f>
        <v>50.298239999999993</v>
      </c>
    </row>
    <row r="271" spans="1:26" ht="14.25" x14ac:dyDescent="0.2">
      <c r="A271" s="45" t="str">
        <f>Source!E87</f>
        <v>23,1</v>
      </c>
      <c r="B271" s="46" t="str">
        <f>Source!F87</f>
        <v>14.4.01.21</v>
      </c>
      <c r="C271" s="46" t="str">
        <f>Source!G87</f>
        <v>Грунтовка</v>
      </c>
      <c r="D271" s="29" t="str">
        <f>Source!H87</f>
        <v>т</v>
      </c>
      <c r="E271" s="11">
        <f>Source!I87</f>
        <v>5.3600000000000002E-2</v>
      </c>
      <c r="F271" s="30">
        <f>Source!AL87+Source!AM87+Source!AO87</f>
        <v>0</v>
      </c>
      <c r="G271" s="44" t="s">
        <v>6</v>
      </c>
      <c r="H271" s="30">
        <f>ROUND(Source!AC87*Source!I87, 2)+ROUND(Source!AD87*Source!I87, 2)+ROUND(Source!AF87*Source!I87, 2)</f>
        <v>0</v>
      </c>
      <c r="I271" s="31"/>
      <c r="J271" s="31">
        <f>IF(Source!BC87&lt;&gt; 0, Source!BC87, 1)</f>
        <v>6.71</v>
      </c>
      <c r="K271" s="30">
        <f>Source!O87</f>
        <v>0</v>
      </c>
      <c r="L271" s="32"/>
      <c r="S271">
        <f>ROUND((Source!FX87/100)*((ROUND(Source!AF87*Source!I87, 2)+ROUND(Source!AE87*Source!I87, 2))), 2)</f>
        <v>0</v>
      </c>
      <c r="T271">
        <f>Source!X87</f>
        <v>0</v>
      </c>
      <c r="U271">
        <f>ROUND((Source!FY87/100)*((ROUND(Source!AF87*Source!I87, 2)+ROUND(Source!AE87*Source!I87, 2))), 2)</f>
        <v>0</v>
      </c>
      <c r="V271">
        <f>Source!Y87</f>
        <v>0</v>
      </c>
      <c r="W271">
        <f>IF(Source!BI87&lt;=1,H271, 0)</f>
        <v>0</v>
      </c>
      <c r="X271">
        <f>IF(Source!BI87=2,H271, 0)</f>
        <v>0</v>
      </c>
      <c r="Y271">
        <f>IF(Source!BI87=3,H271, 0)</f>
        <v>0</v>
      </c>
      <c r="Z271">
        <f>IF(Source!BI87=4,H271, 0)</f>
        <v>0</v>
      </c>
    </row>
    <row r="272" spans="1:26" ht="28.5" x14ac:dyDescent="0.2">
      <c r="A272" s="47" t="str">
        <f>Source!E88</f>
        <v>23,2</v>
      </c>
      <c r="B272" s="48" t="str">
        <f>Source!F88</f>
        <v>14.3.01.01-0001</v>
      </c>
      <c r="C272" s="48" t="str">
        <f>Source!G88</f>
        <v>Грунтовка: «Бетоконтакт», КНАУФ</v>
      </c>
      <c r="D272" s="35" t="str">
        <f>Source!H88</f>
        <v>кг</v>
      </c>
      <c r="E272" s="36">
        <f>Source!I88</f>
        <v>53.6</v>
      </c>
      <c r="F272" s="37">
        <f>Source!AL88+Source!AM88+Source!AO88</f>
        <v>15.09</v>
      </c>
      <c r="G272" s="42" t="s">
        <v>6</v>
      </c>
      <c r="H272" s="37">
        <f>ROUND(Source!AC88*Source!I88, 2)+ROUND(Source!AD88*Source!I88, 2)+ROUND(Source!AF88*Source!I88, 2)</f>
        <v>808.82</v>
      </c>
      <c r="I272" s="38"/>
      <c r="J272" s="38">
        <f>IF(Source!BC88&lt;&gt; 0, Source!BC88, 1)</f>
        <v>6.71</v>
      </c>
      <c r="K272" s="37">
        <f>Source!O88</f>
        <v>5427.21</v>
      </c>
      <c r="L272" s="43"/>
      <c r="S272">
        <f>ROUND((Source!FX88/100)*((ROUND(Source!AF88*Source!I88, 2)+ROUND(Source!AE88*Source!I88, 2))), 2)</f>
        <v>0</v>
      </c>
      <c r="T272">
        <f>Source!X88</f>
        <v>0</v>
      </c>
      <c r="U272">
        <f>ROUND((Source!FY88/100)*((ROUND(Source!AF88*Source!I88, 2)+ROUND(Source!AE88*Source!I88, 2))), 2)</f>
        <v>0</v>
      </c>
      <c r="V272">
        <f>Source!Y88</f>
        <v>0</v>
      </c>
      <c r="W272">
        <f>IF(Source!BI88&lt;=1,H272, 0)</f>
        <v>808.82</v>
      </c>
      <c r="X272">
        <f>IF(Source!BI88=2,H272, 0)</f>
        <v>0</v>
      </c>
      <c r="Y272">
        <f>IF(Source!BI88=3,H272, 0)</f>
        <v>0</v>
      </c>
      <c r="Z272">
        <f>IF(Source!BI88=4,H272, 0)</f>
        <v>0</v>
      </c>
    </row>
    <row r="273" spans="1:26" ht="15" x14ac:dyDescent="0.25">
      <c r="G273" s="72">
        <f>H264+H265+H267+H268+H269+SUM(H271:H272)</f>
        <v>1984.2600000000002</v>
      </c>
      <c r="H273" s="72"/>
      <c r="J273" s="72">
        <f>K264+K265+K267+K268+K269+SUM(K271:K272)</f>
        <v>13338.99</v>
      </c>
      <c r="K273" s="72"/>
      <c r="L273" s="40">
        <f>Source!U86</f>
        <v>50.298239999999993</v>
      </c>
      <c r="O273" s="24">
        <f>G273</f>
        <v>1984.2600000000002</v>
      </c>
      <c r="P273" s="24">
        <f>J273</f>
        <v>13338.99</v>
      </c>
      <c r="Q273" s="24">
        <f>L273</f>
        <v>50.298239999999993</v>
      </c>
      <c r="W273">
        <f>IF(Source!BI86&lt;=1,H264+H265+H267+H268+H269, 0)</f>
        <v>1175.44</v>
      </c>
      <c r="X273">
        <f>IF(Source!BI86=2,H264+H265+H267+H268+H269, 0)</f>
        <v>0</v>
      </c>
      <c r="Y273">
        <f>IF(Source!BI86=3,H264+H265+H267+H268+H269, 0)</f>
        <v>0</v>
      </c>
      <c r="Z273">
        <f>IF(Source!BI86=4,H264+H265+H267+H268+H269, 0)</f>
        <v>0</v>
      </c>
    </row>
    <row r="274" spans="1:26" ht="42.75" x14ac:dyDescent="0.2">
      <c r="A274" s="45" t="str">
        <f>Source!E89</f>
        <v>24</v>
      </c>
      <c r="B274" s="46" t="str">
        <f>Source!F89</f>
        <v>15-06-001-01</v>
      </c>
      <c r="C274" s="46" t="str">
        <f>Source!G89</f>
        <v>Оклейка обоями стен по монолитной штукатурке и бетону простыми и средней плотности</v>
      </c>
      <c r="D274" s="29" t="str">
        <f>Source!H89</f>
        <v>100 м2</v>
      </c>
      <c r="E274" s="11">
        <f>Source!I89</f>
        <v>2.68</v>
      </c>
      <c r="F274" s="30">
        <f>Source!AL89+Source!AM89+Source!AO89</f>
        <v>419.87</v>
      </c>
      <c r="G274" s="31"/>
      <c r="H274" s="30"/>
      <c r="I274" s="31" t="str">
        <f>Source!BO89</f>
        <v/>
      </c>
      <c r="J274" s="31"/>
      <c r="K274" s="30"/>
      <c r="L274" s="32"/>
      <c r="S274">
        <f>ROUND((Source!FX89/100)*((ROUND(Source!AF89*Source!I89, 2)+ROUND(Source!AE89*Source!I89, 2))), 2)</f>
        <v>868.63</v>
      </c>
      <c r="T274">
        <f>Source!X89</f>
        <v>5859.35</v>
      </c>
      <c r="U274">
        <f>ROUND((Source!FY89/100)*((ROUND(Source!AF89*Source!I89, 2)+ROUND(Source!AE89*Source!I89, 2))), 2)</f>
        <v>429.72</v>
      </c>
      <c r="V274">
        <f>Source!Y89</f>
        <v>2898.84</v>
      </c>
    </row>
    <row r="275" spans="1:26" x14ac:dyDescent="0.2">
      <c r="C275" s="23" t="str">
        <f>"Объем: "&amp;Source!I89&amp;"=268/"&amp;"100"</f>
        <v>Объем: 2,68=268/100</v>
      </c>
    </row>
    <row r="276" spans="1:26" ht="14.25" x14ac:dyDescent="0.2">
      <c r="A276" s="45"/>
      <c r="B276" s="46"/>
      <c r="C276" s="46" t="s">
        <v>1167</v>
      </c>
      <c r="D276" s="29"/>
      <c r="E276" s="11"/>
      <c r="F276" s="30">
        <f>Source!AO89</f>
        <v>297.95999999999998</v>
      </c>
      <c r="G276" s="31" t="str">
        <f>Source!DG89</f>
        <v>)*1,15</v>
      </c>
      <c r="H276" s="30">
        <f>ROUND(Source!AF89*Source!I89, 2)</f>
        <v>918.3</v>
      </c>
      <c r="I276" s="31"/>
      <c r="J276" s="31">
        <f>IF(Source!BA89&lt;&gt; 0, Source!BA89, 1)</f>
        <v>6.71</v>
      </c>
      <c r="K276" s="30">
        <f>Source!S89</f>
        <v>6161.81</v>
      </c>
      <c r="L276" s="32"/>
      <c r="R276">
        <f>H276</f>
        <v>918.3</v>
      </c>
    </row>
    <row r="277" spans="1:26" ht="14.25" x14ac:dyDescent="0.2">
      <c r="A277" s="45"/>
      <c r="B277" s="46"/>
      <c r="C277" s="46" t="s">
        <v>382</v>
      </c>
      <c r="D277" s="29"/>
      <c r="E277" s="11"/>
      <c r="F277" s="30">
        <f>Source!AM89</f>
        <v>0.97</v>
      </c>
      <c r="G277" s="31" t="str">
        <f>Source!DE89</f>
        <v>)*1,25</v>
      </c>
      <c r="H277" s="30">
        <f>ROUND(Source!AD89*Source!I89, 2)</f>
        <v>3.27</v>
      </c>
      <c r="I277" s="31"/>
      <c r="J277" s="31">
        <f>IF(Source!BB89&lt;&gt; 0, Source!BB89, 1)</f>
        <v>6.71</v>
      </c>
      <c r="K277" s="30">
        <f>Source!Q89</f>
        <v>21.94</v>
      </c>
      <c r="L277" s="32"/>
    </row>
    <row r="278" spans="1:26" ht="14.25" x14ac:dyDescent="0.2">
      <c r="A278" s="45"/>
      <c r="B278" s="46"/>
      <c r="C278" s="46" t="s">
        <v>1168</v>
      </c>
      <c r="D278" s="29"/>
      <c r="E278" s="11"/>
      <c r="F278" s="30">
        <f>Source!AN89</f>
        <v>0.26</v>
      </c>
      <c r="G278" s="31" t="str">
        <f>Source!DF89</f>
        <v>)*1,25</v>
      </c>
      <c r="H278" s="33">
        <f>ROUND(Source!AE89*Source!I89, 2)</f>
        <v>0.88</v>
      </c>
      <c r="I278" s="31"/>
      <c r="J278" s="31">
        <f>IF(Source!BS89&lt;&gt; 0, Source!BS89, 1)</f>
        <v>6.71</v>
      </c>
      <c r="K278" s="33">
        <f>Source!R89</f>
        <v>5.93</v>
      </c>
      <c r="L278" s="32"/>
      <c r="R278">
        <f>H278</f>
        <v>0.88</v>
      </c>
    </row>
    <row r="279" spans="1:26" ht="14.25" x14ac:dyDescent="0.2">
      <c r="A279" s="45"/>
      <c r="B279" s="46"/>
      <c r="C279" s="46" t="s">
        <v>1174</v>
      </c>
      <c r="D279" s="29"/>
      <c r="E279" s="11"/>
      <c r="F279" s="30">
        <f>Source!AL89</f>
        <v>120.94</v>
      </c>
      <c r="G279" s="31" t="str">
        <f>Source!DD89</f>
        <v/>
      </c>
      <c r="H279" s="30">
        <f>ROUND(Source!AC89*Source!I89, 2)</f>
        <v>324.12</v>
      </c>
      <c r="I279" s="31"/>
      <c r="J279" s="31">
        <f>IF(Source!BC89&lt;&gt; 0, Source!BC89, 1)</f>
        <v>6.71</v>
      </c>
      <c r="K279" s="30">
        <f>Source!P89</f>
        <v>2174.84</v>
      </c>
      <c r="L279" s="32"/>
    </row>
    <row r="280" spans="1:26" ht="14.25" x14ac:dyDescent="0.2">
      <c r="A280" s="45"/>
      <c r="B280" s="46"/>
      <c r="C280" s="46" t="s">
        <v>1169</v>
      </c>
      <c r="D280" s="29" t="s">
        <v>1170</v>
      </c>
      <c r="E280" s="11">
        <f>Source!BZ89</f>
        <v>105</v>
      </c>
      <c r="F280" s="74" t="str">
        <f>CONCATENATE(" )", Source!DL89, Source!FT89, "=", Source!FX89)</f>
        <v xml:space="preserve"> )*0,9=94,5</v>
      </c>
      <c r="G280" s="75"/>
      <c r="H280" s="30">
        <f>SUM(S274:S284)</f>
        <v>868.63</v>
      </c>
      <c r="I280" s="34"/>
      <c r="J280" s="27">
        <f>Source!AT89</f>
        <v>95</v>
      </c>
      <c r="K280" s="30">
        <f>SUM(T274:T284)</f>
        <v>5859.35</v>
      </c>
      <c r="L280" s="32"/>
    </row>
    <row r="281" spans="1:26" ht="14.25" x14ac:dyDescent="0.2">
      <c r="A281" s="45"/>
      <c r="B281" s="46"/>
      <c r="C281" s="46" t="s">
        <v>1171</v>
      </c>
      <c r="D281" s="29" t="s">
        <v>1170</v>
      </c>
      <c r="E281" s="11">
        <f>Source!CA89</f>
        <v>55</v>
      </c>
      <c r="F281" s="74" t="str">
        <f>CONCATENATE(" )", Source!DM89, Source!FU89, "=", Source!FY89)</f>
        <v xml:space="preserve"> )*0,85=46,75</v>
      </c>
      <c r="G281" s="75"/>
      <c r="H281" s="30">
        <f>SUM(U274:U284)</f>
        <v>429.72</v>
      </c>
      <c r="I281" s="34"/>
      <c r="J281" s="27">
        <f>Source!AU89</f>
        <v>47</v>
      </c>
      <c r="K281" s="30">
        <f>SUM(V274:V284)</f>
        <v>2898.84</v>
      </c>
      <c r="L281" s="32"/>
    </row>
    <row r="282" spans="1:26" ht="14.25" x14ac:dyDescent="0.2">
      <c r="A282" s="45"/>
      <c r="B282" s="46"/>
      <c r="C282" s="46" t="s">
        <v>1172</v>
      </c>
      <c r="D282" s="29" t="s">
        <v>1173</v>
      </c>
      <c r="E282" s="11">
        <f>Source!AQ89</f>
        <v>33.630000000000003</v>
      </c>
      <c r="F282" s="30"/>
      <c r="G282" s="31" t="str">
        <f>Source!DI89</f>
        <v>)*1,15</v>
      </c>
      <c r="H282" s="30"/>
      <c r="I282" s="31"/>
      <c r="J282" s="31"/>
      <c r="K282" s="30"/>
      <c r="L282" s="41">
        <f>Source!U89</f>
        <v>103.64766000000002</v>
      </c>
    </row>
    <row r="283" spans="1:26" ht="14.25" x14ac:dyDescent="0.2">
      <c r="A283" s="45" t="str">
        <f>Source!E90</f>
        <v>24,1</v>
      </c>
      <c r="B283" s="46" t="str">
        <f>Source!F90</f>
        <v>01.6.02.01</v>
      </c>
      <c r="C283" s="46" t="str">
        <f>Source!G90</f>
        <v>Обои</v>
      </c>
      <c r="D283" s="29" t="str">
        <f>Source!H90</f>
        <v>100 м2</v>
      </c>
      <c r="E283" s="11">
        <f>Source!I90</f>
        <v>3.0284</v>
      </c>
      <c r="F283" s="30">
        <f>Source!AL90+Source!AM90+Source!AO90</f>
        <v>0</v>
      </c>
      <c r="G283" s="44" t="s">
        <v>6</v>
      </c>
      <c r="H283" s="30">
        <f>ROUND(Source!AC90*Source!I90, 2)+ROUND(Source!AD90*Source!I90, 2)+ROUND(Source!AF90*Source!I90, 2)</f>
        <v>0</v>
      </c>
      <c r="I283" s="31"/>
      <c r="J283" s="31">
        <f>IF(Source!BC90&lt;&gt; 0, Source!BC90, 1)</f>
        <v>6.71</v>
      </c>
      <c r="K283" s="30">
        <f>Source!O90</f>
        <v>0</v>
      </c>
      <c r="L283" s="32"/>
      <c r="S283">
        <f>ROUND((Source!FX90/100)*((ROUND(Source!AF90*Source!I90, 2)+ROUND(Source!AE90*Source!I90, 2))), 2)</f>
        <v>0</v>
      </c>
      <c r="T283">
        <f>Source!X90</f>
        <v>0</v>
      </c>
      <c r="U283">
        <f>ROUND((Source!FY90/100)*((ROUND(Source!AF90*Source!I90, 2)+ROUND(Source!AE90*Source!I90, 2))), 2)</f>
        <v>0</v>
      </c>
      <c r="V283">
        <f>Source!Y90</f>
        <v>0</v>
      </c>
      <c r="W283">
        <f>IF(Source!BI90&lt;=1,H283, 0)</f>
        <v>0</v>
      </c>
      <c r="X283">
        <f>IF(Source!BI90=2,H283, 0)</f>
        <v>0</v>
      </c>
      <c r="Y283">
        <f>IF(Source!BI90=3,H283, 0)</f>
        <v>0</v>
      </c>
      <c r="Z283">
        <f>IF(Source!BI90=4,H283, 0)</f>
        <v>0</v>
      </c>
    </row>
    <row r="284" spans="1:26" ht="28.5" x14ac:dyDescent="0.2">
      <c r="A284" s="47" t="str">
        <f>Source!E91</f>
        <v>24,2</v>
      </c>
      <c r="B284" s="48" t="str">
        <f>Source!F91</f>
        <v>01.6.02.02-0002</v>
      </c>
      <c r="C284" s="48" t="str">
        <f>Source!G91</f>
        <v>Стеклообои TASSOGLAS, елочка</v>
      </c>
      <c r="D284" s="35" t="str">
        <f>Source!H91</f>
        <v>10 м2</v>
      </c>
      <c r="E284" s="36">
        <f>Source!I91</f>
        <v>30.283999999999999</v>
      </c>
      <c r="F284" s="37">
        <f>Source!AL91+Source!AM91+Source!AO91</f>
        <v>110.35</v>
      </c>
      <c r="G284" s="42" t="s">
        <v>6</v>
      </c>
      <c r="H284" s="37">
        <f>ROUND(Source!AC91*Source!I91, 2)+ROUND(Source!AD91*Source!I91, 2)+ROUND(Source!AF91*Source!I91, 2)</f>
        <v>3341.84</v>
      </c>
      <c r="I284" s="38"/>
      <c r="J284" s="38">
        <f>IF(Source!BC91&lt;&gt; 0, Source!BC91, 1)</f>
        <v>6.71</v>
      </c>
      <c r="K284" s="37">
        <f>Source!O91</f>
        <v>22423.74</v>
      </c>
      <c r="L284" s="43"/>
      <c r="S284">
        <f>ROUND((Source!FX91/100)*((ROUND(Source!AF91*Source!I91, 2)+ROUND(Source!AE91*Source!I91, 2))), 2)</f>
        <v>0</v>
      </c>
      <c r="T284">
        <f>Source!X91</f>
        <v>0</v>
      </c>
      <c r="U284">
        <f>ROUND((Source!FY91/100)*((ROUND(Source!AF91*Source!I91, 2)+ROUND(Source!AE91*Source!I91, 2))), 2)</f>
        <v>0</v>
      </c>
      <c r="V284">
        <f>Source!Y91</f>
        <v>0</v>
      </c>
      <c r="W284">
        <f>IF(Source!BI91&lt;=1,H284, 0)</f>
        <v>3341.84</v>
      </c>
      <c r="X284">
        <f>IF(Source!BI91=2,H284, 0)</f>
        <v>0</v>
      </c>
      <c r="Y284">
        <f>IF(Source!BI91=3,H284, 0)</f>
        <v>0</v>
      </c>
      <c r="Z284">
        <f>IF(Source!BI91=4,H284, 0)</f>
        <v>0</v>
      </c>
    </row>
    <row r="285" spans="1:26" ht="15" x14ac:dyDescent="0.25">
      <c r="G285" s="72">
        <f>H276+H277+H279+H280+H281+SUM(H283:H284)</f>
        <v>5885.88</v>
      </c>
      <c r="H285" s="72"/>
      <c r="J285" s="72">
        <f>K276+K277+K279+K280+K281+SUM(K283:K284)</f>
        <v>39540.520000000004</v>
      </c>
      <c r="K285" s="72"/>
      <c r="L285" s="40">
        <f>Source!U89</f>
        <v>103.64766000000002</v>
      </c>
      <c r="O285" s="24">
        <f>G285</f>
        <v>5885.88</v>
      </c>
      <c r="P285" s="24">
        <f>J285</f>
        <v>39540.520000000004</v>
      </c>
      <c r="Q285" s="24">
        <f>L285</f>
        <v>103.64766000000002</v>
      </c>
      <c r="W285">
        <f>IF(Source!BI89&lt;=1,H276+H277+H279+H280+H281, 0)</f>
        <v>2544.04</v>
      </c>
      <c r="X285">
        <f>IF(Source!BI89=2,H276+H277+H279+H280+H281, 0)</f>
        <v>0</v>
      </c>
      <c r="Y285">
        <f>IF(Source!BI89=3,H276+H277+H279+H280+H281, 0)</f>
        <v>0</v>
      </c>
      <c r="Z285">
        <f>IF(Source!BI89=4,H276+H277+H279+H280+H281, 0)</f>
        <v>0</v>
      </c>
    </row>
    <row r="286" spans="1:26" ht="71.25" x14ac:dyDescent="0.2">
      <c r="A286" s="45" t="str">
        <f>Source!E92</f>
        <v>25</v>
      </c>
      <c r="B286" s="46" t="str">
        <f>Source!F92</f>
        <v>15-04-005-05</v>
      </c>
      <c r="C286" s="46" t="str">
        <f>Source!G92</f>
        <v>Окраска поливинилацетатными водоэмульсионными составами улучшенная по сборным конструкциям стен, подготовленным под окраску(обои)</v>
      </c>
      <c r="D286" s="29" t="str">
        <f>Source!H92</f>
        <v>100 м2</v>
      </c>
      <c r="E286" s="11">
        <f>Source!I92</f>
        <v>2.68</v>
      </c>
      <c r="F286" s="30">
        <f>Source!AL92+Source!AM92+Source!AO92</f>
        <v>317.59000000000003</v>
      </c>
      <c r="G286" s="31"/>
      <c r="H286" s="30"/>
      <c r="I286" s="31" t="str">
        <f>Source!BO92</f>
        <v/>
      </c>
      <c r="J286" s="31"/>
      <c r="K286" s="30"/>
      <c r="L286" s="32"/>
      <c r="S286">
        <f>ROUND((Source!FX92/100)*((ROUND(Source!AF92*Source!I92, 2)+ROUND(Source!AE92*Source!I92, 2))), 2)</f>
        <v>580.54</v>
      </c>
      <c r="T286">
        <f>Source!X92</f>
        <v>3916.09</v>
      </c>
      <c r="U286">
        <f>ROUND((Source!FY92/100)*((ROUND(Source!AF92*Source!I92, 2)+ROUND(Source!AE92*Source!I92, 2))), 2)</f>
        <v>287.2</v>
      </c>
      <c r="V286">
        <f>Source!Y92</f>
        <v>1937.43</v>
      </c>
    </row>
    <row r="287" spans="1:26" x14ac:dyDescent="0.2">
      <c r="C287" s="23" t="str">
        <f>"Объем: "&amp;Source!I92&amp;"=268/"&amp;"100"</f>
        <v>Объем: 2,68=268/100</v>
      </c>
    </row>
    <row r="288" spans="1:26" ht="14.25" x14ac:dyDescent="0.2">
      <c r="A288" s="45"/>
      <c r="B288" s="46"/>
      <c r="C288" s="46" t="s">
        <v>1167</v>
      </c>
      <c r="D288" s="29"/>
      <c r="E288" s="11"/>
      <c r="F288" s="30">
        <f>Source!AO92</f>
        <v>227.93</v>
      </c>
      <c r="G288" s="31" t="str">
        <f>Source!DG92</f>
        <v/>
      </c>
      <c r="H288" s="30">
        <f>ROUND(Source!AF92*Source!I92, 2)</f>
        <v>610.85</v>
      </c>
      <c r="I288" s="31"/>
      <c r="J288" s="31">
        <f>IF(Source!BA92&lt;&gt; 0, Source!BA92, 1)</f>
        <v>6.71</v>
      </c>
      <c r="K288" s="30">
        <f>Source!S92</f>
        <v>4098.82</v>
      </c>
      <c r="L288" s="32"/>
      <c r="R288">
        <f>H288</f>
        <v>610.85</v>
      </c>
    </row>
    <row r="289" spans="1:26" ht="14.25" x14ac:dyDescent="0.2">
      <c r="A289" s="45"/>
      <c r="B289" s="46"/>
      <c r="C289" s="46" t="s">
        <v>382</v>
      </c>
      <c r="D289" s="29"/>
      <c r="E289" s="11"/>
      <c r="F289" s="30">
        <f>Source!AM92</f>
        <v>6.88</v>
      </c>
      <c r="G289" s="31" t="str">
        <f>Source!DE92</f>
        <v/>
      </c>
      <c r="H289" s="30">
        <f>ROUND(Source!AD92*Source!I92, 2)</f>
        <v>18.440000000000001</v>
      </c>
      <c r="I289" s="31"/>
      <c r="J289" s="31">
        <f>IF(Source!BB92&lt;&gt; 0, Source!BB92, 1)</f>
        <v>6.71</v>
      </c>
      <c r="K289" s="30">
        <f>Source!Q92</f>
        <v>123.72</v>
      </c>
      <c r="L289" s="32"/>
    </row>
    <row r="290" spans="1:26" ht="14.25" x14ac:dyDescent="0.2">
      <c r="A290" s="45"/>
      <c r="B290" s="46"/>
      <c r="C290" s="46" t="s">
        <v>1168</v>
      </c>
      <c r="D290" s="29"/>
      <c r="E290" s="11"/>
      <c r="F290" s="30">
        <f>Source!AN92</f>
        <v>1.3</v>
      </c>
      <c r="G290" s="31" t="str">
        <f>Source!DF92</f>
        <v/>
      </c>
      <c r="H290" s="33">
        <f>ROUND(Source!AE92*Source!I92, 2)</f>
        <v>3.48</v>
      </c>
      <c r="I290" s="31"/>
      <c r="J290" s="31">
        <f>IF(Source!BS92&lt;&gt; 0, Source!BS92, 1)</f>
        <v>6.71</v>
      </c>
      <c r="K290" s="33">
        <f>Source!R92</f>
        <v>23.38</v>
      </c>
      <c r="L290" s="32"/>
      <c r="R290">
        <f>H290</f>
        <v>3.48</v>
      </c>
    </row>
    <row r="291" spans="1:26" ht="14.25" x14ac:dyDescent="0.2">
      <c r="A291" s="45"/>
      <c r="B291" s="46"/>
      <c r="C291" s="46" t="s">
        <v>1174</v>
      </c>
      <c r="D291" s="29"/>
      <c r="E291" s="11"/>
      <c r="F291" s="30">
        <f>Source!AL92</f>
        <v>82.78</v>
      </c>
      <c r="G291" s="31" t="str">
        <f>Source!DD92</f>
        <v/>
      </c>
      <c r="H291" s="30">
        <f>ROUND(Source!AC92*Source!I92, 2)</f>
        <v>221.85</v>
      </c>
      <c r="I291" s="31"/>
      <c r="J291" s="31">
        <f>IF(Source!BC92&lt;&gt; 0, Source!BC92, 1)</f>
        <v>6.71</v>
      </c>
      <c r="K291" s="30">
        <f>Source!P92</f>
        <v>1488.62</v>
      </c>
      <c r="L291" s="32"/>
    </row>
    <row r="292" spans="1:26" ht="14.25" x14ac:dyDescent="0.2">
      <c r="A292" s="45"/>
      <c r="B292" s="46"/>
      <c r="C292" s="46" t="s">
        <v>1169</v>
      </c>
      <c r="D292" s="29" t="s">
        <v>1170</v>
      </c>
      <c r="E292" s="11">
        <f>Source!BZ92</f>
        <v>105</v>
      </c>
      <c r="F292" s="74" t="str">
        <f>CONCATENATE(" )", Source!DL92, Source!FT92, "=", Source!FX92)</f>
        <v xml:space="preserve"> )*0,9=94,5</v>
      </c>
      <c r="G292" s="75"/>
      <c r="H292" s="30">
        <f>SUM(S286:S296)</f>
        <v>580.54</v>
      </c>
      <c r="I292" s="34"/>
      <c r="J292" s="27">
        <f>Source!AT92</f>
        <v>95</v>
      </c>
      <c r="K292" s="30">
        <f>SUM(T286:T296)</f>
        <v>3916.09</v>
      </c>
      <c r="L292" s="32"/>
    </row>
    <row r="293" spans="1:26" ht="14.25" x14ac:dyDescent="0.2">
      <c r="A293" s="45"/>
      <c r="B293" s="46"/>
      <c r="C293" s="46" t="s">
        <v>1171</v>
      </c>
      <c r="D293" s="29" t="s">
        <v>1170</v>
      </c>
      <c r="E293" s="11">
        <f>Source!CA92</f>
        <v>55</v>
      </c>
      <c r="F293" s="74" t="str">
        <f>CONCATENATE(" )", Source!DM92, Source!FU92, "=", Source!FY92)</f>
        <v xml:space="preserve"> )*0,85=46,75</v>
      </c>
      <c r="G293" s="75"/>
      <c r="H293" s="30">
        <f>SUM(U286:U296)</f>
        <v>287.2</v>
      </c>
      <c r="I293" s="34"/>
      <c r="J293" s="27">
        <f>Source!AU92</f>
        <v>47</v>
      </c>
      <c r="K293" s="30">
        <f>SUM(V286:V296)</f>
        <v>1937.43</v>
      </c>
      <c r="L293" s="32"/>
    </row>
    <row r="294" spans="1:26" ht="14.25" x14ac:dyDescent="0.2">
      <c r="A294" s="45"/>
      <c r="B294" s="46"/>
      <c r="C294" s="46" t="s">
        <v>1172</v>
      </c>
      <c r="D294" s="29" t="s">
        <v>1173</v>
      </c>
      <c r="E294" s="11">
        <f>Source!AQ92</f>
        <v>25.41</v>
      </c>
      <c r="F294" s="30"/>
      <c r="G294" s="31" t="str">
        <f>Source!DI92</f>
        <v/>
      </c>
      <c r="H294" s="30"/>
      <c r="I294" s="31"/>
      <c r="J294" s="31"/>
      <c r="K294" s="30"/>
      <c r="L294" s="41">
        <f>Source!U92</f>
        <v>68.098800000000011</v>
      </c>
    </row>
    <row r="295" spans="1:26" ht="14.25" x14ac:dyDescent="0.2">
      <c r="A295" s="45" t="str">
        <f>Source!E93</f>
        <v>25,1</v>
      </c>
      <c r="B295" s="46" t="str">
        <f>Source!F93</f>
        <v>14.3.02.01</v>
      </c>
      <c r="C295" s="46" t="str">
        <f>Source!G93</f>
        <v>Краска водоэмульсионная</v>
      </c>
      <c r="D295" s="29" t="str">
        <f>Source!H93</f>
        <v>т</v>
      </c>
      <c r="E295" s="11">
        <f>Source!I93</f>
        <v>0.16883999999999996</v>
      </c>
      <c r="F295" s="30">
        <f>Source!AL93+Source!AM93+Source!AO93</f>
        <v>0</v>
      </c>
      <c r="G295" s="44" t="s">
        <v>6</v>
      </c>
      <c r="H295" s="30">
        <f>ROUND(Source!AC93*Source!I93, 2)+ROUND(Source!AD93*Source!I93, 2)+ROUND(Source!AF93*Source!I93, 2)</f>
        <v>0</v>
      </c>
      <c r="I295" s="31"/>
      <c r="J295" s="31">
        <f>IF(Source!BC93&lt;&gt; 0, Source!BC93, 1)</f>
        <v>6.71</v>
      </c>
      <c r="K295" s="30">
        <f>Source!O93</f>
        <v>0</v>
      </c>
      <c r="L295" s="32"/>
      <c r="S295">
        <f>ROUND((Source!FX93/100)*((ROUND(Source!AF93*Source!I93, 2)+ROUND(Source!AE93*Source!I93, 2))), 2)</f>
        <v>0</v>
      </c>
      <c r="T295">
        <f>Source!X93</f>
        <v>0</v>
      </c>
      <c r="U295">
        <f>ROUND((Source!FY93/100)*((ROUND(Source!AF93*Source!I93, 2)+ROUND(Source!AE93*Source!I93, 2))), 2)</f>
        <v>0</v>
      </c>
      <c r="V295">
        <f>Source!Y93</f>
        <v>0</v>
      </c>
      <c r="W295">
        <f>IF(Source!BI93&lt;=1,H295, 0)</f>
        <v>0</v>
      </c>
      <c r="X295">
        <f>IF(Source!BI93=2,H295, 0)</f>
        <v>0</v>
      </c>
      <c r="Y295">
        <f>IF(Source!BI93=3,H295, 0)</f>
        <v>0</v>
      </c>
      <c r="Z295">
        <f>IF(Source!BI93=4,H295, 0)</f>
        <v>0</v>
      </c>
    </row>
    <row r="296" spans="1:26" ht="28.5" x14ac:dyDescent="0.2">
      <c r="A296" s="47" t="str">
        <f>Source!E94</f>
        <v>25,2</v>
      </c>
      <c r="B296" s="48" t="str">
        <f>Source!F94</f>
        <v>14.3.02.01-0223</v>
      </c>
      <c r="C296" s="48" t="str">
        <f>Source!G94</f>
        <v>Краска водоэмульсионная для внутренних работ ВАК-15</v>
      </c>
      <c r="D296" s="35" t="str">
        <f>Source!H94</f>
        <v>т</v>
      </c>
      <c r="E296" s="36">
        <f>Source!I94</f>
        <v>0.16883999999999996</v>
      </c>
      <c r="F296" s="37">
        <f>Source!AL94+Source!AM94+Source!AO94</f>
        <v>19973.669999999998</v>
      </c>
      <c r="G296" s="42" t="s">
        <v>6</v>
      </c>
      <c r="H296" s="37">
        <f>ROUND(Source!AC94*Source!I94, 2)+ROUND(Source!AD94*Source!I94, 2)+ROUND(Source!AF94*Source!I94, 2)</f>
        <v>3372.35</v>
      </c>
      <c r="I296" s="38"/>
      <c r="J296" s="38">
        <f>IF(Source!BC94&lt;&gt; 0, Source!BC94, 1)</f>
        <v>6.71</v>
      </c>
      <c r="K296" s="37">
        <f>Source!O94</f>
        <v>22628.5</v>
      </c>
      <c r="L296" s="43"/>
      <c r="S296">
        <f>ROUND((Source!FX94/100)*((ROUND(Source!AF94*Source!I94, 2)+ROUND(Source!AE94*Source!I94, 2))), 2)</f>
        <v>0</v>
      </c>
      <c r="T296">
        <f>Source!X94</f>
        <v>0</v>
      </c>
      <c r="U296">
        <f>ROUND((Source!FY94/100)*((ROUND(Source!AF94*Source!I94, 2)+ROUND(Source!AE94*Source!I94, 2))), 2)</f>
        <v>0</v>
      </c>
      <c r="V296">
        <f>Source!Y94</f>
        <v>0</v>
      </c>
      <c r="W296">
        <f>IF(Source!BI94&lt;=1,H296, 0)</f>
        <v>3372.35</v>
      </c>
      <c r="X296">
        <f>IF(Source!BI94=2,H296, 0)</f>
        <v>0</v>
      </c>
      <c r="Y296">
        <f>IF(Source!BI94=3,H296, 0)</f>
        <v>0</v>
      </c>
      <c r="Z296">
        <f>IF(Source!BI94=4,H296, 0)</f>
        <v>0</v>
      </c>
    </row>
    <row r="297" spans="1:26" ht="15" x14ac:dyDescent="0.25">
      <c r="G297" s="72">
        <f>H288+H289+H291+H292+H293+SUM(H295:H296)</f>
        <v>5091.2299999999996</v>
      </c>
      <c r="H297" s="72"/>
      <c r="J297" s="72">
        <f>K288+K289+K291+K292+K293+SUM(K295:K296)</f>
        <v>34193.18</v>
      </c>
      <c r="K297" s="72"/>
      <c r="L297" s="40">
        <f>Source!U92</f>
        <v>68.098800000000011</v>
      </c>
      <c r="O297" s="24">
        <f>G297</f>
        <v>5091.2299999999996</v>
      </c>
      <c r="P297" s="24">
        <f>J297</f>
        <v>34193.18</v>
      </c>
      <c r="Q297" s="24">
        <f>L297</f>
        <v>68.098800000000011</v>
      </c>
      <c r="W297">
        <f>IF(Source!BI92&lt;=1,H288+H289+H291+H292+H293, 0)</f>
        <v>1718.88</v>
      </c>
      <c r="X297">
        <f>IF(Source!BI92=2,H288+H289+H291+H292+H293, 0)</f>
        <v>0</v>
      </c>
      <c r="Y297">
        <f>IF(Source!BI92=3,H288+H289+H291+H292+H293, 0)</f>
        <v>0</v>
      </c>
      <c r="Z297">
        <f>IF(Source!BI92=4,H288+H289+H291+H292+H293, 0)</f>
        <v>0</v>
      </c>
    </row>
    <row r="298" spans="1:26" ht="28.5" x14ac:dyDescent="0.2">
      <c r="A298" s="45" t="str">
        <f>Source!E95</f>
        <v>26</v>
      </c>
      <c r="B298" s="46" t="str">
        <f>Source!F95</f>
        <v>15-06-004-01</v>
      </c>
      <c r="C298" s="46" t="str">
        <f>Source!G95</f>
        <v>Вторая окраска стен, оклееных стеклообоями, красками</v>
      </c>
      <c r="D298" s="29" t="str">
        <f>Source!H95</f>
        <v>100 м2</v>
      </c>
      <c r="E298" s="11">
        <f>Source!I95</f>
        <v>2.68</v>
      </c>
      <c r="F298" s="30">
        <f>Source!AL95+Source!AM95+Source!AO95</f>
        <v>80.62</v>
      </c>
      <c r="G298" s="31"/>
      <c r="H298" s="30"/>
      <c r="I298" s="31" t="str">
        <f>Source!BO95</f>
        <v/>
      </c>
      <c r="J298" s="31"/>
      <c r="K298" s="30"/>
      <c r="L298" s="32"/>
      <c r="S298">
        <f>ROUND((Source!FX95/100)*((ROUND(Source!AF95*Source!I95, 2)+ROUND(Source!AE95*Source!I95, 2))), 2)</f>
        <v>204.18</v>
      </c>
      <c r="T298">
        <f>Source!X95</f>
        <v>1377.28</v>
      </c>
      <c r="U298">
        <f>ROUND((Source!FY95/100)*((ROUND(Source!AF95*Source!I95, 2)+ROUND(Source!AE95*Source!I95, 2))), 2)</f>
        <v>101.01</v>
      </c>
      <c r="V298">
        <f>Source!Y95</f>
        <v>681.39</v>
      </c>
    </row>
    <row r="299" spans="1:26" x14ac:dyDescent="0.2">
      <c r="C299" s="23" t="str">
        <f>"Объем: "&amp;Source!I95&amp;"=268/"&amp;"100"</f>
        <v>Объем: 2,68=268/100</v>
      </c>
    </row>
    <row r="300" spans="1:26" ht="14.25" x14ac:dyDescent="0.2">
      <c r="A300" s="45"/>
      <c r="B300" s="46"/>
      <c r="C300" s="46" t="s">
        <v>1167</v>
      </c>
      <c r="D300" s="29"/>
      <c r="E300" s="11"/>
      <c r="F300" s="30">
        <f>Source!AO95</f>
        <v>80.62</v>
      </c>
      <c r="G300" s="31" t="str">
        <f>Source!DG95</f>
        <v/>
      </c>
      <c r="H300" s="30">
        <f>ROUND(Source!AF95*Source!I95, 2)</f>
        <v>216.06</v>
      </c>
      <c r="I300" s="31"/>
      <c r="J300" s="31">
        <f>IF(Source!BA95&lt;&gt; 0, Source!BA95, 1)</f>
        <v>6.71</v>
      </c>
      <c r="K300" s="30">
        <f>Source!S95</f>
        <v>1449.77</v>
      </c>
      <c r="L300" s="32"/>
      <c r="R300">
        <f>H300</f>
        <v>216.06</v>
      </c>
    </row>
    <row r="301" spans="1:26" ht="14.25" x14ac:dyDescent="0.2">
      <c r="A301" s="45"/>
      <c r="B301" s="46"/>
      <c r="C301" s="46" t="s">
        <v>1169</v>
      </c>
      <c r="D301" s="29" t="s">
        <v>1170</v>
      </c>
      <c r="E301" s="11">
        <f>Source!BZ95</f>
        <v>105</v>
      </c>
      <c r="F301" s="74" t="str">
        <f>CONCATENATE(" )", Source!DL95, Source!FT95, "=", Source!FX95)</f>
        <v xml:space="preserve"> )*0,9=94,5</v>
      </c>
      <c r="G301" s="75"/>
      <c r="H301" s="30">
        <f>SUM(S298:S305)</f>
        <v>204.18</v>
      </c>
      <c r="I301" s="34"/>
      <c r="J301" s="27">
        <f>Source!AT95</f>
        <v>95</v>
      </c>
      <c r="K301" s="30">
        <f>SUM(T298:T305)</f>
        <v>1377.28</v>
      </c>
      <c r="L301" s="32"/>
    </row>
    <row r="302" spans="1:26" ht="14.25" x14ac:dyDescent="0.2">
      <c r="A302" s="45"/>
      <c r="B302" s="46"/>
      <c r="C302" s="46" t="s">
        <v>1171</v>
      </c>
      <c r="D302" s="29" t="s">
        <v>1170</v>
      </c>
      <c r="E302" s="11">
        <f>Source!CA95</f>
        <v>55</v>
      </c>
      <c r="F302" s="74" t="str">
        <f>CONCATENATE(" )", Source!DM95, Source!FU95, "=", Source!FY95)</f>
        <v xml:space="preserve"> )*0,85=46,75</v>
      </c>
      <c r="G302" s="75"/>
      <c r="H302" s="30">
        <f>SUM(U298:U305)</f>
        <v>101.01</v>
      </c>
      <c r="I302" s="34"/>
      <c r="J302" s="27">
        <f>Source!AU95</f>
        <v>47</v>
      </c>
      <c r="K302" s="30">
        <f>SUM(V298:V305)</f>
        <v>681.39</v>
      </c>
      <c r="L302" s="32"/>
    </row>
    <row r="303" spans="1:26" ht="14.25" x14ac:dyDescent="0.2">
      <c r="A303" s="45"/>
      <c r="B303" s="46"/>
      <c r="C303" s="46" t="s">
        <v>1172</v>
      </c>
      <c r="D303" s="29" t="s">
        <v>1173</v>
      </c>
      <c r="E303" s="11">
        <f>Source!AQ95</f>
        <v>8.3800000000000008</v>
      </c>
      <c r="F303" s="30"/>
      <c r="G303" s="31" t="str">
        <f>Source!DI95</f>
        <v/>
      </c>
      <c r="H303" s="30"/>
      <c r="I303" s="31"/>
      <c r="J303" s="31"/>
      <c r="K303" s="30"/>
      <c r="L303" s="41">
        <f>Source!U95</f>
        <v>22.458400000000005</v>
      </c>
    </row>
    <row r="304" spans="1:26" ht="28.5" x14ac:dyDescent="0.2">
      <c r="A304" s="45" t="str">
        <f>Source!E96</f>
        <v>26,1</v>
      </c>
      <c r="B304" s="46" t="str">
        <f>Source!F96</f>
        <v>14.3.02.01-0223</v>
      </c>
      <c r="C304" s="46" t="str">
        <f>Source!G96</f>
        <v>Краска водоэмульсионная для внутренних работ ВАК-15</v>
      </c>
      <c r="D304" s="29" t="str">
        <f>Source!H96</f>
        <v>т</v>
      </c>
      <c r="E304" s="11">
        <f>Source!I96</f>
        <v>4.2880000000000001E-2</v>
      </c>
      <c r="F304" s="30">
        <f>Source!AL96+Source!AM96+Source!AO96</f>
        <v>19973.669999999998</v>
      </c>
      <c r="G304" s="44" t="s">
        <v>6</v>
      </c>
      <c r="H304" s="30">
        <f>ROUND(Source!AC96*Source!I96, 2)+ROUND(Source!AD96*Source!I96, 2)+ROUND(Source!AF96*Source!I96, 2)</f>
        <v>856.47</v>
      </c>
      <c r="I304" s="31"/>
      <c r="J304" s="31">
        <f>IF(Source!BC96&lt;&gt; 0, Source!BC96, 1)</f>
        <v>6.71</v>
      </c>
      <c r="K304" s="30">
        <f>Source!O96</f>
        <v>5746.92</v>
      </c>
      <c r="L304" s="32"/>
      <c r="S304">
        <f>ROUND((Source!FX96/100)*((ROUND(Source!AF96*Source!I96, 2)+ROUND(Source!AE96*Source!I96, 2))), 2)</f>
        <v>0</v>
      </c>
      <c r="T304">
        <f>Source!X96</f>
        <v>0</v>
      </c>
      <c r="U304">
        <f>ROUND((Source!FY96/100)*((ROUND(Source!AF96*Source!I96, 2)+ROUND(Source!AE96*Source!I96, 2))), 2)</f>
        <v>0</v>
      </c>
      <c r="V304">
        <f>Source!Y96</f>
        <v>0</v>
      </c>
      <c r="W304">
        <f>IF(Source!BI96&lt;=1,H304, 0)</f>
        <v>856.47</v>
      </c>
      <c r="X304">
        <f>IF(Source!BI96=2,H304, 0)</f>
        <v>0</v>
      </c>
      <c r="Y304">
        <f>IF(Source!BI96=3,H304, 0)</f>
        <v>0</v>
      </c>
      <c r="Z304">
        <f>IF(Source!BI96=4,H304, 0)</f>
        <v>0</v>
      </c>
    </row>
    <row r="305" spans="1:26" ht="14.25" x14ac:dyDescent="0.2">
      <c r="A305" s="47" t="str">
        <f>Source!E97</f>
        <v>26,2</v>
      </c>
      <c r="B305" s="48" t="str">
        <f>Source!F97</f>
        <v>14.4.02.09</v>
      </c>
      <c r="C305" s="48" t="str">
        <f>Source!G97</f>
        <v>Краска</v>
      </c>
      <c r="D305" s="35" t="str">
        <f>Source!H97</f>
        <v>т</v>
      </c>
      <c r="E305" s="36">
        <f>Source!I97</f>
        <v>4.2880000000000001E-2</v>
      </c>
      <c r="F305" s="37">
        <f>Source!AL97+Source!AM97+Source!AO97</f>
        <v>0</v>
      </c>
      <c r="G305" s="42" t="s">
        <v>6</v>
      </c>
      <c r="H305" s="37">
        <f>ROUND(Source!AC97*Source!I97, 2)+ROUND(Source!AD97*Source!I97, 2)+ROUND(Source!AF97*Source!I97, 2)</f>
        <v>0</v>
      </c>
      <c r="I305" s="38"/>
      <c r="J305" s="38">
        <f>IF(Source!BC97&lt;&gt; 0, Source!BC97, 1)</f>
        <v>6.71</v>
      </c>
      <c r="K305" s="37">
        <f>Source!O97</f>
        <v>0</v>
      </c>
      <c r="L305" s="43"/>
      <c r="S305">
        <f>ROUND((Source!FX97/100)*((ROUND(Source!AF97*Source!I97, 2)+ROUND(Source!AE97*Source!I97, 2))), 2)</f>
        <v>0</v>
      </c>
      <c r="T305">
        <f>Source!X97</f>
        <v>0</v>
      </c>
      <c r="U305">
        <f>ROUND((Source!FY97/100)*((ROUND(Source!AF97*Source!I97, 2)+ROUND(Source!AE97*Source!I97, 2))), 2)</f>
        <v>0</v>
      </c>
      <c r="V305">
        <f>Source!Y97</f>
        <v>0</v>
      </c>
      <c r="W305">
        <f>IF(Source!BI97&lt;=1,H305, 0)</f>
        <v>0</v>
      </c>
      <c r="X305">
        <f>IF(Source!BI97=2,H305, 0)</f>
        <v>0</v>
      </c>
      <c r="Y305">
        <f>IF(Source!BI97=3,H305, 0)</f>
        <v>0</v>
      </c>
      <c r="Z305">
        <f>IF(Source!BI97=4,H305, 0)</f>
        <v>0</v>
      </c>
    </row>
    <row r="306" spans="1:26" ht="15" x14ac:dyDescent="0.25">
      <c r="G306" s="72">
        <f>H300+H301+H302+SUM(H304:H305)</f>
        <v>1377.72</v>
      </c>
      <c r="H306" s="72"/>
      <c r="J306" s="72">
        <f>K300+K301+K302+SUM(K304:K305)</f>
        <v>9255.36</v>
      </c>
      <c r="K306" s="72"/>
      <c r="L306" s="40">
        <f>Source!U95</f>
        <v>22.458400000000005</v>
      </c>
      <c r="O306" s="24">
        <f>G306</f>
        <v>1377.72</v>
      </c>
      <c r="P306" s="24">
        <f>J306</f>
        <v>9255.36</v>
      </c>
      <c r="Q306" s="24">
        <f>L306</f>
        <v>22.458400000000005</v>
      </c>
      <c r="W306">
        <f>IF(Source!BI95&lt;=1,H300+H301+H302, 0)</f>
        <v>521.25</v>
      </c>
      <c r="X306">
        <f>IF(Source!BI95=2,H300+H301+H302, 0)</f>
        <v>0</v>
      </c>
      <c r="Y306">
        <f>IF(Source!BI95=3,H300+H301+H302, 0)</f>
        <v>0</v>
      </c>
      <c r="Z306">
        <f>IF(Source!BI95=4,H300+H301+H302, 0)</f>
        <v>0</v>
      </c>
    </row>
    <row r="307" spans="1:26" ht="57" x14ac:dyDescent="0.2">
      <c r="A307" s="45" t="str">
        <f>Source!E98</f>
        <v>27</v>
      </c>
      <c r="B307" s="46" t="str">
        <f>Source!F98</f>
        <v>15-04-005-03</v>
      </c>
      <c r="C307" s="46" t="str">
        <f>Source!G98</f>
        <v>Окраска поливинилацетатными водоэмульсионными составами улучшенная по штукатурке стен  ( оконных откосов)</v>
      </c>
      <c r="D307" s="29" t="str">
        <f>Source!H98</f>
        <v>100 м2</v>
      </c>
      <c r="E307" s="11">
        <f>Source!I98</f>
        <v>0.10725</v>
      </c>
      <c r="F307" s="30">
        <f>Source!AL98+Source!AM98+Source!AO98</f>
        <v>675.6</v>
      </c>
      <c r="G307" s="31"/>
      <c r="H307" s="30"/>
      <c r="I307" s="31" t="str">
        <f>Source!BO98</f>
        <v/>
      </c>
      <c r="J307" s="31"/>
      <c r="K307" s="30"/>
      <c r="L307" s="32"/>
      <c r="S307">
        <f>ROUND((Source!FX98/100)*((ROUND(Source!AF98*Source!I98, 2)+ROUND(Source!AE98*Source!I98, 2))), 2)</f>
        <v>45.1</v>
      </c>
      <c r="T307">
        <f>Source!X98</f>
        <v>304.27</v>
      </c>
      <c r="U307">
        <f>ROUND((Source!FY98/100)*((ROUND(Source!AF98*Source!I98, 2)+ROUND(Source!AE98*Source!I98, 2))), 2)</f>
        <v>22.31</v>
      </c>
      <c r="V307">
        <f>Source!Y98</f>
        <v>150.53</v>
      </c>
    </row>
    <row r="308" spans="1:26" x14ac:dyDescent="0.2">
      <c r="C308" s="23" t="str">
        <f>"Объем: "&amp;Source!I98&amp;"=10,725/"&amp;"100"</f>
        <v>Объем: 0,10725=10,725/100</v>
      </c>
    </row>
    <row r="309" spans="1:26" ht="14.25" x14ac:dyDescent="0.2">
      <c r="A309" s="45"/>
      <c r="B309" s="46"/>
      <c r="C309" s="46" t="s">
        <v>1167</v>
      </c>
      <c r="D309" s="29"/>
      <c r="E309" s="11"/>
      <c r="F309" s="30">
        <f>Source!AO98</f>
        <v>384.81</v>
      </c>
      <c r="G309" s="31" t="str">
        <f>Source!DG98</f>
        <v>)*1,15</v>
      </c>
      <c r="H309" s="30">
        <f>ROUND(Source!AF98*Source!I98, 2)</f>
        <v>47.46</v>
      </c>
      <c r="I309" s="31"/>
      <c r="J309" s="31">
        <f>IF(Source!BA98&lt;&gt; 0, Source!BA98, 1)</f>
        <v>6.71</v>
      </c>
      <c r="K309" s="30">
        <f>Source!S98</f>
        <v>318.47000000000003</v>
      </c>
      <c r="L309" s="32"/>
      <c r="R309">
        <f>H309</f>
        <v>47.46</v>
      </c>
    </row>
    <row r="310" spans="1:26" ht="14.25" x14ac:dyDescent="0.2">
      <c r="A310" s="45"/>
      <c r="B310" s="46"/>
      <c r="C310" s="46" t="s">
        <v>382</v>
      </c>
      <c r="D310" s="29"/>
      <c r="E310" s="11"/>
      <c r="F310" s="30">
        <f>Source!AM98</f>
        <v>10.49</v>
      </c>
      <c r="G310" s="31" t="str">
        <f>Source!DE98</f>
        <v>)*1,25</v>
      </c>
      <c r="H310" s="30">
        <f>ROUND(Source!AD98*Source!I98, 2)</f>
        <v>1.41</v>
      </c>
      <c r="I310" s="31"/>
      <c r="J310" s="31">
        <f>IF(Source!BB98&lt;&gt; 0, Source!BB98, 1)</f>
        <v>6.71</v>
      </c>
      <c r="K310" s="30">
        <f>Source!Q98</f>
        <v>9.43</v>
      </c>
      <c r="L310" s="32"/>
    </row>
    <row r="311" spans="1:26" ht="14.25" x14ac:dyDescent="0.2">
      <c r="A311" s="45"/>
      <c r="B311" s="46"/>
      <c r="C311" s="46" t="s">
        <v>1168</v>
      </c>
      <c r="D311" s="29"/>
      <c r="E311" s="11"/>
      <c r="F311" s="30">
        <f>Source!AN98</f>
        <v>2.0099999999999998</v>
      </c>
      <c r="G311" s="31" t="str">
        <f>Source!DF98</f>
        <v>)*1,25</v>
      </c>
      <c r="H311" s="33">
        <f>ROUND(Source!AE98*Source!I98, 2)</f>
        <v>0.27</v>
      </c>
      <c r="I311" s="31"/>
      <c r="J311" s="31">
        <f>IF(Source!BS98&lt;&gt; 0, Source!BS98, 1)</f>
        <v>6.71</v>
      </c>
      <c r="K311" s="33">
        <f>Source!R98</f>
        <v>1.81</v>
      </c>
      <c r="L311" s="32"/>
      <c r="R311">
        <f>H311</f>
        <v>0.27</v>
      </c>
    </row>
    <row r="312" spans="1:26" ht="14.25" x14ac:dyDescent="0.2">
      <c r="A312" s="45"/>
      <c r="B312" s="46"/>
      <c r="C312" s="46" t="s">
        <v>1174</v>
      </c>
      <c r="D312" s="29"/>
      <c r="E312" s="11"/>
      <c r="F312" s="30">
        <f>Source!AL98</f>
        <v>280.3</v>
      </c>
      <c r="G312" s="31" t="str">
        <f>Source!DD98</f>
        <v/>
      </c>
      <c r="H312" s="30">
        <f>ROUND(Source!AC98*Source!I98, 2)</f>
        <v>30.06</v>
      </c>
      <c r="I312" s="31"/>
      <c r="J312" s="31">
        <f>IF(Source!BC98&lt;&gt; 0, Source!BC98, 1)</f>
        <v>6.71</v>
      </c>
      <c r="K312" s="30">
        <f>Source!P98</f>
        <v>201.72</v>
      </c>
      <c r="L312" s="32"/>
    </row>
    <row r="313" spans="1:26" ht="14.25" x14ac:dyDescent="0.2">
      <c r="A313" s="45"/>
      <c r="B313" s="46"/>
      <c r="C313" s="46" t="s">
        <v>1169</v>
      </c>
      <c r="D313" s="29" t="s">
        <v>1170</v>
      </c>
      <c r="E313" s="11">
        <f>Source!BZ98</f>
        <v>105</v>
      </c>
      <c r="F313" s="74" t="str">
        <f>CONCATENATE(" )", Source!DL98, Source!FT98, "=", Source!FX98)</f>
        <v xml:space="preserve"> )*0,9=94,5</v>
      </c>
      <c r="G313" s="75"/>
      <c r="H313" s="30">
        <f>SUM(S307:S317)</f>
        <v>45.1</v>
      </c>
      <c r="I313" s="34"/>
      <c r="J313" s="27">
        <f>Source!AT98</f>
        <v>95</v>
      </c>
      <c r="K313" s="30">
        <f>SUM(T307:T317)</f>
        <v>304.27</v>
      </c>
      <c r="L313" s="32"/>
    </row>
    <row r="314" spans="1:26" ht="14.25" x14ac:dyDescent="0.2">
      <c r="A314" s="45"/>
      <c r="B314" s="46"/>
      <c r="C314" s="46" t="s">
        <v>1171</v>
      </c>
      <c r="D314" s="29" t="s">
        <v>1170</v>
      </c>
      <c r="E314" s="11">
        <f>Source!CA98</f>
        <v>55</v>
      </c>
      <c r="F314" s="74" t="str">
        <f>CONCATENATE(" )", Source!DM98, Source!FU98, "=", Source!FY98)</f>
        <v xml:space="preserve"> )*0,85=46,75</v>
      </c>
      <c r="G314" s="75"/>
      <c r="H314" s="30">
        <f>SUM(U307:U317)</f>
        <v>22.31</v>
      </c>
      <c r="I314" s="34"/>
      <c r="J314" s="27">
        <f>Source!AU98</f>
        <v>47</v>
      </c>
      <c r="K314" s="30">
        <f>SUM(V307:V317)</f>
        <v>150.53</v>
      </c>
      <c r="L314" s="32"/>
    </row>
    <row r="315" spans="1:26" ht="14.25" x14ac:dyDescent="0.2">
      <c r="A315" s="45"/>
      <c r="B315" s="46"/>
      <c r="C315" s="46" t="s">
        <v>1172</v>
      </c>
      <c r="D315" s="29" t="s">
        <v>1173</v>
      </c>
      <c r="E315" s="11">
        <f>Source!AQ98</f>
        <v>42.9</v>
      </c>
      <c r="F315" s="30"/>
      <c r="G315" s="31" t="str">
        <f>Source!DI98</f>
        <v>)*1,15</v>
      </c>
      <c r="H315" s="30"/>
      <c r="I315" s="31"/>
      <c r="J315" s="31"/>
      <c r="K315" s="30"/>
      <c r="L315" s="41">
        <f>Source!U98</f>
        <v>5.2911787499999994</v>
      </c>
    </row>
    <row r="316" spans="1:26" ht="14.25" x14ac:dyDescent="0.2">
      <c r="A316" s="45" t="str">
        <f>Source!E99</f>
        <v>27,1</v>
      </c>
      <c r="B316" s="46" t="str">
        <f>Source!F99</f>
        <v>14.3.02.01</v>
      </c>
      <c r="C316" s="46" t="str">
        <f>Source!G99</f>
        <v>Краска водоэмульсионная</v>
      </c>
      <c r="D316" s="29" t="str">
        <f>Source!H99</f>
        <v>т</v>
      </c>
      <c r="E316" s="11">
        <f>Source!I99</f>
        <v>6.757E-3</v>
      </c>
      <c r="F316" s="30">
        <f>Source!AL99+Source!AM99+Source!AO99</f>
        <v>0</v>
      </c>
      <c r="G316" s="44" t="s">
        <v>6</v>
      </c>
      <c r="H316" s="30">
        <f>ROUND(Source!AC99*Source!I99, 2)+ROUND(Source!AD99*Source!I99, 2)+ROUND(Source!AF99*Source!I99, 2)</f>
        <v>0</v>
      </c>
      <c r="I316" s="31"/>
      <c r="J316" s="31">
        <f>IF(Source!BC99&lt;&gt; 0, Source!BC99, 1)</f>
        <v>6.71</v>
      </c>
      <c r="K316" s="30">
        <f>Source!O99</f>
        <v>0</v>
      </c>
      <c r="L316" s="32"/>
      <c r="S316">
        <f>ROUND((Source!FX99/100)*((ROUND(Source!AF99*Source!I99, 2)+ROUND(Source!AE99*Source!I99, 2))), 2)</f>
        <v>0</v>
      </c>
      <c r="T316">
        <f>Source!X99</f>
        <v>0</v>
      </c>
      <c r="U316">
        <f>ROUND((Source!FY99/100)*((ROUND(Source!AF99*Source!I99, 2)+ROUND(Source!AE99*Source!I99, 2))), 2)</f>
        <v>0</v>
      </c>
      <c r="V316">
        <f>Source!Y99</f>
        <v>0</v>
      </c>
      <c r="W316">
        <f>IF(Source!BI99&lt;=1,H316, 0)</f>
        <v>0</v>
      </c>
      <c r="X316">
        <f>IF(Source!BI99=2,H316, 0)</f>
        <v>0</v>
      </c>
      <c r="Y316">
        <f>IF(Source!BI99=3,H316, 0)</f>
        <v>0</v>
      </c>
      <c r="Z316">
        <f>IF(Source!BI99=4,H316, 0)</f>
        <v>0</v>
      </c>
    </row>
    <row r="317" spans="1:26" ht="28.5" x14ac:dyDescent="0.2">
      <c r="A317" s="47" t="str">
        <f>Source!E100</f>
        <v>27,2</v>
      </c>
      <c r="B317" s="48" t="str">
        <f>Source!F100</f>
        <v>14.3.02.01-0223</v>
      </c>
      <c r="C317" s="48" t="str">
        <f>Source!G100</f>
        <v>Краска водоэмульсионная для внутренних работ ВАК-15</v>
      </c>
      <c r="D317" s="35" t="str">
        <f>Source!H100</f>
        <v>т</v>
      </c>
      <c r="E317" s="36">
        <f>Source!I100</f>
        <v>6.757E-3</v>
      </c>
      <c r="F317" s="37">
        <f>Source!AL100+Source!AM100+Source!AO100</f>
        <v>19973.669999999998</v>
      </c>
      <c r="G317" s="42" t="s">
        <v>6</v>
      </c>
      <c r="H317" s="37">
        <f>ROUND(Source!AC100*Source!I100, 2)+ROUND(Source!AD100*Source!I100, 2)+ROUND(Source!AF100*Source!I100, 2)</f>
        <v>134.96</v>
      </c>
      <c r="I317" s="38"/>
      <c r="J317" s="38">
        <f>IF(Source!BC100&lt;&gt; 0, Source!BC100, 1)</f>
        <v>6.71</v>
      </c>
      <c r="K317" s="37">
        <f>Source!O100</f>
        <v>905.6</v>
      </c>
      <c r="L317" s="43"/>
      <c r="S317">
        <f>ROUND((Source!FX100/100)*((ROUND(Source!AF100*Source!I100, 2)+ROUND(Source!AE100*Source!I100, 2))), 2)</f>
        <v>0</v>
      </c>
      <c r="T317">
        <f>Source!X100</f>
        <v>0</v>
      </c>
      <c r="U317">
        <f>ROUND((Source!FY100/100)*((ROUND(Source!AF100*Source!I100, 2)+ROUND(Source!AE100*Source!I100, 2))), 2)</f>
        <v>0</v>
      </c>
      <c r="V317">
        <f>Source!Y100</f>
        <v>0</v>
      </c>
      <c r="W317">
        <f>IF(Source!BI100&lt;=1,H317, 0)</f>
        <v>134.96</v>
      </c>
      <c r="X317">
        <f>IF(Source!BI100=2,H317, 0)</f>
        <v>0</v>
      </c>
      <c r="Y317">
        <f>IF(Source!BI100=3,H317, 0)</f>
        <v>0</v>
      </c>
      <c r="Z317">
        <f>IF(Source!BI100=4,H317, 0)</f>
        <v>0</v>
      </c>
    </row>
    <row r="318" spans="1:26" ht="15" x14ac:dyDescent="0.25">
      <c r="G318" s="72">
        <f>H309+H310+H312+H313+H314+SUM(H316:H317)</f>
        <v>281.3</v>
      </c>
      <c r="H318" s="72"/>
      <c r="J318" s="72">
        <f>K309+K310+K312+K313+K314+SUM(K316:K317)</f>
        <v>1890.02</v>
      </c>
      <c r="K318" s="72"/>
      <c r="L318" s="40">
        <f>Source!U98</f>
        <v>5.2911787499999994</v>
      </c>
      <c r="O318" s="24">
        <f>G318</f>
        <v>281.3</v>
      </c>
      <c r="P318" s="24">
        <f>J318</f>
        <v>1890.02</v>
      </c>
      <c r="Q318" s="24">
        <f>L318</f>
        <v>5.2911787499999994</v>
      </c>
      <c r="W318">
        <f>IF(Source!BI98&lt;=1,H309+H310+H312+H313+H314, 0)</f>
        <v>146.34</v>
      </c>
      <c r="X318">
        <f>IF(Source!BI98=2,H309+H310+H312+H313+H314, 0)</f>
        <v>0</v>
      </c>
      <c r="Y318">
        <f>IF(Source!BI98=3,H309+H310+H312+H313+H314, 0)</f>
        <v>0</v>
      </c>
      <c r="Z318">
        <f>IF(Source!BI98=4,H309+H310+H312+H313+H314, 0)</f>
        <v>0</v>
      </c>
    </row>
    <row r="319" spans="1:26" ht="42.75" x14ac:dyDescent="0.2">
      <c r="A319" s="45" t="str">
        <f>Source!E101</f>
        <v>28</v>
      </c>
      <c r="B319" s="46" t="str">
        <f>Source!F101</f>
        <v>15-02-031-01</v>
      </c>
      <c r="C319" s="46" t="str">
        <f>Source!G101</f>
        <v>Штукатурка поверхностей оконных и дверных откосов по бетону и камню плоских</v>
      </c>
      <c r="D319" s="29" t="str">
        <f>Source!H101</f>
        <v>100 м2</v>
      </c>
      <c r="E319" s="11">
        <f>Source!I101</f>
        <v>0.10725</v>
      </c>
      <c r="F319" s="30">
        <f>Source!AL101+Source!AM101+Source!AO101</f>
        <v>4206.63</v>
      </c>
      <c r="G319" s="31"/>
      <c r="H319" s="30"/>
      <c r="I319" s="31" t="str">
        <f>Source!BO101</f>
        <v/>
      </c>
      <c r="J319" s="31"/>
      <c r="K319" s="30"/>
      <c r="L319" s="32"/>
      <c r="S319">
        <f>ROUND((Source!FX101/100)*((ROUND(Source!AF101*Source!I101, 2)+ROUND(Source!AE101*Source!I101, 2))), 2)</f>
        <v>224.48</v>
      </c>
      <c r="T319">
        <f>Source!X101</f>
        <v>1514.21</v>
      </c>
      <c r="U319">
        <f>ROUND((Source!FY101/100)*((ROUND(Source!AF101*Source!I101, 2)+ROUND(Source!AE101*Source!I101, 2))), 2)</f>
        <v>111.05</v>
      </c>
      <c r="V319">
        <f>Source!Y101</f>
        <v>749.13</v>
      </c>
    </row>
    <row r="320" spans="1:26" x14ac:dyDescent="0.2">
      <c r="C320" s="23" t="str">
        <f>"Объем: "&amp;Source!I101&amp;"=10,725/"&amp;"100"</f>
        <v>Объем: 0,10725=10,725/100</v>
      </c>
    </row>
    <row r="321" spans="1:26" ht="14.25" x14ac:dyDescent="0.2">
      <c r="A321" s="45"/>
      <c r="B321" s="46"/>
      <c r="C321" s="46" t="s">
        <v>1167</v>
      </c>
      <c r="D321" s="29"/>
      <c r="E321" s="11"/>
      <c r="F321" s="30">
        <f>Source!AO101</f>
        <v>1895.72</v>
      </c>
      <c r="G321" s="31" t="str">
        <f>Source!DG101</f>
        <v>)*1,15</v>
      </c>
      <c r="H321" s="30">
        <f>ROUND(Source!AF101*Source!I101, 2)</f>
        <v>233.81</v>
      </c>
      <c r="I321" s="31"/>
      <c r="J321" s="31">
        <f>IF(Source!BA101&lt;&gt; 0, Source!BA101, 1)</f>
        <v>6.71</v>
      </c>
      <c r="K321" s="30">
        <f>Source!S101</f>
        <v>1568.89</v>
      </c>
      <c r="L321" s="32"/>
      <c r="R321">
        <f>H321</f>
        <v>233.81</v>
      </c>
    </row>
    <row r="322" spans="1:26" ht="14.25" x14ac:dyDescent="0.2">
      <c r="A322" s="45"/>
      <c r="B322" s="46"/>
      <c r="C322" s="46" t="s">
        <v>382</v>
      </c>
      <c r="D322" s="29"/>
      <c r="E322" s="11"/>
      <c r="F322" s="30">
        <f>Source!AM101</f>
        <v>64.400000000000006</v>
      </c>
      <c r="G322" s="31" t="str">
        <f>Source!DE101</f>
        <v>)*1,25</v>
      </c>
      <c r="H322" s="30">
        <f>ROUND(Source!AD101*Source!I101, 2)</f>
        <v>8.6300000000000008</v>
      </c>
      <c r="I322" s="31"/>
      <c r="J322" s="31">
        <f>IF(Source!BB101&lt;&gt; 0, Source!BB101, 1)</f>
        <v>6.71</v>
      </c>
      <c r="K322" s="30">
        <f>Source!Q101</f>
        <v>57.93</v>
      </c>
      <c r="L322" s="32"/>
    </row>
    <row r="323" spans="1:26" ht="14.25" x14ac:dyDescent="0.2">
      <c r="A323" s="45"/>
      <c r="B323" s="46"/>
      <c r="C323" s="46" t="s">
        <v>1168</v>
      </c>
      <c r="D323" s="29"/>
      <c r="E323" s="11"/>
      <c r="F323" s="30">
        <f>Source!AN101</f>
        <v>27.81</v>
      </c>
      <c r="G323" s="31" t="str">
        <f>Source!DF101</f>
        <v>)*1,25</v>
      </c>
      <c r="H323" s="33">
        <f>ROUND(Source!AE101*Source!I101, 2)</f>
        <v>3.73</v>
      </c>
      <c r="I323" s="31"/>
      <c r="J323" s="31">
        <f>IF(Source!BS101&lt;&gt; 0, Source!BS101, 1)</f>
        <v>6.71</v>
      </c>
      <c r="K323" s="33">
        <f>Source!R101</f>
        <v>25.01</v>
      </c>
      <c r="L323" s="32"/>
      <c r="R323">
        <f>H323</f>
        <v>3.73</v>
      </c>
    </row>
    <row r="324" spans="1:26" ht="14.25" x14ac:dyDescent="0.2">
      <c r="A324" s="45"/>
      <c r="B324" s="46"/>
      <c r="C324" s="46" t="s">
        <v>1174</v>
      </c>
      <c r="D324" s="29"/>
      <c r="E324" s="11"/>
      <c r="F324" s="30">
        <f>Source!AL101</f>
        <v>2246.5100000000002</v>
      </c>
      <c r="G324" s="31" t="str">
        <f>Source!DD101</f>
        <v/>
      </c>
      <c r="H324" s="30">
        <f>ROUND(Source!AC101*Source!I101, 2)</f>
        <v>240.94</v>
      </c>
      <c r="I324" s="31"/>
      <c r="J324" s="31">
        <f>IF(Source!BC101&lt;&gt; 0, Source!BC101, 1)</f>
        <v>6.71</v>
      </c>
      <c r="K324" s="30">
        <f>Source!P101</f>
        <v>1616.7</v>
      </c>
      <c r="L324" s="32"/>
    </row>
    <row r="325" spans="1:26" ht="14.25" x14ac:dyDescent="0.2">
      <c r="A325" s="45"/>
      <c r="B325" s="46"/>
      <c r="C325" s="46" t="s">
        <v>1169</v>
      </c>
      <c r="D325" s="29" t="s">
        <v>1170</v>
      </c>
      <c r="E325" s="11">
        <f>Source!BZ101</f>
        <v>105</v>
      </c>
      <c r="F325" s="74" t="str">
        <f>CONCATENATE(" )", Source!DL101, Source!FT101, "=", Source!FX101)</f>
        <v xml:space="preserve"> )*0,9=94,5</v>
      </c>
      <c r="G325" s="75"/>
      <c r="H325" s="30">
        <f>SUM(S319:S327)</f>
        <v>224.48</v>
      </c>
      <c r="I325" s="34"/>
      <c r="J325" s="27">
        <f>Source!AT101</f>
        <v>95</v>
      </c>
      <c r="K325" s="30">
        <f>SUM(T319:T327)</f>
        <v>1514.21</v>
      </c>
      <c r="L325" s="32"/>
    </row>
    <row r="326" spans="1:26" ht="14.25" x14ac:dyDescent="0.2">
      <c r="A326" s="45"/>
      <c r="B326" s="46"/>
      <c r="C326" s="46" t="s">
        <v>1171</v>
      </c>
      <c r="D326" s="29" t="s">
        <v>1170</v>
      </c>
      <c r="E326" s="11">
        <f>Source!CA101</f>
        <v>55</v>
      </c>
      <c r="F326" s="74" t="str">
        <f>CONCATENATE(" )", Source!DM101, Source!FU101, "=", Source!FY101)</f>
        <v xml:space="preserve"> )*0,85=46,75</v>
      </c>
      <c r="G326" s="75"/>
      <c r="H326" s="30">
        <f>SUM(U319:U327)</f>
        <v>111.05</v>
      </c>
      <c r="I326" s="34"/>
      <c r="J326" s="27">
        <f>Source!AU101</f>
        <v>47</v>
      </c>
      <c r="K326" s="30">
        <f>SUM(V319:V327)</f>
        <v>749.13</v>
      </c>
      <c r="L326" s="32"/>
    </row>
    <row r="327" spans="1:26" ht="14.25" x14ac:dyDescent="0.2">
      <c r="A327" s="47"/>
      <c r="B327" s="48"/>
      <c r="C327" s="48" t="s">
        <v>1172</v>
      </c>
      <c r="D327" s="35" t="s">
        <v>1173</v>
      </c>
      <c r="E327" s="36">
        <f>Source!AQ101</f>
        <v>204.06</v>
      </c>
      <c r="F327" s="37"/>
      <c r="G327" s="38" t="str">
        <f>Source!DI101</f>
        <v>)*1,15</v>
      </c>
      <c r="H327" s="37"/>
      <c r="I327" s="38"/>
      <c r="J327" s="38"/>
      <c r="K327" s="37"/>
      <c r="L327" s="39">
        <f>Source!U101</f>
        <v>25.168250249999996</v>
      </c>
    </row>
    <row r="328" spans="1:26" ht="15" x14ac:dyDescent="0.25">
      <c r="G328" s="72">
        <f>H321+H322+H324+H325+H326</f>
        <v>818.91</v>
      </c>
      <c r="H328" s="72"/>
      <c r="J328" s="72">
        <f>K321+K322+K324+K325+K326</f>
        <v>5506.8600000000006</v>
      </c>
      <c r="K328" s="72"/>
      <c r="L328" s="40">
        <f>Source!U101</f>
        <v>25.168250249999996</v>
      </c>
      <c r="O328" s="24">
        <f>G328</f>
        <v>818.91</v>
      </c>
      <c r="P328" s="24">
        <f>J328</f>
        <v>5506.8600000000006</v>
      </c>
      <c r="Q328" s="24">
        <f>L328</f>
        <v>25.168250249999996</v>
      </c>
      <c r="W328">
        <f>IF(Source!BI101&lt;=1,H321+H322+H324+H325+H326, 0)</f>
        <v>818.91</v>
      </c>
      <c r="X328">
        <f>IF(Source!BI101=2,H321+H322+H324+H325+H326, 0)</f>
        <v>0</v>
      </c>
      <c r="Y328">
        <f>IF(Source!BI101=3,H321+H322+H324+H325+H326, 0)</f>
        <v>0</v>
      </c>
      <c r="Z328">
        <f>IF(Source!BI101=4,H321+H322+H324+H325+H326, 0)</f>
        <v>0</v>
      </c>
    </row>
    <row r="329" spans="1:26" ht="28.5" x14ac:dyDescent="0.2">
      <c r="A329" s="45" t="str">
        <f>Source!E102</f>
        <v>29</v>
      </c>
      <c r="B329" s="46" t="str">
        <f>Source!F102</f>
        <v>56-4-1</v>
      </c>
      <c r="C329" s="46" t="str">
        <f>Source!G102</f>
        <v>Ремонт оконных коробок в каменных стенах при одном переплете</v>
      </c>
      <c r="D329" s="29" t="str">
        <f>Source!H102</f>
        <v>100 ШТ</v>
      </c>
      <c r="E329" s="11">
        <f>Source!I102</f>
        <v>0.11</v>
      </c>
      <c r="F329" s="30">
        <f>Source!AL102+Source!AM102+Source!AO102</f>
        <v>6411.01</v>
      </c>
      <c r="G329" s="31"/>
      <c r="H329" s="30"/>
      <c r="I329" s="31" t="str">
        <f>Source!BO102</f>
        <v/>
      </c>
      <c r="J329" s="31"/>
      <c r="K329" s="30"/>
      <c r="L329" s="32"/>
      <c r="S329">
        <f>ROUND((Source!FX102/100)*((ROUND(Source!AF102*Source!I102, 2)+ROUND(Source!AE102*Source!I102, 2))), 2)</f>
        <v>413.29</v>
      </c>
      <c r="T329">
        <f>Source!X102</f>
        <v>2773.13</v>
      </c>
      <c r="U329">
        <f>ROUND((Source!FY102/100)*((ROUND(Source!AF102*Source!I102, 2)+ROUND(Source!AE102*Source!I102, 2))), 2)</f>
        <v>312.49</v>
      </c>
      <c r="V329">
        <f>Source!Y102</f>
        <v>2096.7600000000002</v>
      </c>
    </row>
    <row r="330" spans="1:26" x14ac:dyDescent="0.2">
      <c r="C330" s="23" t="str">
        <f>"Объем: "&amp;Source!I102&amp;"=11/"&amp;"100"</f>
        <v>Объем: 0,11=11/100</v>
      </c>
    </row>
    <row r="331" spans="1:26" ht="14.25" x14ac:dyDescent="0.2">
      <c r="A331" s="45"/>
      <c r="B331" s="46"/>
      <c r="C331" s="46" t="s">
        <v>1167</v>
      </c>
      <c r="D331" s="29"/>
      <c r="E331" s="11"/>
      <c r="F331" s="30">
        <f>Source!AO102</f>
        <v>4580.3500000000004</v>
      </c>
      <c r="G331" s="31" t="str">
        <f>Source!DG102</f>
        <v/>
      </c>
      <c r="H331" s="30">
        <f>ROUND(Source!AF102*Source!I102, 2)</f>
        <v>503.84</v>
      </c>
      <c r="I331" s="31"/>
      <c r="J331" s="31">
        <f>IF(Source!BA102&lt;&gt; 0, Source!BA102, 1)</f>
        <v>6.71</v>
      </c>
      <c r="K331" s="30">
        <f>Source!S102</f>
        <v>3380.76</v>
      </c>
      <c r="L331" s="32"/>
      <c r="R331">
        <f>H331</f>
        <v>503.84</v>
      </c>
    </row>
    <row r="332" spans="1:26" ht="14.25" x14ac:dyDescent="0.2">
      <c r="A332" s="45"/>
      <c r="B332" s="46"/>
      <c r="C332" s="46" t="s">
        <v>382</v>
      </c>
      <c r="D332" s="29"/>
      <c r="E332" s="11"/>
      <c r="F332" s="30">
        <f>Source!AM102</f>
        <v>8.5399999999999991</v>
      </c>
      <c r="G332" s="31" t="str">
        <f>Source!DE102</f>
        <v/>
      </c>
      <c r="H332" s="30">
        <f>ROUND(Source!AD102*Source!I102, 2)</f>
        <v>0.94</v>
      </c>
      <c r="I332" s="31"/>
      <c r="J332" s="31">
        <f>IF(Source!BB102&lt;&gt; 0, Source!BB102, 1)</f>
        <v>6.71</v>
      </c>
      <c r="K332" s="30">
        <f>Source!Q102</f>
        <v>6.3</v>
      </c>
      <c r="L332" s="32"/>
    </row>
    <row r="333" spans="1:26" ht="14.25" x14ac:dyDescent="0.2">
      <c r="A333" s="45"/>
      <c r="B333" s="46"/>
      <c r="C333" s="46" t="s">
        <v>1168</v>
      </c>
      <c r="D333" s="29"/>
      <c r="E333" s="11"/>
      <c r="F333" s="30">
        <f>Source!AN102</f>
        <v>1.51</v>
      </c>
      <c r="G333" s="31" t="str">
        <f>Source!DF102</f>
        <v/>
      </c>
      <c r="H333" s="33">
        <f>ROUND(Source!AE102*Source!I102, 2)</f>
        <v>0.17</v>
      </c>
      <c r="I333" s="31"/>
      <c r="J333" s="31">
        <f>IF(Source!BS102&lt;&gt; 0, Source!BS102, 1)</f>
        <v>6.71</v>
      </c>
      <c r="K333" s="33">
        <f>Source!R102</f>
        <v>1.1100000000000001</v>
      </c>
      <c r="L333" s="32"/>
      <c r="R333">
        <f>H333</f>
        <v>0.17</v>
      </c>
    </row>
    <row r="334" spans="1:26" ht="14.25" x14ac:dyDescent="0.2">
      <c r="A334" s="45"/>
      <c r="B334" s="46"/>
      <c r="C334" s="46" t="s">
        <v>1174</v>
      </c>
      <c r="D334" s="29"/>
      <c r="E334" s="11"/>
      <c r="F334" s="30">
        <f>Source!AL102</f>
        <v>1822.12</v>
      </c>
      <c r="G334" s="31" t="str">
        <f>Source!DD102</f>
        <v/>
      </c>
      <c r="H334" s="30">
        <f>ROUND(Source!AC102*Source!I102, 2)</f>
        <v>200.43</v>
      </c>
      <c r="I334" s="31"/>
      <c r="J334" s="31">
        <f>IF(Source!BC102&lt;&gt; 0, Source!BC102, 1)</f>
        <v>6.71</v>
      </c>
      <c r="K334" s="30">
        <f>Source!P102</f>
        <v>1344.91</v>
      </c>
      <c r="L334" s="32"/>
    </row>
    <row r="335" spans="1:26" ht="14.25" x14ac:dyDescent="0.2">
      <c r="A335" s="45"/>
      <c r="B335" s="46"/>
      <c r="C335" s="46" t="s">
        <v>1169</v>
      </c>
      <c r="D335" s="29" t="s">
        <v>1170</v>
      </c>
      <c r="E335" s="11">
        <f>Source!BZ102</f>
        <v>82</v>
      </c>
      <c r="F335" s="49"/>
      <c r="G335" s="31"/>
      <c r="H335" s="30">
        <f>SUM(S329:S338)</f>
        <v>413.29</v>
      </c>
      <c r="I335" s="34"/>
      <c r="J335" s="27">
        <f>Source!AT102</f>
        <v>82</v>
      </c>
      <c r="K335" s="30">
        <f>SUM(T329:T338)</f>
        <v>2773.13</v>
      </c>
      <c r="L335" s="32"/>
    </row>
    <row r="336" spans="1:26" ht="14.25" x14ac:dyDescent="0.2">
      <c r="A336" s="45"/>
      <c r="B336" s="46"/>
      <c r="C336" s="46" t="s">
        <v>1171</v>
      </c>
      <c r="D336" s="29" t="s">
        <v>1170</v>
      </c>
      <c r="E336" s="11">
        <f>Source!CA102</f>
        <v>62</v>
      </c>
      <c r="F336" s="49"/>
      <c r="G336" s="31"/>
      <c r="H336" s="30">
        <f>SUM(U329:U338)</f>
        <v>312.49</v>
      </c>
      <c r="I336" s="34"/>
      <c r="J336" s="27">
        <f>Source!AU102</f>
        <v>62</v>
      </c>
      <c r="K336" s="30">
        <f>SUM(V329:V338)</f>
        <v>2096.7600000000002</v>
      </c>
      <c r="L336" s="32"/>
    </row>
    <row r="337" spans="1:26" ht="14.25" x14ac:dyDescent="0.2">
      <c r="A337" s="45"/>
      <c r="B337" s="46"/>
      <c r="C337" s="46" t="s">
        <v>1172</v>
      </c>
      <c r="D337" s="29" t="s">
        <v>1173</v>
      </c>
      <c r="E337" s="11">
        <f>Source!AQ102</f>
        <v>505</v>
      </c>
      <c r="F337" s="30"/>
      <c r="G337" s="31" t="str">
        <f>Source!DI102</f>
        <v/>
      </c>
      <c r="H337" s="30"/>
      <c r="I337" s="31"/>
      <c r="J337" s="31"/>
      <c r="K337" s="30"/>
      <c r="L337" s="41">
        <f>Source!U102</f>
        <v>55.55</v>
      </c>
    </row>
    <row r="338" spans="1:26" ht="14.25" x14ac:dyDescent="0.2">
      <c r="A338" s="47" t="str">
        <f>Source!E103</f>
        <v>29,1</v>
      </c>
      <c r="B338" s="48" t="str">
        <f>Source!F103</f>
        <v>01.7.07.07</v>
      </c>
      <c r="C338" s="48" t="str">
        <f>Source!G103</f>
        <v>Строительный мусор</v>
      </c>
      <c r="D338" s="35" t="str">
        <f>Source!H103</f>
        <v>т</v>
      </c>
      <c r="E338" s="36">
        <f>Source!I103</f>
        <v>6.4899999999999999E-2</v>
      </c>
      <c r="F338" s="37">
        <f>Source!AL103+Source!AM103+Source!AO103</f>
        <v>0</v>
      </c>
      <c r="G338" s="42" t="s">
        <v>6</v>
      </c>
      <c r="H338" s="37">
        <f>ROUND(Source!AC103*Source!I103, 2)+ROUND(Source!AD103*Source!I103, 2)+ROUND(Source!AF103*Source!I103, 2)</f>
        <v>0</v>
      </c>
      <c r="I338" s="38"/>
      <c r="J338" s="38">
        <f>IF(Source!BC103&lt;&gt; 0, Source!BC103, 1)</f>
        <v>6.71</v>
      </c>
      <c r="K338" s="37">
        <f>Source!O103</f>
        <v>0</v>
      </c>
      <c r="L338" s="43"/>
      <c r="S338">
        <f>ROUND((Source!FX103/100)*((ROUND(Source!AF103*Source!I103, 2)+ROUND(Source!AE103*Source!I103, 2))), 2)</f>
        <v>0</v>
      </c>
      <c r="T338">
        <f>Source!X103</f>
        <v>0</v>
      </c>
      <c r="U338">
        <f>ROUND((Source!FY103/100)*((ROUND(Source!AF103*Source!I103, 2)+ROUND(Source!AE103*Source!I103, 2))), 2)</f>
        <v>0</v>
      </c>
      <c r="V338">
        <f>Source!Y103</f>
        <v>0</v>
      </c>
      <c r="W338">
        <f>IF(Source!BI103&lt;=1,H338, 0)</f>
        <v>0</v>
      </c>
      <c r="X338">
        <f>IF(Source!BI103=2,H338, 0)</f>
        <v>0</v>
      </c>
      <c r="Y338">
        <f>IF(Source!BI103=3,H338, 0)</f>
        <v>0</v>
      </c>
      <c r="Z338">
        <f>IF(Source!BI103=4,H338, 0)</f>
        <v>0</v>
      </c>
    </row>
    <row r="339" spans="1:26" ht="15" x14ac:dyDescent="0.25">
      <c r="G339" s="72">
        <f>H331+H332+H334+H335+H336+SUM(H338:H338)</f>
        <v>1430.99</v>
      </c>
      <c r="H339" s="72"/>
      <c r="J339" s="72">
        <f>K331+K332+K334+K335+K336+SUM(K338:K338)</f>
        <v>9601.86</v>
      </c>
      <c r="K339" s="72"/>
      <c r="L339" s="40">
        <f>Source!U102</f>
        <v>55.55</v>
      </c>
      <c r="O339" s="24">
        <f>G339</f>
        <v>1430.99</v>
      </c>
      <c r="P339" s="24">
        <f>J339</f>
        <v>9601.86</v>
      </c>
      <c r="Q339" s="24">
        <f>L339</f>
        <v>55.55</v>
      </c>
      <c r="W339">
        <f>IF(Source!BI102&lt;=1,H331+H332+H334+H335+H336, 0)</f>
        <v>1430.99</v>
      </c>
      <c r="X339">
        <f>IF(Source!BI102=2,H331+H332+H334+H335+H336, 0)</f>
        <v>0</v>
      </c>
      <c r="Y339">
        <f>IF(Source!BI102=3,H331+H332+H334+H335+H336, 0)</f>
        <v>0</v>
      </c>
      <c r="Z339">
        <f>IF(Source!BI102=4,H331+H332+H334+H335+H336, 0)</f>
        <v>0</v>
      </c>
    </row>
    <row r="340" spans="1:26" ht="28.5" x14ac:dyDescent="0.2">
      <c r="A340" s="45" t="str">
        <f>Source!E104</f>
        <v>30</v>
      </c>
      <c r="B340" s="46" t="str">
        <f>Source!F104</f>
        <v>69-15-1</v>
      </c>
      <c r="C340" s="46" t="str">
        <f>Source!G104</f>
        <v>Затаривание строительного мусора в мешки</v>
      </c>
      <c r="D340" s="29" t="str">
        <f>Source!H104</f>
        <v>т</v>
      </c>
      <c r="E340" s="11">
        <f>Source!I104</f>
        <v>12.5</v>
      </c>
      <c r="F340" s="30">
        <f>Source!AL104+Source!AM104+Source!AO104</f>
        <v>23.81</v>
      </c>
      <c r="G340" s="31"/>
      <c r="H340" s="30"/>
      <c r="I340" s="31" t="str">
        <f>Source!BO104</f>
        <v/>
      </c>
      <c r="J340" s="31"/>
      <c r="K340" s="30"/>
      <c r="L340" s="32"/>
      <c r="S340">
        <f>ROUND((Source!FX104/100)*((ROUND(Source!AF104*Source!I104, 2)+ROUND(Source!AE104*Source!I104, 2))), 2)</f>
        <v>72.25</v>
      </c>
      <c r="T340">
        <f>Source!X104</f>
        <v>484.78</v>
      </c>
      <c r="U340">
        <f>ROUND((Source!FY104/100)*((ROUND(Source!AF104*Source!I104, 2)+ROUND(Source!AE104*Source!I104, 2))), 2)</f>
        <v>46.32</v>
      </c>
      <c r="V340">
        <f>Source!Y104</f>
        <v>310.76</v>
      </c>
    </row>
    <row r="341" spans="1:26" ht="14.25" x14ac:dyDescent="0.2">
      <c r="A341" s="45"/>
      <c r="B341" s="46"/>
      <c r="C341" s="46" t="s">
        <v>1167</v>
      </c>
      <c r="D341" s="29"/>
      <c r="E341" s="11"/>
      <c r="F341" s="30">
        <f>Source!AO104</f>
        <v>7.41</v>
      </c>
      <c r="G341" s="31" t="str">
        <f>Source!DG104</f>
        <v/>
      </c>
      <c r="H341" s="30">
        <f>ROUND(Source!AF104*Source!I104, 2)</f>
        <v>92.63</v>
      </c>
      <c r="I341" s="31"/>
      <c r="J341" s="31">
        <f>IF(Source!BA104&lt;&gt; 0, Source!BA104, 1)</f>
        <v>6.71</v>
      </c>
      <c r="K341" s="30">
        <f>Source!S104</f>
        <v>621.51</v>
      </c>
      <c r="L341" s="32"/>
      <c r="R341">
        <f>H341</f>
        <v>92.63</v>
      </c>
    </row>
    <row r="342" spans="1:26" ht="14.25" x14ac:dyDescent="0.2">
      <c r="A342" s="45"/>
      <c r="B342" s="46"/>
      <c r="C342" s="46" t="s">
        <v>1174</v>
      </c>
      <c r="D342" s="29"/>
      <c r="E342" s="11"/>
      <c r="F342" s="30">
        <f>Source!AL104</f>
        <v>16.399999999999999</v>
      </c>
      <c r="G342" s="31" t="str">
        <f>Source!DD104</f>
        <v/>
      </c>
      <c r="H342" s="30">
        <f>ROUND(Source!AC104*Source!I104, 2)</f>
        <v>205</v>
      </c>
      <c r="I342" s="31"/>
      <c r="J342" s="31">
        <f>IF(Source!BC104&lt;&gt; 0, Source!BC104, 1)</f>
        <v>6.71</v>
      </c>
      <c r="K342" s="30">
        <f>Source!P104</f>
        <v>1375.55</v>
      </c>
      <c r="L342" s="32"/>
    </row>
    <row r="343" spans="1:26" ht="14.25" x14ac:dyDescent="0.2">
      <c r="A343" s="45"/>
      <c r="B343" s="46"/>
      <c r="C343" s="46" t="s">
        <v>1169</v>
      </c>
      <c r="D343" s="29" t="s">
        <v>1170</v>
      </c>
      <c r="E343" s="11">
        <f>Source!BZ104</f>
        <v>78</v>
      </c>
      <c r="F343" s="49"/>
      <c r="G343" s="31"/>
      <c r="H343" s="30">
        <f>SUM(S340:S345)</f>
        <v>72.25</v>
      </c>
      <c r="I343" s="34"/>
      <c r="J343" s="27">
        <f>Source!AT104</f>
        <v>78</v>
      </c>
      <c r="K343" s="30">
        <f>SUM(T340:T345)</f>
        <v>484.78</v>
      </c>
      <c r="L343" s="32"/>
    </row>
    <row r="344" spans="1:26" ht="14.25" x14ac:dyDescent="0.2">
      <c r="A344" s="45"/>
      <c r="B344" s="46"/>
      <c r="C344" s="46" t="s">
        <v>1171</v>
      </c>
      <c r="D344" s="29" t="s">
        <v>1170</v>
      </c>
      <c r="E344" s="11">
        <f>Source!CA104</f>
        <v>50</v>
      </c>
      <c r="F344" s="49"/>
      <c r="G344" s="31"/>
      <c r="H344" s="30">
        <f>SUM(U340:U345)</f>
        <v>46.32</v>
      </c>
      <c r="I344" s="34"/>
      <c r="J344" s="27">
        <f>Source!AU104</f>
        <v>50</v>
      </c>
      <c r="K344" s="30">
        <f>SUM(V340:V345)</f>
        <v>310.76</v>
      </c>
      <c r="L344" s="32"/>
    </row>
    <row r="345" spans="1:26" ht="14.25" x14ac:dyDescent="0.2">
      <c r="A345" s="47"/>
      <c r="B345" s="48"/>
      <c r="C345" s="48" t="s">
        <v>1172</v>
      </c>
      <c r="D345" s="35" t="s">
        <v>1173</v>
      </c>
      <c r="E345" s="36">
        <f>Source!AQ104</f>
        <v>1.03</v>
      </c>
      <c r="F345" s="37"/>
      <c r="G345" s="38" t="str">
        <f>Source!DI104</f>
        <v/>
      </c>
      <c r="H345" s="37"/>
      <c r="I345" s="38"/>
      <c r="J345" s="38"/>
      <c r="K345" s="37"/>
      <c r="L345" s="39">
        <f>Source!U104</f>
        <v>12.875</v>
      </c>
    </row>
    <row r="346" spans="1:26" ht="15" x14ac:dyDescent="0.25">
      <c r="G346" s="72">
        <f>H341+H342+H343+H344</f>
        <v>416.2</v>
      </c>
      <c r="H346" s="72"/>
      <c r="J346" s="72">
        <f>K341+K342+K343+K344</f>
        <v>2792.6000000000004</v>
      </c>
      <c r="K346" s="72"/>
      <c r="L346" s="40">
        <f>Source!U104</f>
        <v>12.875</v>
      </c>
      <c r="O346" s="24">
        <f>G346</f>
        <v>416.2</v>
      </c>
      <c r="P346" s="24">
        <f>J346</f>
        <v>2792.6000000000004</v>
      </c>
      <c r="Q346" s="24">
        <f>L346</f>
        <v>12.875</v>
      </c>
      <c r="W346">
        <f>IF(Source!BI104&lt;=1,H341+H342+H343+H344, 0)</f>
        <v>416.2</v>
      </c>
      <c r="X346">
        <f>IF(Source!BI104=2,H341+H342+H343+H344, 0)</f>
        <v>0</v>
      </c>
      <c r="Y346">
        <f>IF(Source!BI104=3,H341+H342+H343+H344, 0)</f>
        <v>0</v>
      </c>
      <c r="Z346">
        <f>IF(Source!BI104=4,H341+H342+H343+H344, 0)</f>
        <v>0</v>
      </c>
    </row>
    <row r="347" spans="1:26" ht="42.75" x14ac:dyDescent="0.2">
      <c r="A347" s="47" t="str">
        <f>Source!E105</f>
        <v>31</v>
      </c>
      <c r="B347" s="48" t="str">
        <f>Source!F105</f>
        <v>т01-01-01-041</v>
      </c>
      <c r="C347" s="48" t="str">
        <f>Source!G105</f>
        <v>Погрузочные работы при автомобильных перевозках мусора строительного с погрузкой вручную</v>
      </c>
      <c r="D347" s="35" t="str">
        <f>Source!H105</f>
        <v>1 Т ГРУЗА</v>
      </c>
      <c r="E347" s="36">
        <f>Source!I105</f>
        <v>12.5</v>
      </c>
      <c r="F347" s="37">
        <f>Source!AK105</f>
        <v>42.98</v>
      </c>
      <c r="G347" s="38" t="str">
        <f>Source!DC105</f>
        <v/>
      </c>
      <c r="H347" s="37">
        <f>ROUND(Source!AB105*Source!I105, 2)</f>
        <v>537.25</v>
      </c>
      <c r="I347" s="38" t="str">
        <f>Source!BO105</f>
        <v/>
      </c>
      <c r="J347" s="38">
        <f>Source!AZ105</f>
        <v>6.71</v>
      </c>
      <c r="K347" s="37">
        <f>Source!GM105</f>
        <v>3604.95</v>
      </c>
      <c r="L347" s="43"/>
      <c r="S347">
        <f>ROUND((Source!FX105/100)*((ROUND(0*Source!I105, 2)+ROUND(0*Source!I105, 2))), 2)</f>
        <v>0</v>
      </c>
      <c r="T347">
        <f>Source!X105</f>
        <v>0</v>
      </c>
      <c r="U347">
        <f>ROUND((Source!FY105/100)*((ROUND(0*Source!I105, 2)+ROUND(0*Source!I105, 2))), 2)</f>
        <v>0</v>
      </c>
      <c r="V347">
        <f>Source!Y105</f>
        <v>0</v>
      </c>
    </row>
    <row r="348" spans="1:26" ht="15" x14ac:dyDescent="0.25">
      <c r="G348" s="72">
        <f>H347</f>
        <v>537.25</v>
      </c>
      <c r="H348" s="72"/>
      <c r="J348" s="72">
        <f>K347</f>
        <v>3604.95</v>
      </c>
      <c r="K348" s="72"/>
      <c r="L348" s="40">
        <f>Source!U105</f>
        <v>0</v>
      </c>
      <c r="O348" s="24">
        <f>G348</f>
        <v>537.25</v>
      </c>
      <c r="P348" s="24">
        <f>J348</f>
        <v>3604.95</v>
      </c>
      <c r="Q348" s="24">
        <f>L348</f>
        <v>0</v>
      </c>
      <c r="W348">
        <f>IF(Source!BI105&lt;=1,H347, 0)</f>
        <v>537.25</v>
      </c>
      <c r="X348">
        <f>IF(Source!BI105=2,H347, 0)</f>
        <v>0</v>
      </c>
      <c r="Y348">
        <f>IF(Source!BI105=3,H347, 0)</f>
        <v>0</v>
      </c>
      <c r="Z348">
        <f>IF(Source!BI105=4,H347, 0)</f>
        <v>0</v>
      </c>
    </row>
    <row r="349" spans="1:26" ht="57" x14ac:dyDescent="0.2">
      <c r="A349" s="47" t="str">
        <f>Source!E106</f>
        <v>32</v>
      </c>
      <c r="B349" s="48" t="str">
        <f>Source!F106</f>
        <v>т03-01-01-035</v>
      </c>
      <c r="C349" s="48" t="str">
        <f>Source!G106</f>
        <v>Перевозка грузов I класса автомобилями бортовыми грузоподъемностью до 15 т на расстояние до 35 км</v>
      </c>
      <c r="D349" s="35" t="str">
        <f>Source!H106</f>
        <v>1 Т ГРУЗА</v>
      </c>
      <c r="E349" s="36">
        <f>Source!I106</f>
        <v>12.5</v>
      </c>
      <c r="F349" s="37">
        <f>Source!AK106</f>
        <v>19.54</v>
      </c>
      <c r="G349" s="38" t="str">
        <f>Source!DC106</f>
        <v/>
      </c>
      <c r="H349" s="37">
        <f>ROUND(Source!AB106*Source!I106, 2)</f>
        <v>244.25</v>
      </c>
      <c r="I349" s="38" t="str">
        <f>Source!BO106</f>
        <v/>
      </c>
      <c r="J349" s="38">
        <f>Source!AZ106</f>
        <v>6.71</v>
      </c>
      <c r="K349" s="37">
        <f>Source!GM106</f>
        <v>1638.92</v>
      </c>
      <c r="L349" s="43"/>
      <c r="S349">
        <f>ROUND((Source!FX106/100)*((ROUND(0*Source!I106, 2)+ROUND(0*Source!I106, 2))), 2)</f>
        <v>0</v>
      </c>
      <c r="T349">
        <f>Source!X106</f>
        <v>0</v>
      </c>
      <c r="U349">
        <f>ROUND((Source!FY106/100)*((ROUND(0*Source!I106, 2)+ROUND(0*Source!I106, 2))), 2)</f>
        <v>0</v>
      </c>
      <c r="V349">
        <f>Source!Y106</f>
        <v>0</v>
      </c>
    </row>
    <row r="350" spans="1:26" ht="15" x14ac:dyDescent="0.25">
      <c r="G350" s="72">
        <f>H349</f>
        <v>244.25</v>
      </c>
      <c r="H350" s="72"/>
      <c r="J350" s="72">
        <f>K349</f>
        <v>1638.92</v>
      </c>
      <c r="K350" s="72"/>
      <c r="L350" s="40">
        <f>Source!U106</f>
        <v>0</v>
      </c>
      <c r="O350" s="24">
        <f>G350</f>
        <v>244.25</v>
      </c>
      <c r="P350" s="24">
        <f>J350</f>
        <v>1638.92</v>
      </c>
      <c r="Q350" s="24">
        <f>L350</f>
        <v>0</v>
      </c>
      <c r="W350">
        <f>IF(Source!BI106&lt;=1,H349, 0)</f>
        <v>244.25</v>
      </c>
      <c r="X350">
        <f>IF(Source!BI106=2,H349, 0)</f>
        <v>0</v>
      </c>
      <c r="Y350">
        <f>IF(Source!BI106=3,H349, 0)</f>
        <v>0</v>
      </c>
      <c r="Z350">
        <f>IF(Source!BI106=4,H349, 0)</f>
        <v>0</v>
      </c>
    </row>
    <row r="352" spans="1:26" ht="15" x14ac:dyDescent="0.25">
      <c r="A352" s="70" t="str">
        <f>CONCATENATE("Итого по разделу: ",IF(Source!G108&lt;&gt;"Новый раздел", Source!G108, ""))</f>
        <v>Итого по разделу: 1 Общестроительные работы</v>
      </c>
      <c r="B352" s="70"/>
      <c r="C352" s="70"/>
      <c r="D352" s="70"/>
      <c r="E352" s="70"/>
      <c r="F352" s="70"/>
      <c r="G352" s="71">
        <f>SUM(O28:O351)</f>
        <v>161111.62000000002</v>
      </c>
      <c r="H352" s="71"/>
      <c r="I352" s="26"/>
      <c r="J352" s="71">
        <f>SUM(P28:P351)</f>
        <v>1081313.5900000003</v>
      </c>
      <c r="K352" s="71"/>
      <c r="L352" s="40">
        <f>SUM(Q28:Q351)</f>
        <v>888.2400303999998</v>
      </c>
    </row>
    <row r="353" spans="1:26" ht="16.5" x14ac:dyDescent="0.25">
      <c r="A353" s="73" t="str">
        <f>CONCATENATE("Раздел: ",IF(Source!G137&lt;&gt;"Новый раздел", Source!G137, ""))</f>
        <v>Раздел: 2 Отопление</v>
      </c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</row>
    <row r="354" spans="1:26" ht="14.25" x14ac:dyDescent="0.2">
      <c r="A354" s="45" t="str">
        <f>Source!E141</f>
        <v>33</v>
      </c>
      <c r="B354" s="46" t="str">
        <f>Source!F141</f>
        <v>65-19-1</v>
      </c>
      <c r="C354" s="46" t="str">
        <f>Source!G141</f>
        <v>Демонтаж радиаторов весом до 80 кг</v>
      </c>
      <c r="D354" s="29" t="str">
        <f>Source!H141</f>
        <v>100 ШТ</v>
      </c>
      <c r="E354" s="11">
        <f>Source!I141</f>
        <v>0.11</v>
      </c>
      <c r="F354" s="30">
        <f>Source!AL141+Source!AM141+Source!AO141</f>
        <v>935.72</v>
      </c>
      <c r="G354" s="31"/>
      <c r="H354" s="30"/>
      <c r="I354" s="31" t="str">
        <f>Source!BO141</f>
        <v/>
      </c>
      <c r="J354" s="31"/>
      <c r="K354" s="30"/>
      <c r="L354" s="32"/>
      <c r="S354">
        <f>ROUND((Source!FX141/100)*((ROUND(Source!AF141*Source!I141, 2)+ROUND(Source!AE141*Source!I141, 2))), 2)</f>
        <v>72.930000000000007</v>
      </c>
      <c r="T354">
        <f>Source!X141</f>
        <v>489.35</v>
      </c>
      <c r="U354">
        <f>ROUND((Source!FY141/100)*((ROUND(Source!AF141*Source!I141, 2)+ROUND(Source!AE141*Source!I141, 2))), 2)</f>
        <v>49.28</v>
      </c>
      <c r="V354">
        <f>Source!Y141</f>
        <v>330.65</v>
      </c>
    </row>
    <row r="355" spans="1:26" x14ac:dyDescent="0.2">
      <c r="C355" s="23" t="str">
        <f>"Объем: "&amp;Source!I141&amp;"=11/"&amp;"100"</f>
        <v>Объем: 0,11=11/100</v>
      </c>
    </row>
    <row r="356" spans="1:26" ht="14.25" x14ac:dyDescent="0.2">
      <c r="A356" s="45"/>
      <c r="B356" s="46"/>
      <c r="C356" s="46" t="s">
        <v>1167</v>
      </c>
      <c r="D356" s="29"/>
      <c r="E356" s="11"/>
      <c r="F356" s="30">
        <f>Source!AO141</f>
        <v>865.7</v>
      </c>
      <c r="G356" s="31" t="str">
        <f>Source!DG141</f>
        <v/>
      </c>
      <c r="H356" s="30">
        <f>ROUND(Source!AF141*Source!I141, 2)</f>
        <v>95.23</v>
      </c>
      <c r="I356" s="31"/>
      <c r="J356" s="31">
        <f>IF(Source!BA141&lt;&gt; 0, Source!BA141, 1)</f>
        <v>6.71</v>
      </c>
      <c r="K356" s="30">
        <f>Source!S141</f>
        <v>638.97</v>
      </c>
      <c r="L356" s="32"/>
      <c r="R356">
        <f>H356</f>
        <v>95.23</v>
      </c>
    </row>
    <row r="357" spans="1:26" ht="14.25" x14ac:dyDescent="0.2">
      <c r="A357" s="45"/>
      <c r="B357" s="46"/>
      <c r="C357" s="46" t="s">
        <v>382</v>
      </c>
      <c r="D357" s="29"/>
      <c r="E357" s="11"/>
      <c r="F357" s="30">
        <f>Source!AM141</f>
        <v>70.02</v>
      </c>
      <c r="G357" s="31" t="str">
        <f>Source!DE141</f>
        <v/>
      </c>
      <c r="H357" s="30">
        <f>ROUND(Source!AD141*Source!I141, 2)</f>
        <v>7.7</v>
      </c>
      <c r="I357" s="31"/>
      <c r="J357" s="31">
        <f>IF(Source!BB141&lt;&gt; 0, Source!BB141, 1)</f>
        <v>6.71</v>
      </c>
      <c r="K357" s="30">
        <f>Source!Q141</f>
        <v>51.68</v>
      </c>
      <c r="L357" s="32"/>
    </row>
    <row r="358" spans="1:26" ht="14.25" x14ac:dyDescent="0.2">
      <c r="A358" s="45"/>
      <c r="B358" s="46"/>
      <c r="C358" s="46" t="s">
        <v>1168</v>
      </c>
      <c r="D358" s="29"/>
      <c r="E358" s="11"/>
      <c r="F358" s="30">
        <f>Source!AN141</f>
        <v>30.24</v>
      </c>
      <c r="G358" s="31" t="str">
        <f>Source!DF141</f>
        <v/>
      </c>
      <c r="H358" s="33">
        <f>ROUND(Source!AE141*Source!I141, 2)</f>
        <v>3.33</v>
      </c>
      <c r="I358" s="31"/>
      <c r="J358" s="31">
        <f>IF(Source!BS141&lt;&gt; 0, Source!BS141, 1)</f>
        <v>6.71</v>
      </c>
      <c r="K358" s="33">
        <f>Source!R141</f>
        <v>22.32</v>
      </c>
      <c r="L358" s="32"/>
      <c r="R358">
        <f>H358</f>
        <v>3.33</v>
      </c>
    </row>
    <row r="359" spans="1:26" ht="14.25" x14ac:dyDescent="0.2">
      <c r="A359" s="45"/>
      <c r="B359" s="46"/>
      <c r="C359" s="46" t="s">
        <v>1169</v>
      </c>
      <c r="D359" s="29" t="s">
        <v>1170</v>
      </c>
      <c r="E359" s="11">
        <f>Source!BZ141</f>
        <v>74</v>
      </c>
      <c r="F359" s="49"/>
      <c r="G359" s="31"/>
      <c r="H359" s="30">
        <f>SUM(S354:S361)</f>
        <v>72.930000000000007</v>
      </c>
      <c r="I359" s="34"/>
      <c r="J359" s="27">
        <f>Source!AT141</f>
        <v>74</v>
      </c>
      <c r="K359" s="30">
        <f>SUM(T354:T361)</f>
        <v>489.35</v>
      </c>
      <c r="L359" s="32"/>
    </row>
    <row r="360" spans="1:26" ht="14.25" x14ac:dyDescent="0.2">
      <c r="A360" s="45"/>
      <c r="B360" s="46"/>
      <c r="C360" s="46" t="s">
        <v>1171</v>
      </c>
      <c r="D360" s="29" t="s">
        <v>1170</v>
      </c>
      <c r="E360" s="11">
        <f>Source!CA141</f>
        <v>50</v>
      </c>
      <c r="F360" s="49"/>
      <c r="G360" s="31"/>
      <c r="H360" s="30">
        <f>SUM(U354:U361)</f>
        <v>49.28</v>
      </c>
      <c r="I360" s="34"/>
      <c r="J360" s="27">
        <f>Source!AU141</f>
        <v>50</v>
      </c>
      <c r="K360" s="30">
        <f>SUM(V354:V361)</f>
        <v>330.65</v>
      </c>
      <c r="L360" s="32"/>
    </row>
    <row r="361" spans="1:26" ht="14.25" x14ac:dyDescent="0.2">
      <c r="A361" s="47"/>
      <c r="B361" s="48"/>
      <c r="C361" s="48" t="s">
        <v>1172</v>
      </c>
      <c r="D361" s="35" t="s">
        <v>1173</v>
      </c>
      <c r="E361" s="36">
        <f>Source!AQ141</f>
        <v>110</v>
      </c>
      <c r="F361" s="37"/>
      <c r="G361" s="38" t="str">
        <f>Source!DI141</f>
        <v/>
      </c>
      <c r="H361" s="37"/>
      <c r="I361" s="38"/>
      <c r="J361" s="38"/>
      <c r="K361" s="37"/>
      <c r="L361" s="39">
        <f>Source!U141</f>
        <v>12.1</v>
      </c>
    </row>
    <row r="362" spans="1:26" ht="15" x14ac:dyDescent="0.25">
      <c r="G362" s="72">
        <f>H356+H357+H359+H360</f>
        <v>225.14000000000001</v>
      </c>
      <c r="H362" s="72"/>
      <c r="J362" s="72">
        <f>K356+K357+K359+K360</f>
        <v>1510.65</v>
      </c>
      <c r="K362" s="72"/>
      <c r="L362" s="40">
        <f>Source!U141</f>
        <v>12.1</v>
      </c>
      <c r="O362" s="24">
        <f>G362</f>
        <v>225.14000000000001</v>
      </c>
      <c r="P362" s="24">
        <f>J362</f>
        <v>1510.65</v>
      </c>
      <c r="Q362" s="24">
        <f>L362</f>
        <v>12.1</v>
      </c>
      <c r="W362">
        <f>IF(Source!BI141&lt;=1,H356+H357+H359+H360, 0)</f>
        <v>225.14000000000001</v>
      </c>
      <c r="X362">
        <f>IF(Source!BI141=2,H356+H357+H359+H360, 0)</f>
        <v>0</v>
      </c>
      <c r="Y362">
        <f>IF(Source!BI141=3,H356+H357+H359+H360, 0)</f>
        <v>0</v>
      </c>
      <c r="Z362">
        <f>IF(Source!BI141=4,H356+H357+H359+H360, 0)</f>
        <v>0</v>
      </c>
    </row>
    <row r="363" spans="1:26" ht="28.5" x14ac:dyDescent="0.2">
      <c r="A363" s="45" t="str">
        <f>Source!E142</f>
        <v>34</v>
      </c>
      <c r="B363" s="46" t="str">
        <f>Source!F142</f>
        <v>18-03-001-02</v>
      </c>
      <c r="C363" s="46" t="str">
        <f>Source!G142</f>
        <v>Установка радиаторов стальных</v>
      </c>
      <c r="D363" s="29" t="str">
        <f>Source!H142</f>
        <v>100 квт</v>
      </c>
      <c r="E363" s="11">
        <f>Source!I142</f>
        <v>0.23039999999999999</v>
      </c>
      <c r="F363" s="30">
        <f>Source!AL142+Source!AM142+Source!AO142</f>
        <v>1942.27</v>
      </c>
      <c r="G363" s="31"/>
      <c r="H363" s="30"/>
      <c r="I363" s="31" t="str">
        <f>Source!BO142</f>
        <v/>
      </c>
      <c r="J363" s="31"/>
      <c r="K363" s="30"/>
      <c r="L363" s="32"/>
      <c r="S363">
        <f>ROUND((Source!FX142/100)*((ROUND(Source!AF142*Source!I142, 2)+ROUND(Source!AE142*Source!I142, 2))), 2)</f>
        <v>166.46</v>
      </c>
      <c r="T363">
        <f>Source!X142</f>
        <v>1115.05</v>
      </c>
      <c r="U363">
        <f>ROUND((Source!FY142/100)*((ROUND(Source!AF142*Source!I142, 2)+ROUND(Source!AE142*Source!I142, 2))), 2)</f>
        <v>101.94</v>
      </c>
      <c r="V363">
        <f>Source!Y142</f>
        <v>688.42</v>
      </c>
    </row>
    <row r="364" spans="1:26" x14ac:dyDescent="0.2">
      <c r="C364" s="23" t="str">
        <f>"Объем: "&amp;Source!I142&amp;"=23,04/"&amp;"100"</f>
        <v>Объем: 0,2304=23,04/100</v>
      </c>
    </row>
    <row r="365" spans="1:26" ht="14.25" x14ac:dyDescent="0.2">
      <c r="A365" s="45"/>
      <c r="B365" s="46"/>
      <c r="C365" s="46" t="s">
        <v>1167</v>
      </c>
      <c r="D365" s="29"/>
      <c r="E365" s="11"/>
      <c r="F365" s="30">
        <f>Source!AO142</f>
        <v>588.42999999999995</v>
      </c>
      <c r="G365" s="31" t="str">
        <f>Source!DG142</f>
        <v/>
      </c>
      <c r="H365" s="30">
        <f>ROUND(Source!AF142*Source!I142, 2)</f>
        <v>135.57</v>
      </c>
      <c r="I365" s="31"/>
      <c r="J365" s="31">
        <f>IF(Source!BA142&lt;&gt; 0, Source!BA142, 1)</f>
        <v>6.71</v>
      </c>
      <c r="K365" s="30">
        <f>Source!S142</f>
        <v>909.7</v>
      </c>
      <c r="L365" s="32"/>
      <c r="R365">
        <f>H365</f>
        <v>135.57</v>
      </c>
    </row>
    <row r="366" spans="1:26" ht="14.25" x14ac:dyDescent="0.2">
      <c r="A366" s="45"/>
      <c r="B366" s="46"/>
      <c r="C366" s="46" t="s">
        <v>382</v>
      </c>
      <c r="D366" s="29"/>
      <c r="E366" s="11"/>
      <c r="F366" s="30">
        <f>Source!AM142</f>
        <v>192.58</v>
      </c>
      <c r="G366" s="31" t="str">
        <f>Source!DE142</f>
        <v/>
      </c>
      <c r="H366" s="30">
        <f>ROUND(Source!AD142*Source!I142, 2)</f>
        <v>44.37</v>
      </c>
      <c r="I366" s="31"/>
      <c r="J366" s="31">
        <f>IF(Source!BB142&lt;&gt; 0, Source!BB142, 1)</f>
        <v>6.71</v>
      </c>
      <c r="K366" s="30">
        <f>Source!Q142</f>
        <v>297.73</v>
      </c>
      <c r="L366" s="32"/>
    </row>
    <row r="367" spans="1:26" ht="14.25" x14ac:dyDescent="0.2">
      <c r="A367" s="45"/>
      <c r="B367" s="46"/>
      <c r="C367" s="46" t="s">
        <v>1168</v>
      </c>
      <c r="D367" s="29"/>
      <c r="E367" s="11"/>
      <c r="F367" s="30">
        <f>Source!AN142</f>
        <v>38.75</v>
      </c>
      <c r="G367" s="31" t="str">
        <f>Source!DF142</f>
        <v/>
      </c>
      <c r="H367" s="33">
        <f>ROUND(Source!AE142*Source!I142, 2)</f>
        <v>8.93</v>
      </c>
      <c r="I367" s="31"/>
      <c r="J367" s="31">
        <f>IF(Source!BS142&lt;&gt; 0, Source!BS142, 1)</f>
        <v>6.71</v>
      </c>
      <c r="K367" s="33">
        <f>Source!R142</f>
        <v>59.91</v>
      </c>
      <c r="L367" s="32"/>
      <c r="R367">
        <f>H367</f>
        <v>8.93</v>
      </c>
    </row>
    <row r="368" spans="1:26" ht="14.25" x14ac:dyDescent="0.2">
      <c r="A368" s="45"/>
      <c r="B368" s="46"/>
      <c r="C368" s="46" t="s">
        <v>1174</v>
      </c>
      <c r="D368" s="29"/>
      <c r="E368" s="11"/>
      <c r="F368" s="30">
        <f>Source!AL142</f>
        <v>1161.26</v>
      </c>
      <c r="G368" s="31" t="str">
        <f>Source!DD142</f>
        <v/>
      </c>
      <c r="H368" s="30">
        <f>ROUND(Source!AC142*Source!I142, 2)</f>
        <v>267.55</v>
      </c>
      <c r="I368" s="31"/>
      <c r="J368" s="31">
        <f>IF(Source!BC142&lt;&gt; 0, Source!BC142, 1)</f>
        <v>6.71</v>
      </c>
      <c r="K368" s="30">
        <f>Source!P142</f>
        <v>1795.29</v>
      </c>
      <c r="L368" s="32"/>
    </row>
    <row r="369" spans="1:26" ht="14.25" x14ac:dyDescent="0.2">
      <c r="A369" s="45"/>
      <c r="B369" s="46"/>
      <c r="C369" s="46" t="s">
        <v>1169</v>
      </c>
      <c r="D369" s="29" t="s">
        <v>1170</v>
      </c>
      <c r="E369" s="11">
        <f>Source!BZ142</f>
        <v>128</v>
      </c>
      <c r="F369" s="74" t="str">
        <f>CONCATENATE(" )", Source!DL142, Source!FT142, "=", Source!FX142)</f>
        <v xml:space="preserve"> )*0,9=115,2</v>
      </c>
      <c r="G369" s="75"/>
      <c r="H369" s="30">
        <f>SUM(S363:S373)</f>
        <v>166.46</v>
      </c>
      <c r="I369" s="34"/>
      <c r="J369" s="27">
        <f>Source!AT142</f>
        <v>115</v>
      </c>
      <c r="K369" s="30">
        <f>SUM(T363:T373)</f>
        <v>1115.05</v>
      </c>
      <c r="L369" s="32"/>
    </row>
    <row r="370" spans="1:26" ht="14.25" x14ac:dyDescent="0.2">
      <c r="A370" s="45"/>
      <c r="B370" s="46"/>
      <c r="C370" s="46" t="s">
        <v>1171</v>
      </c>
      <c r="D370" s="29" t="s">
        <v>1170</v>
      </c>
      <c r="E370" s="11">
        <f>Source!CA142</f>
        <v>83</v>
      </c>
      <c r="F370" s="74" t="str">
        <f>CONCATENATE(" )", Source!DM142, Source!FU142, "=", Source!FY142)</f>
        <v xml:space="preserve"> )*0,85=70,55</v>
      </c>
      <c r="G370" s="75"/>
      <c r="H370" s="30">
        <f>SUM(U363:U373)</f>
        <v>101.94</v>
      </c>
      <c r="I370" s="34"/>
      <c r="J370" s="27">
        <f>Source!AU142</f>
        <v>71</v>
      </c>
      <c r="K370" s="30">
        <f>SUM(V363:V373)</f>
        <v>688.42</v>
      </c>
      <c r="L370" s="32"/>
    </row>
    <row r="371" spans="1:26" ht="14.25" x14ac:dyDescent="0.2">
      <c r="A371" s="45"/>
      <c r="B371" s="46"/>
      <c r="C371" s="46" t="s">
        <v>1172</v>
      </c>
      <c r="D371" s="29" t="s">
        <v>1173</v>
      </c>
      <c r="E371" s="11">
        <f>Source!AQ142</f>
        <v>65.599999999999994</v>
      </c>
      <c r="F371" s="30"/>
      <c r="G371" s="31" t="str">
        <f>Source!DI142</f>
        <v/>
      </c>
      <c r="H371" s="30"/>
      <c r="I371" s="31"/>
      <c r="J371" s="31"/>
      <c r="K371" s="30"/>
      <c r="L371" s="41">
        <f>Source!U142</f>
        <v>15.114239999999999</v>
      </c>
    </row>
    <row r="372" spans="1:26" ht="42.75" x14ac:dyDescent="0.2">
      <c r="A372" s="45" t="str">
        <f>Source!E143</f>
        <v>34,1</v>
      </c>
      <c r="B372" s="46" t="str">
        <f>Source!F143</f>
        <v>18.5.10.05-0009</v>
      </c>
      <c r="C372" s="46" t="str">
        <f>Source!G143</f>
        <v>Радиаторы биметаллические, марка «Rifar-A 500», количество секций 12, мощность 2304 Вт прим.</v>
      </c>
      <c r="D372" s="29" t="str">
        <f>Source!H143</f>
        <v>шт.</v>
      </c>
      <c r="E372" s="11">
        <f>Source!I143</f>
        <v>11</v>
      </c>
      <c r="F372" s="30">
        <f>Source!AL143+Source!AM143+Source!AO143</f>
        <v>1503.69</v>
      </c>
      <c r="G372" s="44" t="s">
        <v>6</v>
      </c>
      <c r="H372" s="30">
        <f>ROUND(Source!AC143*Source!I143, 2)+ROUND(Source!AD143*Source!I143, 2)+ROUND(Source!AF143*Source!I143, 2)</f>
        <v>16540.59</v>
      </c>
      <c r="I372" s="31"/>
      <c r="J372" s="31">
        <f>IF(Source!BC143&lt;&gt; 0, Source!BC143, 1)</f>
        <v>6.71</v>
      </c>
      <c r="K372" s="30">
        <f>Source!O143</f>
        <v>110987.36</v>
      </c>
      <c r="L372" s="32"/>
      <c r="S372">
        <f>ROUND((Source!FX143/100)*((ROUND(Source!AF143*Source!I143, 2)+ROUND(Source!AE143*Source!I143, 2))), 2)</f>
        <v>0</v>
      </c>
      <c r="T372">
        <f>Source!X143</f>
        <v>0</v>
      </c>
      <c r="U372">
        <f>ROUND((Source!FY143/100)*((ROUND(Source!AF143*Source!I143, 2)+ROUND(Source!AE143*Source!I143, 2))), 2)</f>
        <v>0</v>
      </c>
      <c r="V372">
        <f>Source!Y143</f>
        <v>0</v>
      </c>
      <c r="W372">
        <f>IF(Source!BI143&lt;=1,H372, 0)</f>
        <v>16540.59</v>
      </c>
      <c r="X372">
        <f>IF(Source!BI143=2,H372, 0)</f>
        <v>0</v>
      </c>
      <c r="Y372">
        <f>IF(Source!BI143=3,H372, 0)</f>
        <v>0</v>
      </c>
      <c r="Z372">
        <f>IF(Source!BI143=4,H372, 0)</f>
        <v>0</v>
      </c>
    </row>
    <row r="373" spans="1:26" ht="14.25" x14ac:dyDescent="0.2">
      <c r="A373" s="47" t="str">
        <f>Source!E144</f>
        <v>34,2</v>
      </c>
      <c r="B373" s="48" t="str">
        <f>Source!F144</f>
        <v>18.5.10.06</v>
      </c>
      <c r="C373" s="48" t="str">
        <f>Source!G144</f>
        <v>Радиаторы</v>
      </c>
      <c r="D373" s="35" t="str">
        <f>Source!H144</f>
        <v>квт</v>
      </c>
      <c r="E373" s="36">
        <f>Source!I144</f>
        <v>23.04</v>
      </c>
      <c r="F373" s="37">
        <f>Source!AL144+Source!AM144+Source!AO144</f>
        <v>0</v>
      </c>
      <c r="G373" s="42" t="s">
        <v>6</v>
      </c>
      <c r="H373" s="37">
        <f>ROUND(Source!AC144*Source!I144, 2)+ROUND(Source!AD144*Source!I144, 2)+ROUND(Source!AF144*Source!I144, 2)</f>
        <v>0</v>
      </c>
      <c r="I373" s="38"/>
      <c r="J373" s="38">
        <f>IF(Source!BC144&lt;&gt; 0, Source!BC144, 1)</f>
        <v>6.71</v>
      </c>
      <c r="K373" s="37">
        <f>Source!O144</f>
        <v>0</v>
      </c>
      <c r="L373" s="43"/>
      <c r="S373">
        <f>ROUND((Source!FX144/100)*((ROUND(Source!AF144*Source!I144, 2)+ROUND(Source!AE144*Source!I144, 2))), 2)</f>
        <v>0</v>
      </c>
      <c r="T373">
        <f>Source!X144</f>
        <v>0</v>
      </c>
      <c r="U373">
        <f>ROUND((Source!FY144/100)*((ROUND(Source!AF144*Source!I144, 2)+ROUND(Source!AE144*Source!I144, 2))), 2)</f>
        <v>0</v>
      </c>
      <c r="V373">
        <f>Source!Y144</f>
        <v>0</v>
      </c>
      <c r="W373">
        <f>IF(Source!BI144&lt;=1,H373, 0)</f>
        <v>0</v>
      </c>
      <c r="X373">
        <f>IF(Source!BI144=2,H373, 0)</f>
        <v>0</v>
      </c>
      <c r="Y373">
        <f>IF(Source!BI144=3,H373, 0)</f>
        <v>0</v>
      </c>
      <c r="Z373">
        <f>IF(Source!BI144=4,H373, 0)</f>
        <v>0</v>
      </c>
    </row>
    <row r="374" spans="1:26" ht="15" x14ac:dyDescent="0.25">
      <c r="G374" s="72">
        <f>H365+H366+H368+H369+H370+SUM(H372:H373)</f>
        <v>17256.48</v>
      </c>
      <c r="H374" s="72"/>
      <c r="J374" s="72">
        <f>K365+K366+K368+K369+K370+SUM(K372:K373)</f>
        <v>115793.55</v>
      </c>
      <c r="K374" s="72"/>
      <c r="L374" s="40">
        <f>Source!U142</f>
        <v>15.114239999999999</v>
      </c>
      <c r="O374" s="24">
        <f>G374</f>
        <v>17256.48</v>
      </c>
      <c r="P374" s="24">
        <f>J374</f>
        <v>115793.55</v>
      </c>
      <c r="Q374" s="24">
        <f>L374</f>
        <v>15.114239999999999</v>
      </c>
      <c r="W374">
        <f>IF(Source!BI142&lt;=1,H365+H366+H368+H369+H370, 0)</f>
        <v>715.8900000000001</v>
      </c>
      <c r="X374">
        <f>IF(Source!BI142=2,H365+H366+H368+H369+H370, 0)</f>
        <v>0</v>
      </c>
      <c r="Y374">
        <f>IF(Source!BI142=3,H365+H366+H368+H369+H370, 0)</f>
        <v>0</v>
      </c>
      <c r="Z374">
        <f>IF(Source!BI142=4,H365+H366+H368+H369+H370, 0)</f>
        <v>0</v>
      </c>
    </row>
    <row r="375" spans="1:26" ht="57" x14ac:dyDescent="0.2">
      <c r="A375" s="45" t="str">
        <f>Source!E145</f>
        <v>35</v>
      </c>
      <c r="B375" s="46" t="str">
        <f>Source!F145</f>
        <v>16-05-001-01</v>
      </c>
      <c r="C375" s="46" t="str">
        <f>Source!G145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375" s="29" t="str">
        <f>Source!H145</f>
        <v>ШТ</v>
      </c>
      <c r="E375" s="11">
        <f>Source!I145</f>
        <v>22</v>
      </c>
      <c r="F375" s="30">
        <f>Source!AL145+Source!AM145+Source!AO145</f>
        <v>42.04</v>
      </c>
      <c r="G375" s="31"/>
      <c r="H375" s="30"/>
      <c r="I375" s="31" t="str">
        <f>Source!BO145</f>
        <v/>
      </c>
      <c r="J375" s="31"/>
      <c r="K375" s="30"/>
      <c r="L375" s="32"/>
      <c r="S375">
        <f>ROUND((Source!FX145/100)*((ROUND(Source!AF145*Source!I145, 2)+ROUND(Source!AE145*Source!I145, 2))), 2)</f>
        <v>340.88</v>
      </c>
      <c r="T375">
        <f>Source!X145</f>
        <v>2283.3000000000002</v>
      </c>
      <c r="U375">
        <f>ROUND((Source!FY145/100)*((ROUND(Source!AF145*Source!I145, 2)+ROUND(Source!AE145*Source!I145, 2))), 2)</f>
        <v>208.76</v>
      </c>
      <c r="V375">
        <f>Source!Y145</f>
        <v>1409.69</v>
      </c>
    </row>
    <row r="376" spans="1:26" ht="14.25" x14ac:dyDescent="0.2">
      <c r="A376" s="45"/>
      <c r="B376" s="46"/>
      <c r="C376" s="46" t="s">
        <v>1167</v>
      </c>
      <c r="D376" s="29"/>
      <c r="E376" s="11"/>
      <c r="F376" s="30">
        <f>Source!AO145</f>
        <v>13.33</v>
      </c>
      <c r="G376" s="31" t="str">
        <f>Source!DG145</f>
        <v/>
      </c>
      <c r="H376" s="30">
        <f>ROUND(Source!AF145*Source!I145, 2)</f>
        <v>293.26</v>
      </c>
      <c r="I376" s="31"/>
      <c r="J376" s="31">
        <f>IF(Source!BA145&lt;&gt; 0, Source!BA145, 1)</f>
        <v>6.71</v>
      </c>
      <c r="K376" s="30">
        <f>Source!S145</f>
        <v>1967.77</v>
      </c>
      <c r="L376" s="32"/>
      <c r="R376">
        <f>H376</f>
        <v>293.26</v>
      </c>
    </row>
    <row r="377" spans="1:26" ht="14.25" x14ac:dyDescent="0.2">
      <c r="A377" s="45"/>
      <c r="B377" s="46"/>
      <c r="C377" s="46" t="s">
        <v>382</v>
      </c>
      <c r="D377" s="29"/>
      <c r="E377" s="11"/>
      <c r="F377" s="30">
        <f>Source!AM145</f>
        <v>3.5</v>
      </c>
      <c r="G377" s="31" t="str">
        <f>Source!DE145</f>
        <v/>
      </c>
      <c r="H377" s="30">
        <f>ROUND(Source!AD145*Source!I145, 2)</f>
        <v>77</v>
      </c>
      <c r="I377" s="31"/>
      <c r="J377" s="31">
        <f>IF(Source!BB145&lt;&gt; 0, Source!BB145, 1)</f>
        <v>6.71</v>
      </c>
      <c r="K377" s="30">
        <f>Source!Q145</f>
        <v>516.66999999999996</v>
      </c>
      <c r="L377" s="32"/>
    </row>
    <row r="378" spans="1:26" ht="14.25" x14ac:dyDescent="0.2">
      <c r="A378" s="45"/>
      <c r="B378" s="46"/>
      <c r="C378" s="46" t="s">
        <v>1168</v>
      </c>
      <c r="D378" s="29"/>
      <c r="E378" s="11"/>
      <c r="F378" s="30">
        <f>Source!AN145</f>
        <v>0.12</v>
      </c>
      <c r="G378" s="31" t="str">
        <f>Source!DF145</f>
        <v/>
      </c>
      <c r="H378" s="33">
        <f>ROUND(Source!AE145*Source!I145, 2)</f>
        <v>2.64</v>
      </c>
      <c r="I378" s="31"/>
      <c r="J378" s="31">
        <f>IF(Source!BS145&lt;&gt; 0, Source!BS145, 1)</f>
        <v>6.71</v>
      </c>
      <c r="K378" s="33">
        <f>Source!R145</f>
        <v>17.71</v>
      </c>
      <c r="L378" s="32"/>
      <c r="R378">
        <f>H378</f>
        <v>2.64</v>
      </c>
    </row>
    <row r="379" spans="1:26" ht="14.25" x14ac:dyDescent="0.2">
      <c r="A379" s="45"/>
      <c r="B379" s="46"/>
      <c r="C379" s="46" t="s">
        <v>1174</v>
      </c>
      <c r="D379" s="29"/>
      <c r="E379" s="11"/>
      <c r="F379" s="30">
        <f>Source!AL145</f>
        <v>25.21</v>
      </c>
      <c r="G379" s="31" t="str">
        <f>Source!DD145</f>
        <v/>
      </c>
      <c r="H379" s="30">
        <f>ROUND(Source!AC145*Source!I145, 2)</f>
        <v>554.62</v>
      </c>
      <c r="I379" s="31"/>
      <c r="J379" s="31">
        <f>IF(Source!BC145&lt;&gt; 0, Source!BC145, 1)</f>
        <v>6.71</v>
      </c>
      <c r="K379" s="30">
        <f>Source!P145</f>
        <v>3721.5</v>
      </c>
      <c r="L379" s="32"/>
    </row>
    <row r="380" spans="1:26" ht="14.25" x14ac:dyDescent="0.2">
      <c r="A380" s="45"/>
      <c r="B380" s="46"/>
      <c r="C380" s="46" t="s">
        <v>1169</v>
      </c>
      <c r="D380" s="29" t="s">
        <v>1170</v>
      </c>
      <c r="E380" s="11">
        <f>Source!BZ145</f>
        <v>128</v>
      </c>
      <c r="F380" s="74" t="str">
        <f>CONCATENATE(" )", Source!DL145, Source!FT145, "=", Source!FX145)</f>
        <v xml:space="preserve"> )*0,9=115,2</v>
      </c>
      <c r="G380" s="75"/>
      <c r="H380" s="30">
        <f>SUM(S375:S383)</f>
        <v>340.88</v>
      </c>
      <c r="I380" s="34"/>
      <c r="J380" s="27">
        <f>Source!AT145</f>
        <v>115</v>
      </c>
      <c r="K380" s="30">
        <f>SUM(T375:T383)</f>
        <v>2283.3000000000002</v>
      </c>
      <c r="L380" s="32"/>
    </row>
    <row r="381" spans="1:26" ht="14.25" x14ac:dyDescent="0.2">
      <c r="A381" s="45"/>
      <c r="B381" s="46"/>
      <c r="C381" s="46" t="s">
        <v>1171</v>
      </c>
      <c r="D381" s="29" t="s">
        <v>1170</v>
      </c>
      <c r="E381" s="11">
        <f>Source!CA145</f>
        <v>83</v>
      </c>
      <c r="F381" s="74" t="str">
        <f>CONCATENATE(" )", Source!DM145, Source!FU145, "=", Source!FY145)</f>
        <v xml:space="preserve"> )*0,85=70,55</v>
      </c>
      <c r="G381" s="75"/>
      <c r="H381" s="30">
        <f>SUM(U375:U383)</f>
        <v>208.76</v>
      </c>
      <c r="I381" s="34"/>
      <c r="J381" s="27">
        <f>Source!AU145</f>
        <v>71</v>
      </c>
      <c r="K381" s="30">
        <f>SUM(V375:V383)</f>
        <v>1409.69</v>
      </c>
      <c r="L381" s="32"/>
    </row>
    <row r="382" spans="1:26" ht="14.25" x14ac:dyDescent="0.2">
      <c r="A382" s="45"/>
      <c r="B382" s="46"/>
      <c r="C382" s="46" t="s">
        <v>1172</v>
      </c>
      <c r="D382" s="29" t="s">
        <v>1173</v>
      </c>
      <c r="E382" s="11">
        <f>Source!AQ145</f>
        <v>1.47</v>
      </c>
      <c r="F382" s="30"/>
      <c r="G382" s="31" t="str">
        <f>Source!DI145</f>
        <v/>
      </c>
      <c r="H382" s="30"/>
      <c r="I382" s="31"/>
      <c r="J382" s="31"/>
      <c r="K382" s="30"/>
      <c r="L382" s="41">
        <f>Source!U145</f>
        <v>32.339999999999996</v>
      </c>
    </row>
    <row r="383" spans="1:26" ht="28.5" x14ac:dyDescent="0.2">
      <c r="A383" s="47" t="str">
        <f>Source!E146</f>
        <v>35,1</v>
      </c>
      <c r="B383" s="48" t="str">
        <f>Source!F146</f>
        <v>18.1.09.06-0067</v>
      </c>
      <c r="C383" s="48" t="str">
        <f>Source!G146</f>
        <v>Кран шаровый муфтовый Valtec для воды диаметром 20 мм со сгоном</v>
      </c>
      <c r="D383" s="35" t="str">
        <f>Source!H146</f>
        <v>шт.</v>
      </c>
      <c r="E383" s="36">
        <f>Source!I146</f>
        <v>22</v>
      </c>
      <c r="F383" s="37">
        <f>Source!AL146+Source!AM146+Source!AO146</f>
        <v>54.73</v>
      </c>
      <c r="G383" s="42" t="s">
        <v>6</v>
      </c>
      <c r="H383" s="37">
        <f>ROUND(Source!AC146*Source!I146, 2)+ROUND(Source!AD146*Source!I146, 2)+ROUND(Source!AF146*Source!I146, 2)</f>
        <v>1204.06</v>
      </c>
      <c r="I383" s="38"/>
      <c r="J383" s="38">
        <f>IF(Source!BC146&lt;&gt; 0, Source!BC146, 1)</f>
        <v>6.71</v>
      </c>
      <c r="K383" s="37">
        <f>Source!O146</f>
        <v>8079.24</v>
      </c>
      <c r="L383" s="43"/>
      <c r="S383">
        <f>ROUND((Source!FX146/100)*((ROUND(Source!AF146*Source!I146, 2)+ROUND(Source!AE146*Source!I146, 2))), 2)</f>
        <v>0</v>
      </c>
      <c r="T383">
        <f>Source!X146</f>
        <v>0</v>
      </c>
      <c r="U383">
        <f>ROUND((Source!FY146/100)*((ROUND(Source!AF146*Source!I146, 2)+ROUND(Source!AE146*Source!I146, 2))), 2)</f>
        <v>0</v>
      </c>
      <c r="V383">
        <f>Source!Y146</f>
        <v>0</v>
      </c>
      <c r="W383">
        <f>IF(Source!BI146&lt;=1,H383, 0)</f>
        <v>1204.06</v>
      </c>
      <c r="X383">
        <f>IF(Source!BI146=2,H383, 0)</f>
        <v>0</v>
      </c>
      <c r="Y383">
        <f>IF(Source!BI146=3,H383, 0)</f>
        <v>0</v>
      </c>
      <c r="Z383">
        <f>IF(Source!BI146=4,H383, 0)</f>
        <v>0</v>
      </c>
    </row>
    <row r="384" spans="1:26" ht="15" x14ac:dyDescent="0.25">
      <c r="G384" s="72">
        <f>H376+H377+H379+H380+H381+SUM(H383:H383)</f>
        <v>2678.58</v>
      </c>
      <c r="H384" s="72"/>
      <c r="J384" s="72">
        <f>K376+K377+K379+K380+K381+SUM(K383:K383)</f>
        <v>17978.170000000002</v>
      </c>
      <c r="K384" s="72"/>
      <c r="L384" s="40">
        <f>Source!U145</f>
        <v>32.339999999999996</v>
      </c>
      <c r="O384" s="24">
        <f>G384</f>
        <v>2678.58</v>
      </c>
      <c r="P384" s="24">
        <f>J384</f>
        <v>17978.170000000002</v>
      </c>
      <c r="Q384" s="24">
        <f>L384</f>
        <v>32.339999999999996</v>
      </c>
      <c r="W384">
        <f>IF(Source!BI145&lt;=1,H376+H377+H379+H380+H381, 0)</f>
        <v>1474.52</v>
      </c>
      <c r="X384">
        <f>IF(Source!BI145=2,H376+H377+H379+H380+H381, 0)</f>
        <v>0</v>
      </c>
      <c r="Y384">
        <f>IF(Source!BI145=3,H376+H377+H379+H380+H381, 0)</f>
        <v>0</v>
      </c>
      <c r="Z384">
        <f>IF(Source!BI145=4,H376+H377+H379+H380+H381, 0)</f>
        <v>0</v>
      </c>
    </row>
    <row r="385" spans="1:26" ht="57" x14ac:dyDescent="0.2">
      <c r="A385" s="45" t="str">
        <f>Source!E147</f>
        <v>36</v>
      </c>
      <c r="B385" s="46" t="str">
        <f>Source!F147</f>
        <v>15-04-030-04</v>
      </c>
      <c r="C385" s="46" t="str">
        <f>Source!G147</f>
        <v>Масляная окраска металлических поверхностей решеток, переплетов, труб диаметром менее 50 мм и т.п., количество окрасок 2</v>
      </c>
      <c r="D385" s="29" t="str">
        <f>Source!H147</f>
        <v>100 м2</v>
      </c>
      <c r="E385" s="11">
        <f>Source!I147</f>
        <v>6.2399999999999997E-2</v>
      </c>
      <c r="F385" s="30">
        <f>Source!AL147+Source!AM147+Source!AO147</f>
        <v>720.44</v>
      </c>
      <c r="G385" s="31"/>
      <c r="H385" s="30"/>
      <c r="I385" s="31" t="str">
        <f>Source!BO147</f>
        <v/>
      </c>
      <c r="J385" s="31"/>
      <c r="K385" s="30"/>
      <c r="L385" s="32"/>
      <c r="S385">
        <f>ROUND((Source!FX147/100)*((ROUND(Source!AF147*Source!I147, 2)+ROUND(Source!AE147*Source!I147, 2))), 2)</f>
        <v>37.159999999999997</v>
      </c>
      <c r="T385">
        <f>Source!X147</f>
        <v>250.63</v>
      </c>
      <c r="U385">
        <f>ROUND((Source!FY147/100)*((ROUND(Source!AF147*Source!I147, 2)+ROUND(Source!AE147*Source!I147, 2))), 2)</f>
        <v>18.38</v>
      </c>
      <c r="V385">
        <f>Source!Y147</f>
        <v>124</v>
      </c>
    </row>
    <row r="386" spans="1:26" x14ac:dyDescent="0.2">
      <c r="C386" s="23" t="str">
        <f>"Объем: "&amp;Source!I147&amp;"=6,24/"&amp;"100"</f>
        <v>Объем: 0,0624=6,24/100</v>
      </c>
    </row>
    <row r="387" spans="1:26" ht="14.25" x14ac:dyDescent="0.2">
      <c r="A387" s="45"/>
      <c r="B387" s="46"/>
      <c r="C387" s="46" t="s">
        <v>1167</v>
      </c>
      <c r="D387" s="29"/>
      <c r="E387" s="11"/>
      <c r="F387" s="30">
        <f>Source!AO147</f>
        <v>629.59</v>
      </c>
      <c r="G387" s="31" t="str">
        <f>Source!DG147</f>
        <v/>
      </c>
      <c r="H387" s="30">
        <f>ROUND(Source!AF147*Source!I147, 2)</f>
        <v>39.29</v>
      </c>
      <c r="I387" s="31"/>
      <c r="J387" s="31">
        <f>IF(Source!BA147&lt;&gt; 0, Source!BA147, 1)</f>
        <v>6.71</v>
      </c>
      <c r="K387" s="30">
        <f>Source!S147</f>
        <v>263.61</v>
      </c>
      <c r="L387" s="32"/>
      <c r="R387">
        <f>H387</f>
        <v>39.29</v>
      </c>
    </row>
    <row r="388" spans="1:26" ht="14.25" x14ac:dyDescent="0.2">
      <c r="A388" s="45"/>
      <c r="B388" s="46"/>
      <c r="C388" s="46" t="s">
        <v>382</v>
      </c>
      <c r="D388" s="29"/>
      <c r="E388" s="11"/>
      <c r="F388" s="30">
        <f>Source!AM147</f>
        <v>2.2799999999999998</v>
      </c>
      <c r="G388" s="31" t="str">
        <f>Source!DE147</f>
        <v/>
      </c>
      <c r="H388" s="30">
        <f>ROUND(Source!AD147*Source!I147, 2)</f>
        <v>0.14000000000000001</v>
      </c>
      <c r="I388" s="31"/>
      <c r="J388" s="31">
        <f>IF(Source!BB147&lt;&gt; 0, Source!BB147, 1)</f>
        <v>6.71</v>
      </c>
      <c r="K388" s="30">
        <f>Source!Q147</f>
        <v>0.95</v>
      </c>
      <c r="L388" s="32"/>
    </row>
    <row r="389" spans="1:26" ht="14.25" x14ac:dyDescent="0.2">
      <c r="A389" s="45"/>
      <c r="B389" s="46"/>
      <c r="C389" s="46" t="s">
        <v>1168</v>
      </c>
      <c r="D389" s="29"/>
      <c r="E389" s="11"/>
      <c r="F389" s="30">
        <f>Source!AN147</f>
        <v>0.49</v>
      </c>
      <c r="G389" s="31" t="str">
        <f>Source!DF147</f>
        <v/>
      </c>
      <c r="H389" s="33">
        <f>ROUND(Source!AE147*Source!I147, 2)</f>
        <v>0.03</v>
      </c>
      <c r="I389" s="31"/>
      <c r="J389" s="31">
        <f>IF(Source!BS147&lt;&gt; 0, Source!BS147, 1)</f>
        <v>6.71</v>
      </c>
      <c r="K389" s="33">
        <f>Source!R147</f>
        <v>0.21</v>
      </c>
      <c r="L389" s="32"/>
      <c r="R389">
        <f>H389</f>
        <v>0.03</v>
      </c>
    </row>
    <row r="390" spans="1:26" ht="14.25" x14ac:dyDescent="0.2">
      <c r="A390" s="45"/>
      <c r="B390" s="46"/>
      <c r="C390" s="46" t="s">
        <v>1174</v>
      </c>
      <c r="D390" s="29"/>
      <c r="E390" s="11"/>
      <c r="F390" s="30">
        <f>Source!AL147</f>
        <v>88.57</v>
      </c>
      <c r="G390" s="31" t="str">
        <f>Source!DD147</f>
        <v/>
      </c>
      <c r="H390" s="30">
        <f>ROUND(Source!AC147*Source!I147, 2)</f>
        <v>5.53</v>
      </c>
      <c r="I390" s="31"/>
      <c r="J390" s="31">
        <f>IF(Source!BC147&lt;&gt; 0, Source!BC147, 1)</f>
        <v>6.71</v>
      </c>
      <c r="K390" s="30">
        <f>Source!P147</f>
        <v>37.08</v>
      </c>
      <c r="L390" s="32"/>
    </row>
    <row r="391" spans="1:26" ht="14.25" x14ac:dyDescent="0.2">
      <c r="A391" s="45"/>
      <c r="B391" s="46"/>
      <c r="C391" s="46" t="s">
        <v>1169</v>
      </c>
      <c r="D391" s="29" t="s">
        <v>1170</v>
      </c>
      <c r="E391" s="11">
        <f>Source!BZ147</f>
        <v>105</v>
      </c>
      <c r="F391" s="74" t="str">
        <f>CONCATENATE(" )", Source!DL147, Source!FT147, "=", Source!FX147)</f>
        <v xml:space="preserve"> )*0,9=94,5</v>
      </c>
      <c r="G391" s="75"/>
      <c r="H391" s="30">
        <f>SUM(S385:S395)</f>
        <v>37.159999999999997</v>
      </c>
      <c r="I391" s="34"/>
      <c r="J391" s="27">
        <f>Source!AT147</f>
        <v>95</v>
      </c>
      <c r="K391" s="30">
        <f>SUM(T385:T395)</f>
        <v>250.63</v>
      </c>
      <c r="L391" s="32"/>
    </row>
    <row r="392" spans="1:26" ht="14.25" x14ac:dyDescent="0.2">
      <c r="A392" s="45"/>
      <c r="B392" s="46"/>
      <c r="C392" s="46" t="s">
        <v>1171</v>
      </c>
      <c r="D392" s="29" t="s">
        <v>1170</v>
      </c>
      <c r="E392" s="11">
        <f>Source!CA147</f>
        <v>55</v>
      </c>
      <c r="F392" s="74" t="str">
        <f>CONCATENATE(" )", Source!DM147, Source!FU147, "=", Source!FY147)</f>
        <v xml:space="preserve"> )*0,85=46,75</v>
      </c>
      <c r="G392" s="75"/>
      <c r="H392" s="30">
        <f>SUM(U385:U395)</f>
        <v>18.38</v>
      </c>
      <c r="I392" s="34"/>
      <c r="J392" s="27">
        <f>Source!AU147</f>
        <v>47</v>
      </c>
      <c r="K392" s="30">
        <f>SUM(V385:V395)</f>
        <v>124</v>
      </c>
      <c r="L392" s="32"/>
    </row>
    <row r="393" spans="1:26" ht="14.25" x14ac:dyDescent="0.2">
      <c r="A393" s="45"/>
      <c r="B393" s="46"/>
      <c r="C393" s="46" t="s">
        <v>1172</v>
      </c>
      <c r="D393" s="29" t="s">
        <v>1173</v>
      </c>
      <c r="E393" s="11">
        <f>Source!AQ147</f>
        <v>71.06</v>
      </c>
      <c r="F393" s="30"/>
      <c r="G393" s="31" t="str">
        <f>Source!DI147</f>
        <v/>
      </c>
      <c r="H393" s="30"/>
      <c r="I393" s="31"/>
      <c r="J393" s="31"/>
      <c r="K393" s="30"/>
      <c r="L393" s="41">
        <f>Source!U147</f>
        <v>4.4341439999999999</v>
      </c>
    </row>
    <row r="394" spans="1:26" ht="28.5" x14ac:dyDescent="0.2">
      <c r="A394" s="45" t="str">
        <f>Source!E148</f>
        <v>36,1</v>
      </c>
      <c r="B394" s="46" t="str">
        <f>Source!F148</f>
        <v>14.4.02.04</v>
      </c>
      <c r="C394" s="46" t="str">
        <f>Source!G148</f>
        <v>Краски для внутренних работ масляные готовые к применению</v>
      </c>
      <c r="D394" s="29" t="str">
        <f>Source!H148</f>
        <v>т</v>
      </c>
      <c r="E394" s="11">
        <f>Source!I148</f>
        <v>1.5349999999999999E-3</v>
      </c>
      <c r="F394" s="30">
        <f>Source!AL148+Source!AM148+Source!AO148</f>
        <v>0</v>
      </c>
      <c r="G394" s="44" t="s">
        <v>6</v>
      </c>
      <c r="H394" s="30">
        <f>ROUND(Source!AC148*Source!I148, 2)+ROUND(Source!AD148*Source!I148, 2)+ROUND(Source!AF148*Source!I148, 2)</f>
        <v>0</v>
      </c>
      <c r="I394" s="31"/>
      <c r="J394" s="31">
        <f>IF(Source!BC148&lt;&gt; 0, Source!BC148, 1)</f>
        <v>6.71</v>
      </c>
      <c r="K394" s="30">
        <f>Source!O148</f>
        <v>0</v>
      </c>
      <c r="L394" s="32"/>
      <c r="S394">
        <f>ROUND((Source!FX148/100)*((ROUND(Source!AF148*Source!I148, 2)+ROUND(Source!AE148*Source!I148, 2))), 2)</f>
        <v>0</v>
      </c>
      <c r="T394">
        <f>Source!X148</f>
        <v>0</v>
      </c>
      <c r="U394">
        <f>ROUND((Source!FY148/100)*((ROUND(Source!AF148*Source!I148, 2)+ROUND(Source!AE148*Source!I148, 2))), 2)</f>
        <v>0</v>
      </c>
      <c r="V394">
        <f>Source!Y148</f>
        <v>0</v>
      </c>
      <c r="W394">
        <f>IF(Source!BI148&lt;=1,H394, 0)</f>
        <v>0</v>
      </c>
      <c r="X394">
        <f>IF(Source!BI148=2,H394, 0)</f>
        <v>0</v>
      </c>
      <c r="Y394">
        <f>IF(Source!BI148=3,H394, 0)</f>
        <v>0</v>
      </c>
      <c r="Z394">
        <f>IF(Source!BI148=4,H394, 0)</f>
        <v>0</v>
      </c>
    </row>
    <row r="395" spans="1:26" ht="42.75" x14ac:dyDescent="0.2">
      <c r="A395" s="47" t="str">
        <f>Source!E149</f>
        <v>36,2</v>
      </c>
      <c r="B395" s="48" t="str">
        <f>Source!F149</f>
        <v>14.4.02.04-0101</v>
      </c>
      <c r="C395" s="48" t="str">
        <f>Source!G149</f>
        <v>Краски для внутренних работ масляные готовые к применению МА-15 БИО</v>
      </c>
      <c r="D395" s="35" t="str">
        <f>Source!H149</f>
        <v>т</v>
      </c>
      <c r="E395" s="36">
        <f>Source!I149</f>
        <v>1.5349999999999999E-3</v>
      </c>
      <c r="F395" s="37">
        <f>Source!AL149+Source!AM149+Source!AO149</f>
        <v>42508.19</v>
      </c>
      <c r="G395" s="42" t="s">
        <v>6</v>
      </c>
      <c r="H395" s="37">
        <f>ROUND(Source!AC149*Source!I149, 2)+ROUND(Source!AD149*Source!I149, 2)+ROUND(Source!AF149*Source!I149, 2)</f>
        <v>65.25</v>
      </c>
      <c r="I395" s="38"/>
      <c r="J395" s="38">
        <f>IF(Source!BC149&lt;&gt; 0, Source!BC149, 1)</f>
        <v>6.71</v>
      </c>
      <c r="K395" s="37">
        <f>Source!O149</f>
        <v>437.83</v>
      </c>
      <c r="L395" s="43"/>
      <c r="S395">
        <f>ROUND((Source!FX149/100)*((ROUND(Source!AF149*Source!I149, 2)+ROUND(Source!AE149*Source!I149, 2))), 2)</f>
        <v>0</v>
      </c>
      <c r="T395">
        <f>Source!X149</f>
        <v>0</v>
      </c>
      <c r="U395">
        <f>ROUND((Source!FY149/100)*((ROUND(Source!AF149*Source!I149, 2)+ROUND(Source!AE149*Source!I149, 2))), 2)</f>
        <v>0</v>
      </c>
      <c r="V395">
        <f>Source!Y149</f>
        <v>0</v>
      </c>
      <c r="W395">
        <f>IF(Source!BI149&lt;=1,H395, 0)</f>
        <v>65.25</v>
      </c>
      <c r="X395">
        <f>IF(Source!BI149=2,H395, 0)</f>
        <v>0</v>
      </c>
      <c r="Y395">
        <f>IF(Source!BI149=3,H395, 0)</f>
        <v>0</v>
      </c>
      <c r="Z395">
        <f>IF(Source!BI149=4,H395, 0)</f>
        <v>0</v>
      </c>
    </row>
    <row r="396" spans="1:26" ht="15" x14ac:dyDescent="0.25">
      <c r="G396" s="72">
        <f>H387+H388+H390+H391+H392+SUM(H394:H395)</f>
        <v>165.75</v>
      </c>
      <c r="H396" s="72"/>
      <c r="J396" s="72">
        <f>K387+K388+K390+K391+K392+SUM(K394:K395)</f>
        <v>1114.0999999999999</v>
      </c>
      <c r="K396" s="72"/>
      <c r="L396" s="40">
        <f>Source!U147</f>
        <v>4.4341439999999999</v>
      </c>
      <c r="O396" s="24">
        <f>G396</f>
        <v>165.75</v>
      </c>
      <c r="P396" s="24">
        <f>J396</f>
        <v>1114.0999999999999</v>
      </c>
      <c r="Q396" s="24">
        <f>L396</f>
        <v>4.4341439999999999</v>
      </c>
      <c r="W396">
        <f>IF(Source!BI147&lt;=1,H387+H388+H390+H391+H392, 0)</f>
        <v>100.5</v>
      </c>
      <c r="X396">
        <f>IF(Source!BI147=2,H387+H388+H390+H391+H392, 0)</f>
        <v>0</v>
      </c>
      <c r="Y396">
        <f>IF(Source!BI147=3,H387+H388+H390+H391+H392, 0)</f>
        <v>0</v>
      </c>
      <c r="Z396">
        <f>IF(Source!BI147=4,H387+H388+H390+H391+H392, 0)</f>
        <v>0</v>
      </c>
    </row>
    <row r="397" spans="1:26" ht="28.5" x14ac:dyDescent="0.2">
      <c r="A397" s="45" t="str">
        <f>Source!E150</f>
        <v>37</v>
      </c>
      <c r="B397" s="46" t="str">
        <f>Source!F150</f>
        <v>65-24-1</v>
      </c>
      <c r="C397" s="46" t="str">
        <f>Source!G150</f>
        <v>Проверка на прогрев отопительных приборов с регулировкой</v>
      </c>
      <c r="D397" s="29" t="str">
        <f>Source!H150</f>
        <v>100 ШТ</v>
      </c>
      <c r="E397" s="11">
        <f>Source!I150</f>
        <v>0.11</v>
      </c>
      <c r="F397" s="30">
        <f>Source!AL150+Source!AM150+Source!AO150</f>
        <v>134.18</v>
      </c>
      <c r="G397" s="31"/>
      <c r="H397" s="30"/>
      <c r="I397" s="31" t="str">
        <f>Source!BO150</f>
        <v/>
      </c>
      <c r="J397" s="31"/>
      <c r="K397" s="30"/>
      <c r="L397" s="32"/>
      <c r="S397">
        <f>ROUND((Source!FX150/100)*((ROUND(Source!AF150*Source!I150, 2)+ROUND(Source!AE150*Source!I150, 2))), 2)</f>
        <v>10.92</v>
      </c>
      <c r="T397">
        <f>Source!X150</f>
        <v>73.290000000000006</v>
      </c>
      <c r="U397">
        <f>ROUND((Source!FY150/100)*((ROUND(Source!AF150*Source!I150, 2)+ROUND(Source!AE150*Source!I150, 2))), 2)</f>
        <v>7.38</v>
      </c>
      <c r="V397">
        <f>Source!Y150</f>
        <v>49.52</v>
      </c>
    </row>
    <row r="398" spans="1:26" x14ac:dyDescent="0.2">
      <c r="C398" s="23" t="str">
        <f>"Объем: "&amp;Source!I150&amp;"=11/"&amp;"100"</f>
        <v>Объем: 0,11=11/100</v>
      </c>
    </row>
    <row r="399" spans="1:26" ht="14.25" x14ac:dyDescent="0.2">
      <c r="A399" s="45"/>
      <c r="B399" s="46"/>
      <c r="C399" s="46" t="s">
        <v>1167</v>
      </c>
      <c r="D399" s="29"/>
      <c r="E399" s="11"/>
      <c r="F399" s="30">
        <f>Source!AO150</f>
        <v>134.18</v>
      </c>
      <c r="G399" s="31" t="str">
        <f>Source!DG150</f>
        <v/>
      </c>
      <c r="H399" s="30">
        <f>ROUND(Source!AF150*Source!I150, 2)</f>
        <v>14.76</v>
      </c>
      <c r="I399" s="31"/>
      <c r="J399" s="31">
        <f>IF(Source!BA150&lt;&gt; 0, Source!BA150, 1)</f>
        <v>6.71</v>
      </c>
      <c r="K399" s="30">
        <f>Source!S150</f>
        <v>99.04</v>
      </c>
      <c r="L399" s="32"/>
      <c r="R399">
        <f>H399</f>
        <v>14.76</v>
      </c>
    </row>
    <row r="400" spans="1:26" ht="14.25" x14ac:dyDescent="0.2">
      <c r="A400" s="45"/>
      <c r="B400" s="46"/>
      <c r="C400" s="46" t="s">
        <v>1169</v>
      </c>
      <c r="D400" s="29" t="s">
        <v>1170</v>
      </c>
      <c r="E400" s="11">
        <f>Source!BZ150</f>
        <v>74</v>
      </c>
      <c r="F400" s="49"/>
      <c r="G400" s="31"/>
      <c r="H400" s="30">
        <f>SUM(S397:S402)</f>
        <v>10.92</v>
      </c>
      <c r="I400" s="34"/>
      <c r="J400" s="27">
        <f>Source!AT150</f>
        <v>74</v>
      </c>
      <c r="K400" s="30">
        <f>SUM(T397:T402)</f>
        <v>73.290000000000006</v>
      </c>
      <c r="L400" s="32"/>
    </row>
    <row r="401" spans="1:26" ht="14.25" x14ac:dyDescent="0.2">
      <c r="A401" s="45"/>
      <c r="B401" s="46"/>
      <c r="C401" s="46" t="s">
        <v>1171</v>
      </c>
      <c r="D401" s="29" t="s">
        <v>1170</v>
      </c>
      <c r="E401" s="11">
        <f>Source!CA150</f>
        <v>50</v>
      </c>
      <c r="F401" s="49"/>
      <c r="G401" s="31"/>
      <c r="H401" s="30">
        <f>SUM(U397:U402)</f>
        <v>7.38</v>
      </c>
      <c r="I401" s="34"/>
      <c r="J401" s="27">
        <f>Source!AU150</f>
        <v>50</v>
      </c>
      <c r="K401" s="30">
        <f>SUM(V397:V402)</f>
        <v>49.52</v>
      </c>
      <c r="L401" s="32"/>
    </row>
    <row r="402" spans="1:26" ht="14.25" x14ac:dyDescent="0.2">
      <c r="A402" s="47"/>
      <c r="B402" s="48"/>
      <c r="C402" s="48" t="s">
        <v>1172</v>
      </c>
      <c r="D402" s="35" t="s">
        <v>1173</v>
      </c>
      <c r="E402" s="36">
        <f>Source!AQ150</f>
        <v>15.73</v>
      </c>
      <c r="F402" s="37"/>
      <c r="G402" s="38" t="str">
        <f>Source!DI150</f>
        <v/>
      </c>
      <c r="H402" s="37"/>
      <c r="I402" s="38"/>
      <c r="J402" s="38"/>
      <c r="K402" s="37"/>
      <c r="L402" s="39">
        <f>Source!U150</f>
        <v>1.7302999999999999</v>
      </c>
    </row>
    <row r="403" spans="1:26" ht="15" x14ac:dyDescent="0.25">
      <c r="G403" s="72">
        <f>H399+H400+H401</f>
        <v>33.06</v>
      </c>
      <c r="H403" s="72"/>
      <c r="J403" s="72">
        <f>K399+K400+K401</f>
        <v>221.85000000000002</v>
      </c>
      <c r="K403" s="72"/>
      <c r="L403" s="40">
        <f>Source!U150</f>
        <v>1.7302999999999999</v>
      </c>
      <c r="O403" s="24">
        <f>G403</f>
        <v>33.06</v>
      </c>
      <c r="P403" s="24">
        <f>J403</f>
        <v>221.85000000000002</v>
      </c>
      <c r="Q403" s="24">
        <f>L403</f>
        <v>1.7302999999999999</v>
      </c>
      <c r="W403">
        <f>IF(Source!BI150&lt;=1,H399+H400+H401, 0)</f>
        <v>33.06</v>
      </c>
      <c r="X403">
        <f>IF(Source!BI150=2,H399+H400+H401, 0)</f>
        <v>0</v>
      </c>
      <c r="Y403">
        <f>IF(Source!BI150=3,H399+H400+H401, 0)</f>
        <v>0</v>
      </c>
      <c r="Z403">
        <f>IF(Source!BI150=4,H399+H400+H401, 0)</f>
        <v>0</v>
      </c>
    </row>
    <row r="405" spans="1:26" ht="15" x14ac:dyDescent="0.25">
      <c r="A405" s="70" t="str">
        <f>CONCATENATE("Итого по разделу: ",IF(Source!G152&lt;&gt;"Новый раздел", Source!G152, ""))</f>
        <v>Итого по разделу: 2 Отопление</v>
      </c>
      <c r="B405" s="70"/>
      <c r="C405" s="70"/>
      <c r="D405" s="70"/>
      <c r="E405" s="70"/>
      <c r="F405" s="70"/>
      <c r="G405" s="71">
        <f>SUM(O353:O404)</f>
        <v>20359.009999999998</v>
      </c>
      <c r="H405" s="71"/>
      <c r="I405" s="26"/>
      <c r="J405" s="71">
        <f>SUM(P353:P404)</f>
        <v>136618.32</v>
      </c>
      <c r="K405" s="71"/>
      <c r="L405" s="40">
        <f>SUM(Q353:Q404)</f>
        <v>65.718683999999996</v>
      </c>
    </row>
    <row r="406" spans="1:26" ht="16.5" x14ac:dyDescent="0.25">
      <c r="A406" s="73" t="str">
        <f>CONCATENATE("Раздел: ",IF(Source!G181&lt;&gt;"Новый раздел", Source!G181, ""))</f>
        <v>Раздел: 3 Электромонтажные работы</v>
      </c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</row>
    <row r="407" spans="1:26" ht="14.25" x14ac:dyDescent="0.2">
      <c r="A407" s="45" t="str">
        <f>Source!E185</f>
        <v>38</v>
      </c>
      <c r="B407" s="46" t="str">
        <f>Source!F185</f>
        <v>67-3-1</v>
      </c>
      <c r="C407" s="46" t="str">
        <f>Source!G185</f>
        <v>Демонтаж кабеля</v>
      </c>
      <c r="D407" s="29" t="str">
        <f>Source!H185</f>
        <v>100 м</v>
      </c>
      <c r="E407" s="11">
        <f>Source!I185</f>
        <v>2.42</v>
      </c>
      <c r="F407" s="30">
        <f>Source!AL185+Source!AM185+Source!AO185</f>
        <v>75.5</v>
      </c>
      <c r="G407" s="31"/>
      <c r="H407" s="30"/>
      <c r="I407" s="31" t="str">
        <f>Source!BO185</f>
        <v/>
      </c>
      <c r="J407" s="31"/>
      <c r="K407" s="30"/>
      <c r="L407" s="32"/>
      <c r="S407">
        <f>ROUND((Source!FX185/100)*((ROUND(Source!AF185*Source!I185, 2)+ROUND(Source!AE185*Source!I185, 2))), 2)</f>
        <v>154.96</v>
      </c>
      <c r="T407">
        <f>Source!X185</f>
        <v>1039.74</v>
      </c>
      <c r="U407">
        <f>ROUND((Source!FY185/100)*((ROUND(Source!AF185*Source!I185, 2)+ROUND(Source!AE185*Source!I185, 2))), 2)</f>
        <v>118.5</v>
      </c>
      <c r="V407">
        <f>Source!Y185</f>
        <v>795.09</v>
      </c>
    </row>
    <row r="408" spans="1:26" x14ac:dyDescent="0.2">
      <c r="C408" s="23" t="str">
        <f>"Объем: "&amp;Source!I185&amp;"=242/"&amp;"100"</f>
        <v>Объем: 2,42=242/100</v>
      </c>
    </row>
    <row r="409" spans="1:26" ht="14.25" x14ac:dyDescent="0.2">
      <c r="A409" s="45"/>
      <c r="B409" s="46"/>
      <c r="C409" s="46" t="s">
        <v>1167</v>
      </c>
      <c r="D409" s="29"/>
      <c r="E409" s="11"/>
      <c r="F409" s="30">
        <f>Source!AO185</f>
        <v>75.19</v>
      </c>
      <c r="G409" s="31" t="str">
        <f>Source!DG185</f>
        <v/>
      </c>
      <c r="H409" s="30">
        <f>ROUND(Source!AF185*Source!I185, 2)</f>
        <v>181.96</v>
      </c>
      <c r="I409" s="31"/>
      <c r="J409" s="31">
        <f>IF(Source!BA185&lt;&gt; 0, Source!BA185, 1)</f>
        <v>6.71</v>
      </c>
      <c r="K409" s="30">
        <f>Source!S185</f>
        <v>1220.95</v>
      </c>
      <c r="L409" s="32"/>
      <c r="R409">
        <f>H409</f>
        <v>181.96</v>
      </c>
    </row>
    <row r="410" spans="1:26" ht="14.25" x14ac:dyDescent="0.2">
      <c r="A410" s="45"/>
      <c r="B410" s="46"/>
      <c r="C410" s="46" t="s">
        <v>382</v>
      </c>
      <c r="D410" s="29"/>
      <c r="E410" s="11"/>
      <c r="F410" s="30">
        <f>Source!AM185</f>
        <v>0.31</v>
      </c>
      <c r="G410" s="31" t="str">
        <f>Source!DE185</f>
        <v/>
      </c>
      <c r="H410" s="30">
        <f>ROUND(Source!AD185*Source!I185, 2)</f>
        <v>0.75</v>
      </c>
      <c r="I410" s="31"/>
      <c r="J410" s="31">
        <f>IF(Source!BB185&lt;&gt; 0, Source!BB185, 1)</f>
        <v>6.71</v>
      </c>
      <c r="K410" s="30">
        <f>Source!Q185</f>
        <v>5.03</v>
      </c>
      <c r="L410" s="32"/>
    </row>
    <row r="411" spans="1:26" ht="14.25" x14ac:dyDescent="0.2">
      <c r="A411" s="45"/>
      <c r="B411" s="46"/>
      <c r="C411" s="46" t="s">
        <v>1168</v>
      </c>
      <c r="D411" s="29"/>
      <c r="E411" s="11"/>
      <c r="F411" s="30">
        <f>Source!AN185</f>
        <v>0.14000000000000001</v>
      </c>
      <c r="G411" s="31" t="str">
        <f>Source!DF185</f>
        <v/>
      </c>
      <c r="H411" s="33">
        <f>ROUND(Source!AE185*Source!I185, 2)</f>
        <v>0.34</v>
      </c>
      <c r="I411" s="31"/>
      <c r="J411" s="31">
        <f>IF(Source!BS185&lt;&gt; 0, Source!BS185, 1)</f>
        <v>6.71</v>
      </c>
      <c r="K411" s="33">
        <f>Source!R185</f>
        <v>2.27</v>
      </c>
      <c r="L411" s="32"/>
      <c r="R411">
        <f>H411</f>
        <v>0.34</v>
      </c>
    </row>
    <row r="412" spans="1:26" ht="14.25" x14ac:dyDescent="0.2">
      <c r="A412" s="45"/>
      <c r="B412" s="46"/>
      <c r="C412" s="46" t="s">
        <v>1169</v>
      </c>
      <c r="D412" s="29" t="s">
        <v>1170</v>
      </c>
      <c r="E412" s="11">
        <f>Source!BZ185</f>
        <v>85</v>
      </c>
      <c r="F412" s="49"/>
      <c r="G412" s="31"/>
      <c r="H412" s="30">
        <f>SUM(S407:S414)</f>
        <v>154.96</v>
      </c>
      <c r="I412" s="34"/>
      <c r="J412" s="27">
        <f>Source!AT185</f>
        <v>85</v>
      </c>
      <c r="K412" s="30">
        <f>SUM(T407:T414)</f>
        <v>1039.74</v>
      </c>
      <c r="L412" s="32"/>
    </row>
    <row r="413" spans="1:26" ht="14.25" x14ac:dyDescent="0.2">
      <c r="A413" s="45"/>
      <c r="B413" s="46"/>
      <c r="C413" s="46" t="s">
        <v>1171</v>
      </c>
      <c r="D413" s="29" t="s">
        <v>1170</v>
      </c>
      <c r="E413" s="11">
        <f>Source!CA185</f>
        <v>65</v>
      </c>
      <c r="F413" s="49"/>
      <c r="G413" s="31"/>
      <c r="H413" s="30">
        <f>SUM(U407:U414)</f>
        <v>118.5</v>
      </c>
      <c r="I413" s="34"/>
      <c r="J413" s="27">
        <f>Source!AU185</f>
        <v>65</v>
      </c>
      <c r="K413" s="30">
        <f>SUM(V407:V414)</f>
        <v>795.09</v>
      </c>
      <c r="L413" s="32"/>
    </row>
    <row r="414" spans="1:26" ht="14.25" x14ac:dyDescent="0.2">
      <c r="A414" s="47"/>
      <c r="B414" s="48"/>
      <c r="C414" s="48" t="s">
        <v>1172</v>
      </c>
      <c r="D414" s="35" t="s">
        <v>1173</v>
      </c>
      <c r="E414" s="36">
        <f>Source!AQ185</f>
        <v>9.64</v>
      </c>
      <c r="F414" s="37"/>
      <c r="G414" s="38" t="str">
        <f>Source!DI185</f>
        <v/>
      </c>
      <c r="H414" s="37"/>
      <c r="I414" s="38"/>
      <c r="J414" s="38"/>
      <c r="K414" s="37"/>
      <c r="L414" s="39">
        <f>Source!U185</f>
        <v>23.328800000000001</v>
      </c>
    </row>
    <row r="415" spans="1:26" ht="15" x14ac:dyDescent="0.25">
      <c r="G415" s="72">
        <f>H409+H410+H412+H413</f>
        <v>456.17</v>
      </c>
      <c r="H415" s="72"/>
      <c r="J415" s="72">
        <f>K409+K410+K412+K413</f>
        <v>3060.8100000000004</v>
      </c>
      <c r="K415" s="72"/>
      <c r="L415" s="40">
        <f>Source!U185</f>
        <v>23.328800000000001</v>
      </c>
      <c r="O415" s="24">
        <f>G415</f>
        <v>456.17</v>
      </c>
      <c r="P415" s="24">
        <f>J415</f>
        <v>3060.8100000000004</v>
      </c>
      <c r="Q415" s="24">
        <f>L415</f>
        <v>23.328800000000001</v>
      </c>
      <c r="W415">
        <f>IF(Source!BI185&lt;=1,H409+H410+H412+H413, 0)</f>
        <v>456.17</v>
      </c>
      <c r="X415">
        <f>IF(Source!BI185=2,H409+H410+H412+H413, 0)</f>
        <v>0</v>
      </c>
      <c r="Y415">
        <f>IF(Source!BI185=3,H409+H410+H412+H413, 0)</f>
        <v>0</v>
      </c>
      <c r="Z415">
        <f>IF(Source!BI185=4,H409+H410+H412+H413, 0)</f>
        <v>0</v>
      </c>
    </row>
    <row r="416" spans="1:26" ht="28.5" x14ac:dyDescent="0.2">
      <c r="A416" s="45" t="str">
        <f>Source!E186</f>
        <v>39</v>
      </c>
      <c r="B416" s="46" t="str">
        <f>Source!F186</f>
        <v>м08-02-390-01</v>
      </c>
      <c r="C416" s="46" t="str">
        <f>Source!G186</f>
        <v>Демонтаж:Короба пластмассовые шириной до 40 мм</v>
      </c>
      <c r="D416" s="29" t="str">
        <f>Source!H186</f>
        <v>100 м</v>
      </c>
      <c r="E416" s="11">
        <f>Source!I186</f>
        <v>0.96</v>
      </c>
      <c r="F416" s="30">
        <f>Source!AL186+Source!AM186+Source!AO186</f>
        <v>206.76</v>
      </c>
      <c r="G416" s="31"/>
      <c r="H416" s="30"/>
      <c r="I416" s="31" t="str">
        <f>Source!BO186</f>
        <v/>
      </c>
      <c r="J416" s="31"/>
      <c r="K416" s="30"/>
      <c r="L416" s="32"/>
      <c r="S416">
        <f>ROUND((Source!FX186/100)*((ROUND(Source!AF186*Source!I186, 2)+ROUND(Source!AE186*Source!I186, 2))), 2)</f>
        <v>42.43</v>
      </c>
      <c r="T416">
        <f>Source!X186</f>
        <v>284.69</v>
      </c>
      <c r="U416">
        <f>ROUND((Source!FY186/100)*((ROUND(Source!AF186*Source!I186, 2)+ROUND(Source!AE186*Source!I186, 2))), 2)</f>
        <v>29.03</v>
      </c>
      <c r="V416">
        <f>Source!Y186</f>
        <v>194.79</v>
      </c>
    </row>
    <row r="417" spans="1:26" x14ac:dyDescent="0.2">
      <c r="C417" s="23" t="str">
        <f>"Объем: "&amp;Source!I186&amp;"=96/"&amp;"100"</f>
        <v>Объем: 0,96=96/100</v>
      </c>
    </row>
    <row r="418" spans="1:26" ht="14.25" x14ac:dyDescent="0.2">
      <c r="A418" s="45"/>
      <c r="B418" s="46"/>
      <c r="C418" s="46" t="s">
        <v>1167</v>
      </c>
      <c r="D418" s="29"/>
      <c r="E418" s="11"/>
      <c r="F418" s="30">
        <f>Source!AO186</f>
        <v>154.91999999999999</v>
      </c>
      <c r="G418" s="31" t="str">
        <f>Source!DG186</f>
        <v>)*0,3</v>
      </c>
      <c r="H418" s="30">
        <f>ROUND(Source!AF186*Source!I186, 2)</f>
        <v>44.62</v>
      </c>
      <c r="I418" s="31"/>
      <c r="J418" s="31">
        <f>IF(Source!BA186&lt;&gt; 0, Source!BA186, 1)</f>
        <v>6.71</v>
      </c>
      <c r="K418" s="30">
        <f>Source!S186</f>
        <v>299.41000000000003</v>
      </c>
      <c r="L418" s="32"/>
      <c r="R418">
        <f>H418</f>
        <v>44.62</v>
      </c>
    </row>
    <row r="419" spans="1:26" ht="14.25" x14ac:dyDescent="0.2">
      <c r="A419" s="45"/>
      <c r="B419" s="46"/>
      <c r="C419" s="46" t="s">
        <v>382</v>
      </c>
      <c r="D419" s="29"/>
      <c r="E419" s="11"/>
      <c r="F419" s="30">
        <f>Source!AM186</f>
        <v>0.31</v>
      </c>
      <c r="G419" s="31" t="str">
        <f>Source!DE186</f>
        <v>)*0,3</v>
      </c>
      <c r="H419" s="30">
        <f>ROUND(Source!AD186*Source!I186, 2)</f>
        <v>0.09</v>
      </c>
      <c r="I419" s="31"/>
      <c r="J419" s="31">
        <f>IF(Source!BB186&lt;&gt; 0, Source!BB186, 1)</f>
        <v>6.71</v>
      </c>
      <c r="K419" s="30">
        <f>Source!Q186</f>
        <v>0.57999999999999996</v>
      </c>
      <c r="L419" s="32"/>
    </row>
    <row r="420" spans="1:26" ht="14.25" x14ac:dyDescent="0.2">
      <c r="A420" s="45"/>
      <c r="B420" s="46"/>
      <c r="C420" s="46" t="s">
        <v>1168</v>
      </c>
      <c r="D420" s="29"/>
      <c r="E420" s="11"/>
      <c r="F420" s="30">
        <f>Source!AN186</f>
        <v>0.14000000000000001</v>
      </c>
      <c r="G420" s="31" t="str">
        <f>Source!DF186</f>
        <v>)*0,3</v>
      </c>
      <c r="H420" s="33">
        <f>ROUND(Source!AE186*Source!I186, 2)</f>
        <v>0.04</v>
      </c>
      <c r="I420" s="31"/>
      <c r="J420" s="31">
        <f>IF(Source!BS186&lt;&gt; 0, Source!BS186, 1)</f>
        <v>6.71</v>
      </c>
      <c r="K420" s="33">
        <f>Source!R186</f>
        <v>0.26</v>
      </c>
      <c r="L420" s="32"/>
      <c r="R420">
        <f>H420</f>
        <v>0.04</v>
      </c>
    </row>
    <row r="421" spans="1:26" ht="14.25" x14ac:dyDescent="0.2">
      <c r="A421" s="45"/>
      <c r="B421" s="46"/>
      <c r="C421" s="46" t="s">
        <v>1169</v>
      </c>
      <c r="D421" s="29" t="s">
        <v>1170</v>
      </c>
      <c r="E421" s="11">
        <f>Source!BZ186</f>
        <v>95</v>
      </c>
      <c r="F421" s="49"/>
      <c r="G421" s="31"/>
      <c r="H421" s="30">
        <f>SUM(S416:S423)</f>
        <v>42.43</v>
      </c>
      <c r="I421" s="34"/>
      <c r="J421" s="27">
        <f>Source!AT186</f>
        <v>95</v>
      </c>
      <c r="K421" s="30">
        <f>SUM(T416:T423)</f>
        <v>284.69</v>
      </c>
      <c r="L421" s="32"/>
    </row>
    <row r="422" spans="1:26" ht="14.25" x14ac:dyDescent="0.2">
      <c r="A422" s="45"/>
      <c r="B422" s="46"/>
      <c r="C422" s="46" t="s">
        <v>1171</v>
      </c>
      <c r="D422" s="29" t="s">
        <v>1170</v>
      </c>
      <c r="E422" s="11">
        <f>Source!CA186</f>
        <v>65</v>
      </c>
      <c r="F422" s="49"/>
      <c r="G422" s="31"/>
      <c r="H422" s="30">
        <f>SUM(U416:U423)</f>
        <v>29.03</v>
      </c>
      <c r="I422" s="34"/>
      <c r="J422" s="27">
        <f>Source!AU186</f>
        <v>65</v>
      </c>
      <c r="K422" s="30">
        <f>SUM(V416:V423)</f>
        <v>194.79</v>
      </c>
      <c r="L422" s="32"/>
    </row>
    <row r="423" spans="1:26" ht="14.25" x14ac:dyDescent="0.2">
      <c r="A423" s="47"/>
      <c r="B423" s="48"/>
      <c r="C423" s="48" t="s">
        <v>1172</v>
      </c>
      <c r="D423" s="35" t="s">
        <v>1173</v>
      </c>
      <c r="E423" s="36">
        <f>Source!AQ186</f>
        <v>16.29</v>
      </c>
      <c r="F423" s="37"/>
      <c r="G423" s="38" t="str">
        <f>Source!DI186</f>
        <v>)*0,3</v>
      </c>
      <c r="H423" s="37"/>
      <c r="I423" s="38"/>
      <c r="J423" s="38"/>
      <c r="K423" s="37"/>
      <c r="L423" s="39">
        <f>Source!U186</f>
        <v>4.6915199999999997</v>
      </c>
    </row>
    <row r="424" spans="1:26" ht="15" x14ac:dyDescent="0.25">
      <c r="G424" s="72">
        <f>H418+H419+H421+H422</f>
        <v>116.17</v>
      </c>
      <c r="H424" s="72"/>
      <c r="J424" s="72">
        <f>K418+K419+K421+K422</f>
        <v>779.47</v>
      </c>
      <c r="K424" s="72"/>
      <c r="L424" s="40">
        <f>Source!U186</f>
        <v>4.6915199999999997</v>
      </c>
      <c r="O424" s="24">
        <f>G424</f>
        <v>116.17</v>
      </c>
      <c r="P424" s="24">
        <f>J424</f>
        <v>779.47</v>
      </c>
      <c r="Q424" s="24">
        <f>L424</f>
        <v>4.6915199999999997</v>
      </c>
      <c r="W424">
        <f>IF(Source!BI186&lt;=1,H418+H419+H421+H422, 0)</f>
        <v>0</v>
      </c>
      <c r="X424">
        <f>IF(Source!BI186=2,H418+H419+H421+H422, 0)</f>
        <v>116.17</v>
      </c>
      <c r="Y424">
        <f>IF(Source!BI186=3,H418+H419+H421+H422, 0)</f>
        <v>0</v>
      </c>
      <c r="Z424">
        <f>IF(Source!BI186=4,H418+H419+H421+H422, 0)</f>
        <v>0</v>
      </c>
    </row>
    <row r="425" spans="1:26" ht="71.25" x14ac:dyDescent="0.2">
      <c r="A425" s="45" t="str">
        <f>Source!E187</f>
        <v>40</v>
      </c>
      <c r="B425" s="46" t="str">
        <f>Source!F187</f>
        <v>м08-03-594-08</v>
      </c>
      <c r="C425" s="46" t="str">
        <f>Source!G187</f>
        <v>Демонтаж :Светильник отдельно устанавливаемый на подвесах (штангах) с количеством ламп в светильнике до 4 (на склад для хранения)</v>
      </c>
      <c r="D425" s="29" t="str">
        <f>Source!H187</f>
        <v>100 ШТ</v>
      </c>
      <c r="E425" s="11">
        <f>Source!I187</f>
        <v>0.22</v>
      </c>
      <c r="F425" s="30">
        <f>Source!AL187+Source!AM187+Source!AO187</f>
        <v>1663.44</v>
      </c>
      <c r="G425" s="31"/>
      <c r="H425" s="30"/>
      <c r="I425" s="31" t="str">
        <f>Source!BO187</f>
        <v/>
      </c>
      <c r="J425" s="31"/>
      <c r="K425" s="30"/>
      <c r="L425" s="32"/>
      <c r="S425">
        <f>ROUND((Source!FX187/100)*((ROUND(Source!AF187*Source!I187, 2)+ROUND(Source!AE187*Source!I187, 2))), 2)</f>
        <v>215.9</v>
      </c>
      <c r="T425">
        <f>Source!X187</f>
        <v>1448.65</v>
      </c>
      <c r="U425">
        <f>ROUND((Source!FY187/100)*((ROUND(Source!AF187*Source!I187, 2)+ROUND(Source!AE187*Source!I187, 2))), 2)</f>
        <v>147.72</v>
      </c>
      <c r="V425">
        <f>Source!Y187</f>
        <v>991.18</v>
      </c>
    </row>
    <row r="426" spans="1:26" x14ac:dyDescent="0.2">
      <c r="C426" s="23" t="str">
        <f>"Объем: "&amp;Source!I187&amp;"=22/"&amp;"100"</f>
        <v>Объем: 0,22=22/100</v>
      </c>
    </row>
    <row r="427" spans="1:26" ht="14.25" x14ac:dyDescent="0.2">
      <c r="A427" s="45"/>
      <c r="B427" s="46"/>
      <c r="C427" s="46" t="s">
        <v>1167</v>
      </c>
      <c r="D427" s="29"/>
      <c r="E427" s="11"/>
      <c r="F427" s="30">
        <f>Source!AO187</f>
        <v>1468.16</v>
      </c>
      <c r="G427" s="31" t="str">
        <f>Source!DG187</f>
        <v>)*0,7</v>
      </c>
      <c r="H427" s="30">
        <f>ROUND(Source!AF187*Source!I187, 2)</f>
        <v>226.1</v>
      </c>
      <c r="I427" s="31"/>
      <c r="J427" s="31">
        <f>IF(Source!BA187&lt;&gt; 0, Source!BA187, 1)</f>
        <v>6.71</v>
      </c>
      <c r="K427" s="30">
        <f>Source!S187</f>
        <v>1517.11</v>
      </c>
      <c r="L427" s="32"/>
      <c r="R427">
        <f>H427</f>
        <v>226.1</v>
      </c>
    </row>
    <row r="428" spans="1:26" ht="14.25" x14ac:dyDescent="0.2">
      <c r="A428" s="45"/>
      <c r="B428" s="46"/>
      <c r="C428" s="46" t="s">
        <v>382</v>
      </c>
      <c r="D428" s="29"/>
      <c r="E428" s="11"/>
      <c r="F428" s="30">
        <f>Source!AM187</f>
        <v>53.31</v>
      </c>
      <c r="G428" s="31" t="str">
        <f>Source!DE187</f>
        <v>)*0,7</v>
      </c>
      <c r="H428" s="30">
        <f>ROUND(Source!AD187*Source!I187, 2)</f>
        <v>8.2100000000000009</v>
      </c>
      <c r="I428" s="31"/>
      <c r="J428" s="31">
        <f>IF(Source!BB187&lt;&gt; 0, Source!BB187, 1)</f>
        <v>6.71</v>
      </c>
      <c r="K428" s="30">
        <f>Source!Q187</f>
        <v>55.09</v>
      </c>
      <c r="L428" s="32"/>
    </row>
    <row r="429" spans="1:26" ht="14.25" x14ac:dyDescent="0.2">
      <c r="A429" s="45"/>
      <c r="B429" s="46"/>
      <c r="C429" s="46" t="s">
        <v>1168</v>
      </c>
      <c r="D429" s="29"/>
      <c r="E429" s="11"/>
      <c r="F429" s="30">
        <f>Source!AN187</f>
        <v>7.53</v>
      </c>
      <c r="G429" s="31" t="str">
        <f>Source!DF187</f>
        <v>)*0,7</v>
      </c>
      <c r="H429" s="33">
        <f>ROUND(Source!AE187*Source!I187, 2)</f>
        <v>1.1599999999999999</v>
      </c>
      <c r="I429" s="31"/>
      <c r="J429" s="31">
        <f>IF(Source!BS187&lt;&gt; 0, Source!BS187, 1)</f>
        <v>6.71</v>
      </c>
      <c r="K429" s="33">
        <f>Source!R187</f>
        <v>7.78</v>
      </c>
      <c r="L429" s="32"/>
      <c r="R429">
        <f>H429</f>
        <v>1.1599999999999999</v>
      </c>
    </row>
    <row r="430" spans="1:26" ht="14.25" x14ac:dyDescent="0.2">
      <c r="A430" s="45"/>
      <c r="B430" s="46"/>
      <c r="C430" s="46" t="s">
        <v>1169</v>
      </c>
      <c r="D430" s="29" t="s">
        <v>1170</v>
      </c>
      <c r="E430" s="11">
        <f>Source!BZ187</f>
        <v>95</v>
      </c>
      <c r="F430" s="49"/>
      <c r="G430" s="31"/>
      <c r="H430" s="30">
        <f>SUM(S425:S432)</f>
        <v>215.9</v>
      </c>
      <c r="I430" s="34"/>
      <c r="J430" s="27">
        <f>Source!AT187</f>
        <v>95</v>
      </c>
      <c r="K430" s="30">
        <f>SUM(T425:T432)</f>
        <v>1448.65</v>
      </c>
      <c r="L430" s="32"/>
    </row>
    <row r="431" spans="1:26" ht="14.25" x14ac:dyDescent="0.2">
      <c r="A431" s="45"/>
      <c r="B431" s="46"/>
      <c r="C431" s="46" t="s">
        <v>1171</v>
      </c>
      <c r="D431" s="29" t="s">
        <v>1170</v>
      </c>
      <c r="E431" s="11">
        <f>Source!CA187</f>
        <v>65</v>
      </c>
      <c r="F431" s="49"/>
      <c r="G431" s="31"/>
      <c r="H431" s="30">
        <f>SUM(U425:U432)</f>
        <v>147.72</v>
      </c>
      <c r="I431" s="34"/>
      <c r="J431" s="27">
        <f>Source!AU187</f>
        <v>65</v>
      </c>
      <c r="K431" s="30">
        <f>SUM(V425:V432)</f>
        <v>991.18</v>
      </c>
      <c r="L431" s="32"/>
    </row>
    <row r="432" spans="1:26" ht="14.25" x14ac:dyDescent="0.2">
      <c r="A432" s="47"/>
      <c r="B432" s="48"/>
      <c r="C432" s="48" t="s">
        <v>1172</v>
      </c>
      <c r="D432" s="35" t="s">
        <v>1173</v>
      </c>
      <c r="E432" s="36">
        <f>Source!AQ187</f>
        <v>148</v>
      </c>
      <c r="F432" s="37"/>
      <c r="G432" s="38" t="str">
        <f>Source!DI187</f>
        <v>)*0,7</v>
      </c>
      <c r="H432" s="37"/>
      <c r="I432" s="38"/>
      <c r="J432" s="38"/>
      <c r="K432" s="37"/>
      <c r="L432" s="39">
        <f>Source!U187</f>
        <v>22.791999999999998</v>
      </c>
    </row>
    <row r="433" spans="1:26" ht="15" x14ac:dyDescent="0.25">
      <c r="G433" s="72">
        <f>H427+H428+H430+H431</f>
        <v>597.93000000000006</v>
      </c>
      <c r="H433" s="72"/>
      <c r="J433" s="72">
        <f>K427+K428+K430+K431</f>
        <v>4012.0299999999997</v>
      </c>
      <c r="K433" s="72"/>
      <c r="L433" s="40">
        <f>Source!U187</f>
        <v>22.791999999999998</v>
      </c>
      <c r="O433" s="24">
        <f>G433</f>
        <v>597.93000000000006</v>
      </c>
      <c r="P433" s="24">
        <f>J433</f>
        <v>4012.0299999999997</v>
      </c>
      <c r="Q433" s="24">
        <f>L433</f>
        <v>22.791999999999998</v>
      </c>
      <c r="W433">
        <f>IF(Source!BI187&lt;=1,H427+H428+H430+H431, 0)</f>
        <v>0</v>
      </c>
      <c r="X433">
        <f>IF(Source!BI187=2,H427+H428+H430+H431, 0)</f>
        <v>597.93000000000006</v>
      </c>
      <c r="Y433">
        <f>IF(Source!BI187=3,H427+H428+H430+H431, 0)</f>
        <v>0</v>
      </c>
      <c r="Z433">
        <f>IF(Source!BI187=4,H427+H428+H430+H431, 0)</f>
        <v>0</v>
      </c>
    </row>
    <row r="434" spans="1:26" ht="85.5" x14ac:dyDescent="0.2">
      <c r="A434" s="45" t="str">
        <f>Source!E188</f>
        <v>41</v>
      </c>
      <c r="B434" s="46" t="str">
        <f>Source!F188</f>
        <v>м08-03-525-09 прим.</v>
      </c>
      <c r="C434" s="46" t="str">
        <f>Source!G188</f>
        <v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v>
      </c>
      <c r="D434" s="29" t="str">
        <f>Source!H188</f>
        <v>КОМПЛ</v>
      </c>
      <c r="E434" s="11">
        <f>Source!I188</f>
        <v>2</v>
      </c>
      <c r="F434" s="30">
        <f>Source!AL188+Source!AM188+Source!AO188</f>
        <v>65.78</v>
      </c>
      <c r="G434" s="31"/>
      <c r="H434" s="30"/>
      <c r="I434" s="31" t="str">
        <f>Source!BO188</f>
        <v/>
      </c>
      <c r="J434" s="31"/>
      <c r="K434" s="30"/>
      <c r="L434" s="32"/>
      <c r="S434">
        <f>ROUND((Source!FX188/100)*((ROUND(Source!AF188*Source!I188, 2)+ROUND(Source!AE188*Source!I188, 2))), 2)</f>
        <v>24.66</v>
      </c>
      <c r="T434">
        <f>Source!X188</f>
        <v>165.48</v>
      </c>
      <c r="U434">
        <f>ROUND((Source!FY188/100)*((ROUND(Source!AF188*Source!I188, 2)+ROUND(Source!AE188*Source!I188, 2))), 2)</f>
        <v>16.87</v>
      </c>
      <c r="V434">
        <f>Source!Y188</f>
        <v>113.22</v>
      </c>
    </row>
    <row r="435" spans="1:26" ht="14.25" x14ac:dyDescent="0.2">
      <c r="A435" s="45"/>
      <c r="B435" s="46"/>
      <c r="C435" s="46" t="s">
        <v>1167</v>
      </c>
      <c r="D435" s="29"/>
      <c r="E435" s="11"/>
      <c r="F435" s="30">
        <f>Source!AO188</f>
        <v>21.63</v>
      </c>
      <c r="G435" s="31" t="str">
        <f>Source!DG188</f>
        <v>)*0,6</v>
      </c>
      <c r="H435" s="30">
        <f>ROUND(Source!AF188*Source!I188, 2)</f>
        <v>25.96</v>
      </c>
      <c r="I435" s="31"/>
      <c r="J435" s="31">
        <f>IF(Source!BA188&lt;&gt; 0, Source!BA188, 1)</f>
        <v>6.71</v>
      </c>
      <c r="K435" s="30">
        <f>Source!S188</f>
        <v>174.19</v>
      </c>
      <c r="L435" s="32"/>
      <c r="R435">
        <f>H435</f>
        <v>25.96</v>
      </c>
    </row>
    <row r="436" spans="1:26" ht="14.25" x14ac:dyDescent="0.2">
      <c r="A436" s="45"/>
      <c r="B436" s="46"/>
      <c r="C436" s="46" t="s">
        <v>382</v>
      </c>
      <c r="D436" s="29"/>
      <c r="E436" s="11"/>
      <c r="F436" s="30">
        <f>Source!AM188</f>
        <v>0.59</v>
      </c>
      <c r="G436" s="31" t="str">
        <f>Source!DE188</f>
        <v>)*0,6</v>
      </c>
      <c r="H436" s="30">
        <f>ROUND(Source!AD188*Source!I188, 2)</f>
        <v>0.7</v>
      </c>
      <c r="I436" s="31"/>
      <c r="J436" s="31">
        <f>IF(Source!BB188&lt;&gt; 0, Source!BB188, 1)</f>
        <v>6.71</v>
      </c>
      <c r="K436" s="30">
        <f>Source!Q188</f>
        <v>4.7</v>
      </c>
      <c r="L436" s="32"/>
    </row>
    <row r="437" spans="1:26" ht="14.25" x14ac:dyDescent="0.2">
      <c r="A437" s="45"/>
      <c r="B437" s="46"/>
      <c r="C437" s="46" t="s">
        <v>1169</v>
      </c>
      <c r="D437" s="29" t="s">
        <v>1170</v>
      </c>
      <c r="E437" s="11">
        <f>Source!BZ188</f>
        <v>95</v>
      </c>
      <c r="F437" s="49"/>
      <c r="G437" s="31"/>
      <c r="H437" s="30">
        <f>SUM(S434:S439)</f>
        <v>24.66</v>
      </c>
      <c r="I437" s="34"/>
      <c r="J437" s="27">
        <f>Source!AT188</f>
        <v>95</v>
      </c>
      <c r="K437" s="30">
        <f>SUM(T434:T439)</f>
        <v>165.48</v>
      </c>
      <c r="L437" s="32"/>
    </row>
    <row r="438" spans="1:26" ht="14.25" x14ac:dyDescent="0.2">
      <c r="A438" s="45"/>
      <c r="B438" s="46"/>
      <c r="C438" s="46" t="s">
        <v>1171</v>
      </c>
      <c r="D438" s="29" t="s">
        <v>1170</v>
      </c>
      <c r="E438" s="11">
        <f>Source!CA188</f>
        <v>65</v>
      </c>
      <c r="F438" s="49"/>
      <c r="G438" s="31"/>
      <c r="H438" s="30">
        <f>SUM(U434:U439)</f>
        <v>16.87</v>
      </c>
      <c r="I438" s="34"/>
      <c r="J438" s="27">
        <f>Source!AU188</f>
        <v>65</v>
      </c>
      <c r="K438" s="30">
        <f>SUM(V434:V439)</f>
        <v>113.22</v>
      </c>
      <c r="L438" s="32"/>
    </row>
    <row r="439" spans="1:26" ht="14.25" x14ac:dyDescent="0.2">
      <c r="A439" s="47"/>
      <c r="B439" s="48"/>
      <c r="C439" s="48" t="s">
        <v>1172</v>
      </c>
      <c r="D439" s="35" t="s">
        <v>1173</v>
      </c>
      <c r="E439" s="36">
        <f>Source!AQ188</f>
        <v>2.09</v>
      </c>
      <c r="F439" s="37"/>
      <c r="G439" s="38" t="str">
        <f>Source!DI188</f>
        <v>)*0,6</v>
      </c>
      <c r="H439" s="37"/>
      <c r="I439" s="38"/>
      <c r="J439" s="38"/>
      <c r="K439" s="37"/>
      <c r="L439" s="39">
        <f>Source!U188</f>
        <v>2.5079999999999996</v>
      </c>
    </row>
    <row r="440" spans="1:26" ht="15" x14ac:dyDescent="0.25">
      <c r="G440" s="72">
        <f>H435+H436+H437+H438</f>
        <v>68.19</v>
      </c>
      <c r="H440" s="72"/>
      <c r="J440" s="72">
        <f>K435+K436+K437+K438</f>
        <v>457.59000000000003</v>
      </c>
      <c r="K440" s="72"/>
      <c r="L440" s="40">
        <f>Source!U188</f>
        <v>2.5079999999999996</v>
      </c>
      <c r="O440" s="24">
        <f>G440</f>
        <v>68.19</v>
      </c>
      <c r="P440" s="24">
        <f>J440</f>
        <v>457.59000000000003</v>
      </c>
      <c r="Q440" s="24">
        <f>L440</f>
        <v>2.5079999999999996</v>
      </c>
      <c r="W440">
        <f>IF(Source!BI188&lt;=1,H435+H436+H437+H438, 0)</f>
        <v>0</v>
      </c>
      <c r="X440">
        <f>IF(Source!BI188=2,H435+H436+H437+H438, 0)</f>
        <v>68.19</v>
      </c>
      <c r="Y440">
        <f>IF(Source!BI188=3,H435+H436+H437+H438, 0)</f>
        <v>0</v>
      </c>
      <c r="Z440">
        <f>IF(Source!BI188=4,H435+H436+H437+H438, 0)</f>
        <v>0</v>
      </c>
    </row>
    <row r="441" spans="1:26" ht="85.5" x14ac:dyDescent="0.2">
      <c r="A441" s="45" t="str">
        <f>Source!E189</f>
        <v>42</v>
      </c>
      <c r="B441" s="46" t="str">
        <f>Source!F189</f>
        <v>м08-03-525-09 прим.</v>
      </c>
      <c r="C441" s="46" t="str">
        <f>Source!G189</f>
        <v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v>
      </c>
      <c r="D441" s="29" t="str">
        <f>Source!H189</f>
        <v>КОМПЛ</v>
      </c>
      <c r="E441" s="11">
        <f>Source!I189</f>
        <v>2</v>
      </c>
      <c r="F441" s="30">
        <f>Source!AL189+Source!AM189+Source!AO189</f>
        <v>65.78</v>
      </c>
      <c r="G441" s="31"/>
      <c r="H441" s="30"/>
      <c r="I441" s="31" t="str">
        <f>Source!BO189</f>
        <v/>
      </c>
      <c r="J441" s="31"/>
      <c r="K441" s="30"/>
      <c r="L441" s="32"/>
      <c r="S441">
        <f>ROUND((Source!FX189/100)*((ROUND(Source!AF189*Source!I189, 2)+ROUND(Source!AE189*Source!I189, 2))), 2)</f>
        <v>41.1</v>
      </c>
      <c r="T441">
        <f>Source!X189</f>
        <v>275.76</v>
      </c>
      <c r="U441">
        <f>ROUND((Source!FY189/100)*((ROUND(Source!AF189*Source!I189, 2)+ROUND(Source!AE189*Source!I189, 2))), 2)</f>
        <v>28.12</v>
      </c>
      <c r="V441">
        <f>Source!Y189</f>
        <v>188.68</v>
      </c>
    </row>
    <row r="442" spans="1:26" ht="14.25" x14ac:dyDescent="0.2">
      <c r="A442" s="45"/>
      <c r="B442" s="46"/>
      <c r="C442" s="46" t="s">
        <v>1167</v>
      </c>
      <c r="D442" s="29"/>
      <c r="E442" s="11"/>
      <c r="F442" s="30">
        <f>Source!AO189</f>
        <v>21.63</v>
      </c>
      <c r="G442" s="31" t="str">
        <f>Source!DG189</f>
        <v/>
      </c>
      <c r="H442" s="30">
        <f>ROUND(Source!AF189*Source!I189, 2)</f>
        <v>43.26</v>
      </c>
      <c r="I442" s="31"/>
      <c r="J442" s="31">
        <f>IF(Source!BA189&lt;&gt; 0, Source!BA189, 1)</f>
        <v>6.71</v>
      </c>
      <c r="K442" s="30">
        <f>Source!S189</f>
        <v>290.27</v>
      </c>
      <c r="L442" s="32"/>
      <c r="R442">
        <f>H442</f>
        <v>43.26</v>
      </c>
    </row>
    <row r="443" spans="1:26" ht="14.25" x14ac:dyDescent="0.2">
      <c r="A443" s="45"/>
      <c r="B443" s="46"/>
      <c r="C443" s="46" t="s">
        <v>382</v>
      </c>
      <c r="D443" s="29"/>
      <c r="E443" s="11"/>
      <c r="F443" s="30">
        <f>Source!AM189</f>
        <v>0.59</v>
      </c>
      <c r="G443" s="31" t="str">
        <f>Source!DE189</f>
        <v/>
      </c>
      <c r="H443" s="30">
        <f>ROUND(Source!AD189*Source!I189, 2)</f>
        <v>1.18</v>
      </c>
      <c r="I443" s="31"/>
      <c r="J443" s="31">
        <f>IF(Source!BB189&lt;&gt; 0, Source!BB189, 1)</f>
        <v>6.71</v>
      </c>
      <c r="K443" s="30">
        <f>Source!Q189</f>
        <v>7.92</v>
      </c>
      <c r="L443" s="32"/>
    </row>
    <row r="444" spans="1:26" ht="14.25" x14ac:dyDescent="0.2">
      <c r="A444" s="45"/>
      <c r="B444" s="46"/>
      <c r="C444" s="46" t="s">
        <v>1174</v>
      </c>
      <c r="D444" s="29"/>
      <c r="E444" s="11"/>
      <c r="F444" s="30">
        <f>Source!AL189</f>
        <v>43.56</v>
      </c>
      <c r="G444" s="31" t="str">
        <f>Source!DD189</f>
        <v/>
      </c>
      <c r="H444" s="30">
        <f>ROUND(Source!AC189*Source!I189, 2)</f>
        <v>87.12</v>
      </c>
      <c r="I444" s="31"/>
      <c r="J444" s="31">
        <f>IF(Source!BC189&lt;&gt; 0, Source!BC189, 1)</f>
        <v>6.71</v>
      </c>
      <c r="K444" s="30">
        <f>Source!P189</f>
        <v>584.58000000000004</v>
      </c>
      <c r="L444" s="32"/>
    </row>
    <row r="445" spans="1:26" ht="14.25" x14ac:dyDescent="0.2">
      <c r="A445" s="45"/>
      <c r="B445" s="46"/>
      <c r="C445" s="46" t="s">
        <v>1169</v>
      </c>
      <c r="D445" s="29" t="s">
        <v>1170</v>
      </c>
      <c r="E445" s="11">
        <f>Source!BZ189</f>
        <v>95</v>
      </c>
      <c r="F445" s="49"/>
      <c r="G445" s="31"/>
      <c r="H445" s="30">
        <f>SUM(S441:S447)</f>
        <v>41.1</v>
      </c>
      <c r="I445" s="34"/>
      <c r="J445" s="27">
        <f>Source!AT189</f>
        <v>95</v>
      </c>
      <c r="K445" s="30">
        <f>SUM(T441:T447)</f>
        <v>275.76</v>
      </c>
      <c r="L445" s="32"/>
    </row>
    <row r="446" spans="1:26" ht="14.25" x14ac:dyDescent="0.2">
      <c r="A446" s="45"/>
      <c r="B446" s="46"/>
      <c r="C446" s="46" t="s">
        <v>1171</v>
      </c>
      <c r="D446" s="29" t="s">
        <v>1170</v>
      </c>
      <c r="E446" s="11">
        <f>Source!CA189</f>
        <v>65</v>
      </c>
      <c r="F446" s="49"/>
      <c r="G446" s="31"/>
      <c r="H446" s="30">
        <f>SUM(U441:U447)</f>
        <v>28.12</v>
      </c>
      <c r="I446" s="34"/>
      <c r="J446" s="27">
        <f>Source!AU189</f>
        <v>65</v>
      </c>
      <c r="K446" s="30">
        <f>SUM(V441:V447)</f>
        <v>188.68</v>
      </c>
      <c r="L446" s="32"/>
    </row>
    <row r="447" spans="1:26" ht="14.25" x14ac:dyDescent="0.2">
      <c r="A447" s="47"/>
      <c r="B447" s="48"/>
      <c r="C447" s="48" t="s">
        <v>1172</v>
      </c>
      <c r="D447" s="35" t="s">
        <v>1173</v>
      </c>
      <c r="E447" s="36">
        <f>Source!AQ189</f>
        <v>2.09</v>
      </c>
      <c r="F447" s="37"/>
      <c r="G447" s="38" t="str">
        <f>Source!DI189</f>
        <v/>
      </c>
      <c r="H447" s="37"/>
      <c r="I447" s="38"/>
      <c r="J447" s="38"/>
      <c r="K447" s="37"/>
      <c r="L447" s="39">
        <f>Source!U189</f>
        <v>4.18</v>
      </c>
    </row>
    <row r="448" spans="1:26" ht="15" x14ac:dyDescent="0.25">
      <c r="G448" s="72">
        <f>H442+H443+H444+H445+H446</f>
        <v>200.78</v>
      </c>
      <c r="H448" s="72"/>
      <c r="J448" s="72">
        <f>K442+K443+K444+K445+K446</f>
        <v>1347.21</v>
      </c>
      <c r="K448" s="72"/>
      <c r="L448" s="40">
        <f>Source!U189</f>
        <v>4.18</v>
      </c>
      <c r="O448" s="24">
        <f>G448</f>
        <v>200.78</v>
      </c>
      <c r="P448" s="24">
        <f>J448</f>
        <v>1347.21</v>
      </c>
      <c r="Q448" s="24">
        <f>L448</f>
        <v>4.18</v>
      </c>
      <c r="W448">
        <f>IF(Source!BI189&lt;=1,H442+H443+H444+H445+H446, 0)</f>
        <v>0</v>
      </c>
      <c r="X448">
        <f>IF(Source!BI189=2,H442+H443+H444+H445+H446, 0)</f>
        <v>200.78</v>
      </c>
      <c r="Y448">
        <f>IF(Source!BI189=3,H442+H443+H444+H445+H446, 0)</f>
        <v>0</v>
      </c>
      <c r="Z448">
        <f>IF(Source!BI189=4,H442+H443+H444+H445+H446, 0)</f>
        <v>0</v>
      </c>
    </row>
    <row r="449" spans="1:26" ht="14.25" x14ac:dyDescent="0.2">
      <c r="A449" s="45" t="str">
        <f>Source!E190</f>
        <v>43</v>
      </c>
      <c r="B449" s="46" t="str">
        <f>Source!F190</f>
        <v>67-4-1</v>
      </c>
      <c r="C449" s="46" t="str">
        <f>Source!G190</f>
        <v>Демонтаж выключателей, розеток</v>
      </c>
      <c r="D449" s="29" t="str">
        <f>Source!H190</f>
        <v>100 ШТ</v>
      </c>
      <c r="E449" s="11">
        <f>Source!I190</f>
        <v>1.1599999999999999</v>
      </c>
      <c r="F449" s="30">
        <f>Source!AL190+Source!AM190+Source!AO190</f>
        <v>45.55</v>
      </c>
      <c r="G449" s="31"/>
      <c r="H449" s="30"/>
      <c r="I449" s="31" t="str">
        <f>Source!BO190</f>
        <v/>
      </c>
      <c r="J449" s="31"/>
      <c r="K449" s="30"/>
      <c r="L449" s="32"/>
      <c r="S449">
        <f>ROUND((Source!FX190/100)*((ROUND(Source!AF190*Source!I190, 2)+ROUND(Source!AE190*Source!I190, 2))), 2)</f>
        <v>44.91</v>
      </c>
      <c r="T449">
        <f>Source!X190</f>
        <v>301.36</v>
      </c>
      <c r="U449">
        <f>ROUND((Source!FY190/100)*((ROUND(Source!AF190*Source!I190, 2)+ROUND(Source!AE190*Source!I190, 2))), 2)</f>
        <v>34.35</v>
      </c>
      <c r="V449">
        <f>Source!Y190</f>
        <v>230.45</v>
      </c>
    </row>
    <row r="450" spans="1:26" x14ac:dyDescent="0.2">
      <c r="C450" s="23" t="str">
        <f>"Объем: "&amp;Source!I190&amp;"=116/"&amp;"100"</f>
        <v>Объем: 1,16=116/100</v>
      </c>
    </row>
    <row r="451" spans="1:26" ht="14.25" x14ac:dyDescent="0.2">
      <c r="A451" s="45"/>
      <c r="B451" s="46"/>
      <c r="C451" s="46" t="s">
        <v>1167</v>
      </c>
      <c r="D451" s="29"/>
      <c r="E451" s="11"/>
      <c r="F451" s="30">
        <f>Source!AO190</f>
        <v>45.55</v>
      </c>
      <c r="G451" s="31" t="str">
        <f>Source!DG190</f>
        <v/>
      </c>
      <c r="H451" s="30">
        <f>ROUND(Source!AF190*Source!I190, 2)</f>
        <v>52.84</v>
      </c>
      <c r="I451" s="31"/>
      <c r="J451" s="31">
        <f>IF(Source!BA190&lt;&gt; 0, Source!BA190, 1)</f>
        <v>6.71</v>
      </c>
      <c r="K451" s="30">
        <f>Source!S190</f>
        <v>354.54</v>
      </c>
      <c r="L451" s="32"/>
      <c r="R451">
        <f>H451</f>
        <v>52.84</v>
      </c>
    </row>
    <row r="452" spans="1:26" ht="14.25" x14ac:dyDescent="0.2">
      <c r="A452" s="45"/>
      <c r="B452" s="46"/>
      <c r="C452" s="46" t="s">
        <v>1169</v>
      </c>
      <c r="D452" s="29" t="s">
        <v>1170</v>
      </c>
      <c r="E452" s="11">
        <f>Source!BZ190</f>
        <v>85</v>
      </c>
      <c r="F452" s="49"/>
      <c r="G452" s="31"/>
      <c r="H452" s="30">
        <f>SUM(S449:S454)</f>
        <v>44.91</v>
      </c>
      <c r="I452" s="34"/>
      <c r="J452" s="27">
        <f>Source!AT190</f>
        <v>85</v>
      </c>
      <c r="K452" s="30">
        <f>SUM(T449:T454)</f>
        <v>301.36</v>
      </c>
      <c r="L452" s="32"/>
    </row>
    <row r="453" spans="1:26" ht="14.25" x14ac:dyDescent="0.2">
      <c r="A453" s="45"/>
      <c r="B453" s="46"/>
      <c r="C453" s="46" t="s">
        <v>1171</v>
      </c>
      <c r="D453" s="29" t="s">
        <v>1170</v>
      </c>
      <c r="E453" s="11">
        <f>Source!CA190</f>
        <v>65</v>
      </c>
      <c r="F453" s="49"/>
      <c r="G453" s="31"/>
      <c r="H453" s="30">
        <f>SUM(U449:U454)</f>
        <v>34.35</v>
      </c>
      <c r="I453" s="34"/>
      <c r="J453" s="27">
        <f>Source!AU190</f>
        <v>65</v>
      </c>
      <c r="K453" s="30">
        <f>SUM(V449:V454)</f>
        <v>230.45</v>
      </c>
      <c r="L453" s="32"/>
    </row>
    <row r="454" spans="1:26" ht="14.25" x14ac:dyDescent="0.2">
      <c r="A454" s="47"/>
      <c r="B454" s="48"/>
      <c r="C454" s="48" t="s">
        <v>1172</v>
      </c>
      <c r="D454" s="35" t="s">
        <v>1173</v>
      </c>
      <c r="E454" s="36">
        <f>Source!AQ190</f>
        <v>5.84</v>
      </c>
      <c r="F454" s="37"/>
      <c r="G454" s="38" t="str">
        <f>Source!DI190</f>
        <v/>
      </c>
      <c r="H454" s="37"/>
      <c r="I454" s="38"/>
      <c r="J454" s="38"/>
      <c r="K454" s="37"/>
      <c r="L454" s="39">
        <f>Source!U190</f>
        <v>6.7743999999999991</v>
      </c>
    </row>
    <row r="455" spans="1:26" ht="15" x14ac:dyDescent="0.25">
      <c r="G455" s="72">
        <f>H451+H452+H453</f>
        <v>132.1</v>
      </c>
      <c r="H455" s="72"/>
      <c r="J455" s="72">
        <f>K451+K452+K453</f>
        <v>886.35000000000014</v>
      </c>
      <c r="K455" s="72"/>
      <c r="L455" s="40">
        <f>Source!U190</f>
        <v>6.7743999999999991</v>
      </c>
      <c r="O455" s="24">
        <f>G455</f>
        <v>132.1</v>
      </c>
      <c r="P455" s="24">
        <f>J455</f>
        <v>886.35000000000014</v>
      </c>
      <c r="Q455" s="24">
        <f>L455</f>
        <v>6.7743999999999991</v>
      </c>
      <c r="W455">
        <f>IF(Source!BI190&lt;=1,H451+H452+H453, 0)</f>
        <v>132.1</v>
      </c>
      <c r="X455">
        <f>IF(Source!BI190=2,H451+H452+H453, 0)</f>
        <v>0</v>
      </c>
      <c r="Y455">
        <f>IF(Source!BI190=3,H451+H452+H453, 0)</f>
        <v>0</v>
      </c>
      <c r="Z455">
        <f>IF(Source!BI190=4,H451+H452+H453, 0)</f>
        <v>0</v>
      </c>
    </row>
    <row r="456" spans="1:26" ht="42.75" x14ac:dyDescent="0.2">
      <c r="A456" s="45" t="str">
        <f>Source!E191</f>
        <v>44</v>
      </c>
      <c r="B456" s="46" t="str">
        <f>Source!F191</f>
        <v>69-1-2</v>
      </c>
      <c r="C456" s="46" t="str">
        <f>Source!G191</f>
        <v>Пробивка отверстий в кирпичных стенах для  вручную при толщине стен в 1 кирпич</v>
      </c>
      <c r="D456" s="29" t="str">
        <f>Source!H191</f>
        <v>100 ШТ</v>
      </c>
      <c r="E456" s="11">
        <f>Source!I191</f>
        <v>0.08</v>
      </c>
      <c r="F456" s="30">
        <f>Source!AL191+Source!AM191+Source!AO191</f>
        <v>666.9</v>
      </c>
      <c r="G456" s="31"/>
      <c r="H456" s="30"/>
      <c r="I456" s="31" t="str">
        <f>Source!BO191</f>
        <v/>
      </c>
      <c r="J456" s="31"/>
      <c r="K456" s="30"/>
      <c r="L456" s="32"/>
      <c r="S456">
        <f>ROUND((Source!FX191/100)*((ROUND(Source!AF191*Source!I191, 2)+ROUND(Source!AE191*Source!I191, 2))), 2)</f>
        <v>41.61</v>
      </c>
      <c r="T456">
        <f>Source!X191</f>
        <v>279.23</v>
      </c>
      <c r="U456">
        <f>ROUND((Source!FY191/100)*((ROUND(Source!AF191*Source!I191, 2)+ROUND(Source!AE191*Source!I191, 2))), 2)</f>
        <v>26.68</v>
      </c>
      <c r="V456">
        <f>Source!Y191</f>
        <v>179</v>
      </c>
    </row>
    <row r="457" spans="1:26" x14ac:dyDescent="0.2">
      <c r="C457" s="23" t="str">
        <f>"Объем: "&amp;Source!I191&amp;"=8/"&amp;"100"</f>
        <v>Объем: 0,08=8/100</v>
      </c>
    </row>
    <row r="458" spans="1:26" ht="14.25" x14ac:dyDescent="0.2">
      <c r="A458" s="45"/>
      <c r="B458" s="46"/>
      <c r="C458" s="46" t="s">
        <v>1167</v>
      </c>
      <c r="D458" s="29"/>
      <c r="E458" s="11"/>
      <c r="F458" s="30">
        <f>Source!AO191</f>
        <v>666.9</v>
      </c>
      <c r="G458" s="31" t="str">
        <f>Source!DG191</f>
        <v/>
      </c>
      <c r="H458" s="30">
        <f>ROUND(Source!AF191*Source!I191, 2)</f>
        <v>53.35</v>
      </c>
      <c r="I458" s="31"/>
      <c r="J458" s="31">
        <f>IF(Source!BA191&lt;&gt; 0, Source!BA191, 1)</f>
        <v>6.71</v>
      </c>
      <c r="K458" s="30">
        <f>Source!S191</f>
        <v>357.99</v>
      </c>
      <c r="L458" s="32"/>
      <c r="R458">
        <f>H458</f>
        <v>53.35</v>
      </c>
    </row>
    <row r="459" spans="1:26" ht="14.25" x14ac:dyDescent="0.2">
      <c r="A459" s="45"/>
      <c r="B459" s="46"/>
      <c r="C459" s="46" t="s">
        <v>1169</v>
      </c>
      <c r="D459" s="29" t="s">
        <v>1170</v>
      </c>
      <c r="E459" s="11">
        <f>Source!BZ191</f>
        <v>78</v>
      </c>
      <c r="F459" s="49"/>
      <c r="G459" s="31"/>
      <c r="H459" s="30">
        <f>SUM(S456:S461)</f>
        <v>41.61</v>
      </c>
      <c r="I459" s="34"/>
      <c r="J459" s="27">
        <f>Source!AT191</f>
        <v>78</v>
      </c>
      <c r="K459" s="30">
        <f>SUM(T456:T461)</f>
        <v>279.23</v>
      </c>
      <c r="L459" s="32"/>
    </row>
    <row r="460" spans="1:26" ht="14.25" x14ac:dyDescent="0.2">
      <c r="A460" s="45"/>
      <c r="B460" s="46"/>
      <c r="C460" s="46" t="s">
        <v>1171</v>
      </c>
      <c r="D460" s="29" t="s">
        <v>1170</v>
      </c>
      <c r="E460" s="11">
        <f>Source!CA191</f>
        <v>50</v>
      </c>
      <c r="F460" s="49"/>
      <c r="G460" s="31"/>
      <c r="H460" s="30">
        <f>SUM(U456:U461)</f>
        <v>26.68</v>
      </c>
      <c r="I460" s="34"/>
      <c r="J460" s="27">
        <f>Source!AU191</f>
        <v>50</v>
      </c>
      <c r="K460" s="30">
        <f>SUM(V456:V461)</f>
        <v>179</v>
      </c>
      <c r="L460" s="32"/>
    </row>
    <row r="461" spans="1:26" ht="14.25" x14ac:dyDescent="0.2">
      <c r="A461" s="47"/>
      <c r="B461" s="48"/>
      <c r="C461" s="48" t="s">
        <v>1172</v>
      </c>
      <c r="D461" s="35" t="s">
        <v>1173</v>
      </c>
      <c r="E461" s="36">
        <f>Source!AQ191</f>
        <v>85.5</v>
      </c>
      <c r="F461" s="37"/>
      <c r="G461" s="38" t="str">
        <f>Source!DI191</f>
        <v/>
      </c>
      <c r="H461" s="37"/>
      <c r="I461" s="38"/>
      <c r="J461" s="38"/>
      <c r="K461" s="37"/>
      <c r="L461" s="39">
        <f>Source!U191</f>
        <v>6.84</v>
      </c>
    </row>
    <row r="462" spans="1:26" ht="15" x14ac:dyDescent="0.25">
      <c r="G462" s="72">
        <f>H458+H459+H460</f>
        <v>121.64000000000001</v>
      </c>
      <c r="H462" s="72"/>
      <c r="J462" s="72">
        <f>K458+K459+K460</f>
        <v>816.22</v>
      </c>
      <c r="K462" s="72"/>
      <c r="L462" s="40">
        <f>Source!U191</f>
        <v>6.84</v>
      </c>
      <c r="O462" s="24">
        <f>G462</f>
        <v>121.64000000000001</v>
      </c>
      <c r="P462" s="24">
        <f>J462</f>
        <v>816.22</v>
      </c>
      <c r="Q462" s="24">
        <f>L462</f>
        <v>6.84</v>
      </c>
      <c r="W462">
        <f>IF(Source!BI191&lt;=1,H458+H459+H460, 0)</f>
        <v>121.64000000000001</v>
      </c>
      <c r="X462">
        <f>IF(Source!BI191=2,H458+H459+H460, 0)</f>
        <v>0</v>
      </c>
      <c r="Y462">
        <f>IF(Source!BI191=3,H458+H459+H460, 0)</f>
        <v>0</v>
      </c>
      <c r="Z462">
        <f>IF(Source!BI191=4,H458+H459+H460, 0)</f>
        <v>0</v>
      </c>
    </row>
    <row r="463" spans="1:26" ht="42.75" x14ac:dyDescent="0.2">
      <c r="A463" s="45" t="str">
        <f>Source!E192</f>
        <v>45</v>
      </c>
      <c r="B463" s="46" t="str">
        <f>Source!F192</f>
        <v>м08-02-410-02 прим.</v>
      </c>
      <c r="C463" s="46" t="str">
        <f>Source!G192</f>
        <v>Труба полиэтиленовая по основанию пола, диаметр до 50 мм</v>
      </c>
      <c r="D463" s="29" t="str">
        <f>Source!H192</f>
        <v>100 м</v>
      </c>
      <c r="E463" s="11">
        <f>Source!I192</f>
        <v>0.08</v>
      </c>
      <c r="F463" s="30">
        <f>Source!AL192+Source!AM192+Source!AO192</f>
        <v>250.92</v>
      </c>
      <c r="G463" s="31"/>
      <c r="H463" s="30"/>
      <c r="I463" s="31" t="str">
        <f>Source!BO192</f>
        <v/>
      </c>
      <c r="J463" s="31"/>
      <c r="K463" s="30"/>
      <c r="L463" s="32"/>
      <c r="S463">
        <f>ROUND((Source!FX192/100)*((ROUND(Source!AF192*Source!I192, 2)+ROUND(Source!AE192*Source!I192, 2))), 2)</f>
        <v>11.12</v>
      </c>
      <c r="T463">
        <f>Source!X192</f>
        <v>74.66</v>
      </c>
      <c r="U463">
        <f>ROUND((Source!FY192/100)*((ROUND(Source!AF192*Source!I192, 2)+ROUND(Source!AE192*Source!I192, 2))), 2)</f>
        <v>7.61</v>
      </c>
      <c r="V463">
        <f>Source!Y192</f>
        <v>51.08</v>
      </c>
    </row>
    <row r="464" spans="1:26" x14ac:dyDescent="0.2">
      <c r="C464" s="23" t="str">
        <f>"Объем: "&amp;Source!I192&amp;"=8/"&amp;"100"</f>
        <v>Объем: 0,08=8/100</v>
      </c>
    </row>
    <row r="465" spans="1:26" ht="14.25" x14ac:dyDescent="0.2">
      <c r="A465" s="45"/>
      <c r="B465" s="46"/>
      <c r="C465" s="46" t="s">
        <v>1167</v>
      </c>
      <c r="D465" s="29"/>
      <c r="E465" s="11"/>
      <c r="F465" s="30">
        <f>Source!AO192</f>
        <v>143.63</v>
      </c>
      <c r="G465" s="31" t="str">
        <f>Source!DG192</f>
        <v/>
      </c>
      <c r="H465" s="30">
        <f>ROUND(Source!AF192*Source!I192, 2)</f>
        <v>11.49</v>
      </c>
      <c r="I465" s="31"/>
      <c r="J465" s="31">
        <f>IF(Source!BA192&lt;&gt; 0, Source!BA192, 1)</f>
        <v>6.71</v>
      </c>
      <c r="K465" s="30">
        <f>Source!S192</f>
        <v>77.099999999999994</v>
      </c>
      <c r="L465" s="32"/>
      <c r="R465">
        <f>H465</f>
        <v>11.49</v>
      </c>
    </row>
    <row r="466" spans="1:26" ht="14.25" x14ac:dyDescent="0.2">
      <c r="A466" s="45"/>
      <c r="B466" s="46"/>
      <c r="C466" s="46" t="s">
        <v>382</v>
      </c>
      <c r="D466" s="29"/>
      <c r="E466" s="11"/>
      <c r="F466" s="30">
        <f>Source!AM192</f>
        <v>19.55</v>
      </c>
      <c r="G466" s="31" t="str">
        <f>Source!DE192</f>
        <v/>
      </c>
      <c r="H466" s="30">
        <f>ROUND(Source!AD192*Source!I192, 2)</f>
        <v>1.56</v>
      </c>
      <c r="I466" s="31"/>
      <c r="J466" s="31">
        <f>IF(Source!BB192&lt;&gt; 0, Source!BB192, 1)</f>
        <v>6.71</v>
      </c>
      <c r="K466" s="30">
        <f>Source!Q192</f>
        <v>10.49</v>
      </c>
      <c r="L466" s="32"/>
    </row>
    <row r="467" spans="1:26" ht="14.25" x14ac:dyDescent="0.2">
      <c r="A467" s="45"/>
      <c r="B467" s="46"/>
      <c r="C467" s="46" t="s">
        <v>1168</v>
      </c>
      <c r="D467" s="29"/>
      <c r="E467" s="11"/>
      <c r="F467" s="30">
        <f>Source!AN192</f>
        <v>2.77</v>
      </c>
      <c r="G467" s="31" t="str">
        <f>Source!DF192</f>
        <v/>
      </c>
      <c r="H467" s="33">
        <f>ROUND(Source!AE192*Source!I192, 2)</f>
        <v>0.22</v>
      </c>
      <c r="I467" s="31"/>
      <c r="J467" s="31">
        <f>IF(Source!BS192&lt;&gt; 0, Source!BS192, 1)</f>
        <v>6.71</v>
      </c>
      <c r="K467" s="33">
        <f>Source!R192</f>
        <v>1.49</v>
      </c>
      <c r="L467" s="32"/>
      <c r="R467">
        <f>H467</f>
        <v>0.22</v>
      </c>
    </row>
    <row r="468" spans="1:26" ht="14.25" x14ac:dyDescent="0.2">
      <c r="A468" s="45"/>
      <c r="B468" s="46"/>
      <c r="C468" s="46" t="s">
        <v>1174</v>
      </c>
      <c r="D468" s="29"/>
      <c r="E468" s="11"/>
      <c r="F468" s="30">
        <f>Source!AL192</f>
        <v>87.74</v>
      </c>
      <c r="G468" s="31" t="str">
        <f>Source!DD192</f>
        <v/>
      </c>
      <c r="H468" s="30">
        <f>ROUND(Source!AC192*Source!I192, 2)</f>
        <v>7.02</v>
      </c>
      <c r="I468" s="31"/>
      <c r="J468" s="31">
        <f>IF(Source!BC192&lt;&gt; 0, Source!BC192, 1)</f>
        <v>6.71</v>
      </c>
      <c r="K468" s="30">
        <f>Source!P192</f>
        <v>47.1</v>
      </c>
      <c r="L468" s="32"/>
    </row>
    <row r="469" spans="1:26" ht="14.25" x14ac:dyDescent="0.2">
      <c r="A469" s="45"/>
      <c r="B469" s="46"/>
      <c r="C469" s="46" t="s">
        <v>1169</v>
      </c>
      <c r="D469" s="29" t="s">
        <v>1170</v>
      </c>
      <c r="E469" s="11">
        <f>Source!BZ192</f>
        <v>95</v>
      </c>
      <c r="F469" s="49"/>
      <c r="G469" s="31"/>
      <c r="H469" s="30">
        <f>SUM(S463:S472)</f>
        <v>11.12</v>
      </c>
      <c r="I469" s="34"/>
      <c r="J469" s="27">
        <f>Source!AT192</f>
        <v>95</v>
      </c>
      <c r="K469" s="30">
        <f>SUM(T463:T472)</f>
        <v>74.66</v>
      </c>
      <c r="L469" s="32"/>
    </row>
    <row r="470" spans="1:26" ht="14.25" x14ac:dyDescent="0.2">
      <c r="A470" s="45"/>
      <c r="B470" s="46"/>
      <c r="C470" s="46" t="s">
        <v>1171</v>
      </c>
      <c r="D470" s="29" t="s">
        <v>1170</v>
      </c>
      <c r="E470" s="11">
        <f>Source!CA192</f>
        <v>65</v>
      </c>
      <c r="F470" s="49"/>
      <c r="G470" s="31"/>
      <c r="H470" s="30">
        <f>SUM(U463:U472)</f>
        <v>7.61</v>
      </c>
      <c r="I470" s="34"/>
      <c r="J470" s="27">
        <f>Source!AU192</f>
        <v>65</v>
      </c>
      <c r="K470" s="30">
        <f>SUM(V463:V472)</f>
        <v>51.08</v>
      </c>
      <c r="L470" s="32"/>
    </row>
    <row r="471" spans="1:26" ht="14.25" x14ac:dyDescent="0.2">
      <c r="A471" s="45"/>
      <c r="B471" s="46"/>
      <c r="C471" s="46" t="s">
        <v>1172</v>
      </c>
      <c r="D471" s="29" t="s">
        <v>1173</v>
      </c>
      <c r="E471" s="11">
        <f>Source!AQ192</f>
        <v>15.28</v>
      </c>
      <c r="F471" s="30"/>
      <c r="G471" s="31" t="str">
        <f>Source!DI192</f>
        <v/>
      </c>
      <c r="H471" s="30"/>
      <c r="I471" s="31"/>
      <c r="J471" s="31"/>
      <c r="K471" s="30"/>
      <c r="L471" s="41">
        <f>Source!U192</f>
        <v>1.2223999999999999</v>
      </c>
    </row>
    <row r="472" spans="1:26" ht="28.5" x14ac:dyDescent="0.2">
      <c r="A472" s="47" t="str">
        <f>Source!E193</f>
        <v>45,1</v>
      </c>
      <c r="B472" s="48" t="str">
        <f>Source!F193</f>
        <v>24.3.03.13-0304</v>
      </c>
      <c r="C472" s="48" t="str">
        <f>Source!G193</f>
        <v>Трубы гладкие одностенные легкие из ПНД, диаметром 32 мм</v>
      </c>
      <c r="D472" s="35" t="str">
        <f>Source!H193</f>
        <v>10 м</v>
      </c>
      <c r="E472" s="36">
        <f>Source!I193</f>
        <v>0.8</v>
      </c>
      <c r="F472" s="37">
        <f>Source!AL193+Source!AM193+Source!AO193</f>
        <v>99.42</v>
      </c>
      <c r="G472" s="42" t="s">
        <v>6</v>
      </c>
      <c r="H472" s="37">
        <f>ROUND(Source!AC193*Source!I193, 2)+ROUND(Source!AD193*Source!I193, 2)+ROUND(Source!AF193*Source!I193, 2)</f>
        <v>79.540000000000006</v>
      </c>
      <c r="I472" s="38"/>
      <c r="J472" s="38">
        <f>IF(Source!BC193&lt;&gt; 0, Source!BC193, 1)</f>
        <v>6.71</v>
      </c>
      <c r="K472" s="37">
        <f>Source!O193</f>
        <v>533.69000000000005</v>
      </c>
      <c r="L472" s="43"/>
      <c r="S472">
        <f>ROUND((Source!FX193/100)*((ROUND(Source!AF193*Source!I193, 2)+ROUND(Source!AE193*Source!I193, 2))), 2)</f>
        <v>0</v>
      </c>
      <c r="T472">
        <f>Source!X193</f>
        <v>0</v>
      </c>
      <c r="U472">
        <f>ROUND((Source!FY193/100)*((ROUND(Source!AF193*Source!I193, 2)+ROUND(Source!AE193*Source!I193, 2))), 2)</f>
        <v>0</v>
      </c>
      <c r="V472">
        <f>Source!Y193</f>
        <v>0</v>
      </c>
      <c r="W472">
        <f>IF(Source!BI193&lt;=1,H472, 0)</f>
        <v>0</v>
      </c>
      <c r="X472">
        <f>IF(Source!BI193=2,H472, 0)</f>
        <v>79.540000000000006</v>
      </c>
      <c r="Y472">
        <f>IF(Source!BI193=3,H472, 0)</f>
        <v>0</v>
      </c>
      <c r="Z472">
        <f>IF(Source!BI193=4,H472, 0)</f>
        <v>0</v>
      </c>
    </row>
    <row r="473" spans="1:26" ht="15" x14ac:dyDescent="0.25">
      <c r="G473" s="72">
        <f>H465+H466+H468+H469+H470+SUM(H472:H472)</f>
        <v>118.34</v>
      </c>
      <c r="H473" s="72"/>
      <c r="J473" s="72">
        <f>K465+K466+K468+K469+K470+SUM(K472:K472)</f>
        <v>794.12000000000012</v>
      </c>
      <c r="K473" s="72"/>
      <c r="L473" s="40">
        <f>Source!U192</f>
        <v>1.2223999999999999</v>
      </c>
      <c r="O473" s="24">
        <f>G473</f>
        <v>118.34</v>
      </c>
      <c r="P473" s="24">
        <f>J473</f>
        <v>794.12000000000012</v>
      </c>
      <c r="Q473" s="24">
        <f>L473</f>
        <v>1.2223999999999999</v>
      </c>
      <c r="W473">
        <f>IF(Source!BI192&lt;=1,H465+H466+H468+H469+H470, 0)</f>
        <v>0</v>
      </c>
      <c r="X473">
        <f>IF(Source!BI192=2,H465+H466+H468+H469+H470, 0)</f>
        <v>38.799999999999997</v>
      </c>
      <c r="Y473">
        <f>IF(Source!BI192=3,H465+H466+H468+H469+H470, 0)</f>
        <v>0</v>
      </c>
      <c r="Z473">
        <f>IF(Source!BI192=4,H465+H466+H468+H469+H470, 0)</f>
        <v>0</v>
      </c>
    </row>
    <row r="474" spans="1:26" ht="28.5" x14ac:dyDescent="0.2">
      <c r="A474" s="45" t="str">
        <f>Source!E194</f>
        <v>46</v>
      </c>
      <c r="B474" s="46" t="str">
        <f>Source!F194</f>
        <v>м10-08-019-01</v>
      </c>
      <c r="C474" s="46" t="str">
        <f>Source!G194</f>
        <v>Коробка ответвительная на стене</v>
      </c>
      <c r="D474" s="29" t="str">
        <f>Source!H194</f>
        <v>ШТ</v>
      </c>
      <c r="E474" s="11">
        <f>Source!I194</f>
        <v>62</v>
      </c>
      <c r="F474" s="30">
        <f>Source!AL194+Source!AM194+Source!AO194</f>
        <v>5.29</v>
      </c>
      <c r="G474" s="31"/>
      <c r="H474" s="30"/>
      <c r="I474" s="31" t="str">
        <f>Source!BO194</f>
        <v/>
      </c>
      <c r="J474" s="31"/>
      <c r="K474" s="30"/>
      <c r="L474" s="32"/>
      <c r="S474">
        <f>ROUND((Source!FX194/100)*((ROUND(Source!AF194*Source!I194, 2)+ROUND(Source!AE194*Source!I194, 2))), 2)</f>
        <v>242.05</v>
      </c>
      <c r="T474">
        <f>Source!X194</f>
        <v>1624.14</v>
      </c>
      <c r="U474">
        <f>ROUND((Source!FY194/100)*((ROUND(Source!AF194*Source!I194, 2)+ROUND(Source!AE194*Source!I194, 2))), 2)</f>
        <v>181.54</v>
      </c>
      <c r="V474">
        <f>Source!Y194</f>
        <v>1218.1099999999999</v>
      </c>
    </row>
    <row r="475" spans="1:26" ht="14.25" x14ac:dyDescent="0.2">
      <c r="A475" s="45"/>
      <c r="B475" s="46"/>
      <c r="C475" s="46" t="s">
        <v>1167</v>
      </c>
      <c r="D475" s="29"/>
      <c r="E475" s="11"/>
      <c r="F475" s="30">
        <f>Source!AO194</f>
        <v>4.88</v>
      </c>
      <c r="G475" s="31" t="str">
        <f>Source!DG194</f>
        <v/>
      </c>
      <c r="H475" s="30">
        <f>ROUND(Source!AF194*Source!I194, 2)</f>
        <v>302.56</v>
      </c>
      <c r="I475" s="31"/>
      <c r="J475" s="31">
        <f>IF(Source!BA194&lt;&gt; 0, Source!BA194, 1)</f>
        <v>6.71</v>
      </c>
      <c r="K475" s="30">
        <f>Source!S194</f>
        <v>2030.18</v>
      </c>
      <c r="L475" s="32"/>
      <c r="R475">
        <f>H475</f>
        <v>302.56</v>
      </c>
    </row>
    <row r="476" spans="1:26" ht="14.25" x14ac:dyDescent="0.2">
      <c r="A476" s="45"/>
      <c r="B476" s="46"/>
      <c r="C476" s="46" t="s">
        <v>1174</v>
      </c>
      <c r="D476" s="29"/>
      <c r="E476" s="11"/>
      <c r="F476" s="30">
        <f>Source!AL194</f>
        <v>0.41</v>
      </c>
      <c r="G476" s="31" t="str">
        <f>Source!DD194</f>
        <v/>
      </c>
      <c r="H476" s="30">
        <f>ROUND(Source!AC194*Source!I194, 2)</f>
        <v>25.42</v>
      </c>
      <c r="I476" s="31"/>
      <c r="J476" s="31">
        <f>IF(Source!BC194&lt;&gt; 0, Source!BC194, 1)</f>
        <v>6.71</v>
      </c>
      <c r="K476" s="30">
        <f>Source!P194</f>
        <v>170.57</v>
      </c>
      <c r="L476" s="32"/>
    </row>
    <row r="477" spans="1:26" ht="14.25" x14ac:dyDescent="0.2">
      <c r="A477" s="45"/>
      <c r="B477" s="46"/>
      <c r="C477" s="46" t="s">
        <v>1169</v>
      </c>
      <c r="D477" s="29" t="s">
        <v>1170</v>
      </c>
      <c r="E477" s="11">
        <f>Source!BZ194</f>
        <v>80</v>
      </c>
      <c r="F477" s="49"/>
      <c r="G477" s="31"/>
      <c r="H477" s="30">
        <f>SUM(S474:S480)</f>
        <v>242.05</v>
      </c>
      <c r="I477" s="34"/>
      <c r="J477" s="27">
        <f>Source!AT194</f>
        <v>80</v>
      </c>
      <c r="K477" s="30">
        <f>SUM(T474:T480)</f>
        <v>1624.14</v>
      </c>
      <c r="L477" s="32"/>
    </row>
    <row r="478" spans="1:26" ht="14.25" x14ac:dyDescent="0.2">
      <c r="A478" s="45"/>
      <c r="B478" s="46"/>
      <c r="C478" s="46" t="s">
        <v>1171</v>
      </c>
      <c r="D478" s="29" t="s">
        <v>1170</v>
      </c>
      <c r="E478" s="11">
        <f>Source!CA194</f>
        <v>60</v>
      </c>
      <c r="F478" s="49"/>
      <c r="G478" s="31"/>
      <c r="H478" s="30">
        <f>SUM(U474:U480)</f>
        <v>181.54</v>
      </c>
      <c r="I478" s="34"/>
      <c r="J478" s="27">
        <f>Source!AU194</f>
        <v>60</v>
      </c>
      <c r="K478" s="30">
        <f>SUM(V474:V480)</f>
        <v>1218.1099999999999</v>
      </c>
      <c r="L478" s="32"/>
    </row>
    <row r="479" spans="1:26" ht="14.25" x14ac:dyDescent="0.2">
      <c r="A479" s="45"/>
      <c r="B479" s="46"/>
      <c r="C479" s="46" t="s">
        <v>1172</v>
      </c>
      <c r="D479" s="29" t="s">
        <v>1173</v>
      </c>
      <c r="E479" s="11">
        <f>Source!AQ194</f>
        <v>0.5</v>
      </c>
      <c r="F479" s="30"/>
      <c r="G479" s="31" t="str">
        <f>Source!DI194</f>
        <v/>
      </c>
      <c r="H479" s="30"/>
      <c r="I479" s="31"/>
      <c r="J479" s="31"/>
      <c r="K479" s="30"/>
      <c r="L479" s="41">
        <f>Source!U194</f>
        <v>31</v>
      </c>
    </row>
    <row r="480" spans="1:26" ht="28.5" x14ac:dyDescent="0.2">
      <c r="A480" s="47" t="str">
        <f>Source!E195</f>
        <v>46,1</v>
      </c>
      <c r="B480" s="48" t="str">
        <f>Source!F195</f>
        <v>20.5.02.04-0004</v>
      </c>
      <c r="C480" s="48" t="str">
        <f>Source!G195</f>
        <v>Коробка ответвительная SchneiderElectrik 100x100x50мм прим.</v>
      </c>
      <c r="D480" s="35" t="str">
        <f>Source!H195</f>
        <v>10 шт.</v>
      </c>
      <c r="E480" s="36">
        <f>Source!I195</f>
        <v>6.2</v>
      </c>
      <c r="F480" s="37">
        <f>Source!AL195+Source!AM195+Source!AO195</f>
        <v>62.4</v>
      </c>
      <c r="G480" s="42" t="s">
        <v>6</v>
      </c>
      <c r="H480" s="37">
        <f>ROUND(Source!AC195*Source!I195, 2)+ROUND(Source!AD195*Source!I195, 2)+ROUND(Source!AF195*Source!I195, 2)</f>
        <v>386.88</v>
      </c>
      <c r="I480" s="38"/>
      <c r="J480" s="38">
        <f>IF(Source!BC195&lt;&gt; 0, Source!BC195, 1)</f>
        <v>6.71</v>
      </c>
      <c r="K480" s="37">
        <f>Source!O195</f>
        <v>2595.96</v>
      </c>
      <c r="L480" s="43"/>
      <c r="S480">
        <f>ROUND((Source!FX195/100)*((ROUND(Source!AF195*Source!I195, 2)+ROUND(Source!AE195*Source!I195, 2))), 2)</f>
        <v>0</v>
      </c>
      <c r="T480">
        <f>Source!X195</f>
        <v>0</v>
      </c>
      <c r="U480">
        <f>ROUND((Source!FY195/100)*((ROUND(Source!AF195*Source!I195, 2)+ROUND(Source!AE195*Source!I195, 2))), 2)</f>
        <v>0</v>
      </c>
      <c r="V480">
        <f>Source!Y195</f>
        <v>0</v>
      </c>
      <c r="W480">
        <f>IF(Source!BI195&lt;=1,H480, 0)</f>
        <v>0</v>
      </c>
      <c r="X480">
        <f>IF(Source!BI195=2,H480, 0)</f>
        <v>386.88</v>
      </c>
      <c r="Y480">
        <f>IF(Source!BI195=3,H480, 0)</f>
        <v>0</v>
      </c>
      <c r="Z480">
        <f>IF(Source!BI195=4,H480, 0)</f>
        <v>0</v>
      </c>
    </row>
    <row r="481" spans="1:26" ht="15" x14ac:dyDescent="0.25">
      <c r="G481" s="72">
        <f>H475+H476+H477+H478+SUM(H480:H480)</f>
        <v>1138.4499999999998</v>
      </c>
      <c r="H481" s="72"/>
      <c r="J481" s="72">
        <f>K475+K476+K477+K478+SUM(K480:K480)</f>
        <v>7638.96</v>
      </c>
      <c r="K481" s="72"/>
      <c r="L481" s="40">
        <f>Source!U194</f>
        <v>31</v>
      </c>
      <c r="O481" s="24">
        <f>G481</f>
        <v>1138.4499999999998</v>
      </c>
      <c r="P481" s="24">
        <f>J481</f>
        <v>7638.96</v>
      </c>
      <c r="Q481" s="24">
        <f>L481</f>
        <v>31</v>
      </c>
      <c r="W481">
        <f>IF(Source!BI194&lt;=1,H475+H476+H477+H478, 0)</f>
        <v>0</v>
      </c>
      <c r="X481">
        <f>IF(Source!BI194=2,H475+H476+H477+H478, 0)</f>
        <v>751.56999999999994</v>
      </c>
      <c r="Y481">
        <f>IF(Source!BI194=3,H475+H476+H477+H478, 0)</f>
        <v>0</v>
      </c>
      <c r="Z481">
        <f>IF(Source!BI194=4,H475+H476+H477+H478, 0)</f>
        <v>0</v>
      </c>
    </row>
    <row r="482" spans="1:26" ht="28.5" x14ac:dyDescent="0.2">
      <c r="A482" s="45" t="str">
        <f>Source!E196</f>
        <v>47</v>
      </c>
      <c r="B482" s="46" t="str">
        <f>Source!F196</f>
        <v>м08-02-390-03</v>
      </c>
      <c r="C482" s="46" t="str">
        <f>Source!G196</f>
        <v>Короба пластмассовые шириной до 120 мм</v>
      </c>
      <c r="D482" s="29" t="str">
        <f>Source!H196</f>
        <v>100 м</v>
      </c>
      <c r="E482" s="11">
        <f>Source!I196</f>
        <v>0.79</v>
      </c>
      <c r="F482" s="30">
        <f>Source!AL196+Source!AM196+Source!AO196</f>
        <v>286.92</v>
      </c>
      <c r="G482" s="31"/>
      <c r="H482" s="30"/>
      <c r="I482" s="31" t="str">
        <f>Source!BO196</f>
        <v/>
      </c>
      <c r="J482" s="31"/>
      <c r="K482" s="30"/>
      <c r="L482" s="32"/>
      <c r="S482">
        <f>ROUND((Source!FX196/100)*((ROUND(Source!AF196*Source!I196, 2)+ROUND(Source!AE196*Source!I196, 2))), 2)</f>
        <v>145.21</v>
      </c>
      <c r="T482">
        <f>Source!X196</f>
        <v>974.34</v>
      </c>
      <c r="U482">
        <f>ROUND((Source!FY196/100)*((ROUND(Source!AF196*Source!I196, 2)+ROUND(Source!AE196*Source!I196, 2))), 2)</f>
        <v>99.35</v>
      </c>
      <c r="V482">
        <f>Source!Y196</f>
        <v>666.65</v>
      </c>
    </row>
    <row r="483" spans="1:26" x14ac:dyDescent="0.2">
      <c r="C483" s="23" t="str">
        <f>"Объем: "&amp;Source!I196&amp;"=79/"&amp;"100"</f>
        <v>Объем: 0,79=79/100</v>
      </c>
    </row>
    <row r="484" spans="1:26" ht="14.25" x14ac:dyDescent="0.2">
      <c r="A484" s="45"/>
      <c r="B484" s="46"/>
      <c r="C484" s="46" t="s">
        <v>1167</v>
      </c>
      <c r="D484" s="29"/>
      <c r="E484" s="11"/>
      <c r="F484" s="30">
        <f>Source!AO196</f>
        <v>193.34</v>
      </c>
      <c r="G484" s="31" t="str">
        <f>Source!DG196</f>
        <v/>
      </c>
      <c r="H484" s="30">
        <f>ROUND(Source!AF196*Source!I196, 2)</f>
        <v>152.74</v>
      </c>
      <c r="I484" s="31"/>
      <c r="J484" s="31">
        <f>IF(Source!BA196&lt;&gt; 0, Source!BA196, 1)</f>
        <v>6.71</v>
      </c>
      <c r="K484" s="30">
        <f>Source!S196</f>
        <v>1024.8800000000001</v>
      </c>
      <c r="L484" s="32"/>
      <c r="R484">
        <f>H484</f>
        <v>152.74</v>
      </c>
    </row>
    <row r="485" spans="1:26" ht="14.25" x14ac:dyDescent="0.2">
      <c r="A485" s="45"/>
      <c r="B485" s="46"/>
      <c r="C485" s="46" t="s">
        <v>382</v>
      </c>
      <c r="D485" s="29"/>
      <c r="E485" s="11"/>
      <c r="F485" s="30">
        <f>Source!AM196</f>
        <v>0.31</v>
      </c>
      <c r="G485" s="31" t="str">
        <f>Source!DE196</f>
        <v/>
      </c>
      <c r="H485" s="30">
        <f>ROUND(Source!AD196*Source!I196, 2)</f>
        <v>0.24</v>
      </c>
      <c r="I485" s="31"/>
      <c r="J485" s="31">
        <f>IF(Source!BB196&lt;&gt; 0, Source!BB196, 1)</f>
        <v>6.71</v>
      </c>
      <c r="K485" s="30">
        <f>Source!Q196</f>
        <v>1.64</v>
      </c>
      <c r="L485" s="32"/>
    </row>
    <row r="486" spans="1:26" ht="14.25" x14ac:dyDescent="0.2">
      <c r="A486" s="45"/>
      <c r="B486" s="46"/>
      <c r="C486" s="46" t="s">
        <v>1168</v>
      </c>
      <c r="D486" s="29"/>
      <c r="E486" s="11"/>
      <c r="F486" s="30">
        <f>Source!AN196</f>
        <v>0.14000000000000001</v>
      </c>
      <c r="G486" s="31" t="str">
        <f>Source!DF196</f>
        <v/>
      </c>
      <c r="H486" s="33">
        <f>ROUND(Source!AE196*Source!I196, 2)</f>
        <v>0.11</v>
      </c>
      <c r="I486" s="31"/>
      <c r="J486" s="31">
        <f>IF(Source!BS196&lt;&gt; 0, Source!BS196, 1)</f>
        <v>6.71</v>
      </c>
      <c r="K486" s="33">
        <f>Source!R196</f>
        <v>0.74</v>
      </c>
      <c r="L486" s="32"/>
      <c r="R486">
        <f>H486</f>
        <v>0.11</v>
      </c>
    </row>
    <row r="487" spans="1:26" ht="14.25" x14ac:dyDescent="0.2">
      <c r="A487" s="45"/>
      <c r="B487" s="46"/>
      <c r="C487" s="46" t="s">
        <v>1174</v>
      </c>
      <c r="D487" s="29"/>
      <c r="E487" s="11"/>
      <c r="F487" s="30">
        <f>Source!AL196</f>
        <v>93.27</v>
      </c>
      <c r="G487" s="31" t="str">
        <f>Source!DD196</f>
        <v/>
      </c>
      <c r="H487" s="30">
        <f>ROUND(Source!AC196*Source!I196, 2)</f>
        <v>73.680000000000007</v>
      </c>
      <c r="I487" s="31"/>
      <c r="J487" s="31">
        <f>IF(Source!BC196&lt;&gt; 0, Source!BC196, 1)</f>
        <v>6.71</v>
      </c>
      <c r="K487" s="30">
        <f>Source!P196</f>
        <v>494.41</v>
      </c>
      <c r="L487" s="32"/>
    </row>
    <row r="488" spans="1:26" ht="14.25" x14ac:dyDescent="0.2">
      <c r="A488" s="45"/>
      <c r="B488" s="46"/>
      <c r="C488" s="46" t="s">
        <v>1169</v>
      </c>
      <c r="D488" s="29" t="s">
        <v>1170</v>
      </c>
      <c r="E488" s="11">
        <f>Source!BZ196</f>
        <v>95</v>
      </c>
      <c r="F488" s="49"/>
      <c r="G488" s="31"/>
      <c r="H488" s="30">
        <f>SUM(S482:S491)</f>
        <v>145.21</v>
      </c>
      <c r="I488" s="34"/>
      <c r="J488" s="27">
        <f>Source!AT196</f>
        <v>95</v>
      </c>
      <c r="K488" s="30">
        <f>SUM(T482:T491)</f>
        <v>974.34</v>
      </c>
      <c r="L488" s="32"/>
    </row>
    <row r="489" spans="1:26" ht="14.25" x14ac:dyDescent="0.2">
      <c r="A489" s="45"/>
      <c r="B489" s="46"/>
      <c r="C489" s="46" t="s">
        <v>1171</v>
      </c>
      <c r="D489" s="29" t="s">
        <v>1170</v>
      </c>
      <c r="E489" s="11">
        <f>Source!CA196</f>
        <v>65</v>
      </c>
      <c r="F489" s="49"/>
      <c r="G489" s="31"/>
      <c r="H489" s="30">
        <f>SUM(U482:U491)</f>
        <v>99.35</v>
      </c>
      <c r="I489" s="34"/>
      <c r="J489" s="27">
        <f>Source!AU196</f>
        <v>65</v>
      </c>
      <c r="K489" s="30">
        <f>SUM(V482:V491)</f>
        <v>666.65</v>
      </c>
      <c r="L489" s="32"/>
    </row>
    <row r="490" spans="1:26" ht="14.25" x14ac:dyDescent="0.2">
      <c r="A490" s="45"/>
      <c r="B490" s="46"/>
      <c r="C490" s="46" t="s">
        <v>1172</v>
      </c>
      <c r="D490" s="29" t="s">
        <v>1173</v>
      </c>
      <c r="E490" s="11">
        <f>Source!AQ196</f>
        <v>20.329999999999998</v>
      </c>
      <c r="F490" s="30"/>
      <c r="G490" s="31" t="str">
        <f>Source!DI196</f>
        <v/>
      </c>
      <c r="H490" s="30"/>
      <c r="I490" s="31"/>
      <c r="J490" s="31"/>
      <c r="K490" s="30"/>
      <c r="L490" s="41">
        <f>Source!U196</f>
        <v>16.060700000000001</v>
      </c>
    </row>
    <row r="491" spans="1:26" ht="28.5" x14ac:dyDescent="0.2">
      <c r="A491" s="47" t="str">
        <f>Source!E197</f>
        <v>47,1</v>
      </c>
      <c r="B491" s="48" t="str">
        <f>Source!F197</f>
        <v>20.2.05.04-0034</v>
      </c>
      <c r="C491" s="48" t="str">
        <f>Source!G197</f>
        <v>Кабель-канал (короб)  Efapel 110x50 мм прим.</v>
      </c>
      <c r="D491" s="35" t="str">
        <f>Source!H197</f>
        <v>100 м</v>
      </c>
      <c r="E491" s="36">
        <f>Source!I197</f>
        <v>0.79</v>
      </c>
      <c r="F491" s="37">
        <f>Source!AL197+Source!AM197+Source!AO197</f>
        <v>1360</v>
      </c>
      <c r="G491" s="42" t="s">
        <v>6</v>
      </c>
      <c r="H491" s="37">
        <f>ROUND(Source!AC197*Source!I197, 2)+ROUND(Source!AD197*Source!I197, 2)+ROUND(Source!AF197*Source!I197, 2)</f>
        <v>1074.4000000000001</v>
      </c>
      <c r="I491" s="38"/>
      <c r="J491" s="38">
        <f>IF(Source!BC197&lt;&gt; 0, Source!BC197, 1)</f>
        <v>6.71</v>
      </c>
      <c r="K491" s="37">
        <f>Source!O197</f>
        <v>7209.22</v>
      </c>
      <c r="L491" s="43"/>
      <c r="S491">
        <f>ROUND((Source!FX197/100)*((ROUND(Source!AF197*Source!I197, 2)+ROUND(Source!AE197*Source!I197, 2))), 2)</f>
        <v>0</v>
      </c>
      <c r="T491">
        <f>Source!X197</f>
        <v>0</v>
      </c>
      <c r="U491">
        <f>ROUND((Source!FY197/100)*((ROUND(Source!AF197*Source!I197, 2)+ROUND(Source!AE197*Source!I197, 2))), 2)</f>
        <v>0</v>
      </c>
      <c r="V491">
        <f>Source!Y197</f>
        <v>0</v>
      </c>
      <c r="W491">
        <f>IF(Source!BI197&lt;=1,H491, 0)</f>
        <v>0</v>
      </c>
      <c r="X491">
        <f>IF(Source!BI197=2,H491, 0)</f>
        <v>1074.4000000000001</v>
      </c>
      <c r="Y491">
        <f>IF(Source!BI197=3,H491, 0)</f>
        <v>0</v>
      </c>
      <c r="Z491">
        <f>IF(Source!BI197=4,H491, 0)</f>
        <v>0</v>
      </c>
    </row>
    <row r="492" spans="1:26" ht="15" x14ac:dyDescent="0.25">
      <c r="G492" s="72">
        <f>H484+H485+H487+H488+H489+SUM(H491:H491)</f>
        <v>1545.6200000000001</v>
      </c>
      <c r="H492" s="72"/>
      <c r="J492" s="72">
        <f>K484+K485+K487+K488+K489+SUM(K491:K491)</f>
        <v>10371.140000000001</v>
      </c>
      <c r="K492" s="72"/>
      <c r="L492" s="40">
        <f>Source!U196</f>
        <v>16.060700000000001</v>
      </c>
      <c r="O492" s="24">
        <f>G492</f>
        <v>1545.6200000000001</v>
      </c>
      <c r="P492" s="24">
        <f>J492</f>
        <v>10371.140000000001</v>
      </c>
      <c r="Q492" s="24">
        <f>L492</f>
        <v>16.060700000000001</v>
      </c>
      <c r="W492">
        <f>IF(Source!BI196&lt;=1,H484+H485+H487+H488+H489, 0)</f>
        <v>0</v>
      </c>
      <c r="X492">
        <f>IF(Source!BI196=2,H484+H485+H487+H488+H489, 0)</f>
        <v>471.22</v>
      </c>
      <c r="Y492">
        <f>IF(Source!BI196=3,H484+H485+H487+H488+H489, 0)</f>
        <v>0</v>
      </c>
      <c r="Z492">
        <f>IF(Source!BI196=4,H484+H485+H487+H488+H489, 0)</f>
        <v>0</v>
      </c>
    </row>
    <row r="493" spans="1:26" ht="28.5" x14ac:dyDescent="0.2">
      <c r="A493" s="45" t="str">
        <f>Source!E198</f>
        <v>48</v>
      </c>
      <c r="B493" s="46" t="str">
        <f>Source!F198</f>
        <v>м08-10-010-01</v>
      </c>
      <c r="C493" s="46" t="str">
        <f>Source!G198</f>
        <v>Прокладка труб гофрированных ПВХ для защиты проводов и кабелей</v>
      </c>
      <c r="D493" s="29" t="str">
        <f>Source!H198</f>
        <v>100 м</v>
      </c>
      <c r="E493" s="11">
        <f>Source!I198</f>
        <v>3.15</v>
      </c>
      <c r="F493" s="30">
        <f>Source!AL198+Source!AM198+Source!AO198</f>
        <v>156.32999999999998</v>
      </c>
      <c r="G493" s="31"/>
      <c r="H493" s="30"/>
      <c r="I493" s="31" t="str">
        <f>Source!BO198</f>
        <v/>
      </c>
      <c r="J493" s="31"/>
      <c r="K493" s="30"/>
      <c r="L493" s="32"/>
      <c r="S493">
        <f>ROUND((Source!FX198/100)*((ROUND(Source!AF198*Source!I198, 2)+ROUND(Source!AE198*Source!I198, 2))), 2)</f>
        <v>417.57</v>
      </c>
      <c r="T493">
        <f>Source!X198</f>
        <v>2801.92</v>
      </c>
      <c r="U493">
        <f>ROUND((Source!FY198/100)*((ROUND(Source!AF198*Source!I198, 2)+ROUND(Source!AE198*Source!I198, 2))), 2)</f>
        <v>285.70999999999998</v>
      </c>
      <c r="V493">
        <f>Source!Y198</f>
        <v>1917.1</v>
      </c>
    </row>
    <row r="494" spans="1:26" x14ac:dyDescent="0.2">
      <c r="C494" s="23" t="str">
        <f>"Объем: "&amp;Source!I198&amp;"=315/"&amp;"100"</f>
        <v>Объем: 3,15=315/100</v>
      </c>
    </row>
    <row r="495" spans="1:26" ht="14.25" x14ac:dyDescent="0.2">
      <c r="A495" s="45"/>
      <c r="B495" s="46"/>
      <c r="C495" s="46" t="s">
        <v>1167</v>
      </c>
      <c r="D495" s="29"/>
      <c r="E495" s="11"/>
      <c r="F495" s="30">
        <f>Source!AO198</f>
        <v>139.54</v>
      </c>
      <c r="G495" s="31" t="str">
        <f>Source!DG198</f>
        <v/>
      </c>
      <c r="H495" s="30">
        <f>ROUND(Source!AF198*Source!I198, 2)</f>
        <v>439.55</v>
      </c>
      <c r="I495" s="31"/>
      <c r="J495" s="31">
        <f>IF(Source!BA198&lt;&gt; 0, Source!BA198, 1)</f>
        <v>6.71</v>
      </c>
      <c r="K495" s="30">
        <f>Source!S198</f>
        <v>2949.39</v>
      </c>
      <c r="L495" s="32"/>
      <c r="R495">
        <f>H495</f>
        <v>439.55</v>
      </c>
    </row>
    <row r="496" spans="1:26" ht="14.25" x14ac:dyDescent="0.2">
      <c r="A496" s="45"/>
      <c r="B496" s="46"/>
      <c r="C496" s="46" t="s">
        <v>1174</v>
      </c>
      <c r="D496" s="29"/>
      <c r="E496" s="11"/>
      <c r="F496" s="30">
        <f>Source!AL198</f>
        <v>16.79</v>
      </c>
      <c r="G496" s="31" t="str">
        <f>Source!DD198</f>
        <v/>
      </c>
      <c r="H496" s="30">
        <f>ROUND(Source!AC198*Source!I198, 2)</f>
        <v>52.89</v>
      </c>
      <c r="I496" s="31"/>
      <c r="J496" s="31">
        <f>IF(Source!BC198&lt;&gt; 0, Source!BC198, 1)</f>
        <v>6.71</v>
      </c>
      <c r="K496" s="30">
        <f>Source!P198</f>
        <v>354.88</v>
      </c>
      <c r="L496" s="32"/>
    </row>
    <row r="497" spans="1:26" ht="14.25" x14ac:dyDescent="0.2">
      <c r="A497" s="45"/>
      <c r="B497" s="46"/>
      <c r="C497" s="46" t="s">
        <v>1169</v>
      </c>
      <c r="D497" s="29" t="s">
        <v>1170</v>
      </c>
      <c r="E497" s="11">
        <f>Source!BZ198</f>
        <v>95</v>
      </c>
      <c r="F497" s="49"/>
      <c r="G497" s="31"/>
      <c r="H497" s="30">
        <f>SUM(S493:S500)</f>
        <v>417.57</v>
      </c>
      <c r="I497" s="34"/>
      <c r="J497" s="27">
        <f>Source!AT198</f>
        <v>95</v>
      </c>
      <c r="K497" s="30">
        <f>SUM(T493:T500)</f>
        <v>2801.92</v>
      </c>
      <c r="L497" s="32"/>
    </row>
    <row r="498" spans="1:26" ht="14.25" x14ac:dyDescent="0.2">
      <c r="A498" s="45"/>
      <c r="B498" s="46"/>
      <c r="C498" s="46" t="s">
        <v>1171</v>
      </c>
      <c r="D498" s="29" t="s">
        <v>1170</v>
      </c>
      <c r="E498" s="11">
        <f>Source!CA198</f>
        <v>65</v>
      </c>
      <c r="F498" s="49"/>
      <c r="G498" s="31"/>
      <c r="H498" s="30">
        <f>SUM(U493:U500)</f>
        <v>285.70999999999998</v>
      </c>
      <c r="I498" s="34"/>
      <c r="J498" s="27">
        <f>Source!AU198</f>
        <v>65</v>
      </c>
      <c r="K498" s="30">
        <f>SUM(V493:V500)</f>
        <v>1917.1</v>
      </c>
      <c r="L498" s="32"/>
    </row>
    <row r="499" spans="1:26" ht="14.25" x14ac:dyDescent="0.2">
      <c r="A499" s="45"/>
      <c r="B499" s="46"/>
      <c r="C499" s="46" t="s">
        <v>1172</v>
      </c>
      <c r="D499" s="29" t="s">
        <v>1173</v>
      </c>
      <c r="E499" s="11">
        <f>Source!AQ198</f>
        <v>15.2</v>
      </c>
      <c r="F499" s="30"/>
      <c r="G499" s="31" t="str">
        <f>Source!DI198</f>
        <v/>
      </c>
      <c r="H499" s="30"/>
      <c r="I499" s="31"/>
      <c r="J499" s="31"/>
      <c r="K499" s="30"/>
      <c r="L499" s="41">
        <f>Source!U198</f>
        <v>47.879999999999995</v>
      </c>
    </row>
    <row r="500" spans="1:26" ht="42.75" x14ac:dyDescent="0.2">
      <c r="A500" s="47" t="str">
        <f>Source!E199</f>
        <v>48,1</v>
      </c>
      <c r="B500" s="48" t="str">
        <f>Source!F199</f>
        <v>24.3.03.05-0012</v>
      </c>
      <c r="C500" s="48" t="str">
        <f>Source!G199</f>
        <v>Трубы гибкие гофрированные легкие из ПНД, серии BL, с зондом, диаметром 20 мм</v>
      </c>
      <c r="D500" s="35" t="str">
        <f>Source!H199</f>
        <v>10 м</v>
      </c>
      <c r="E500" s="36">
        <f>Source!I199</f>
        <v>31.5</v>
      </c>
      <c r="F500" s="37">
        <f>Source!AL199+Source!AM199+Source!AO199</f>
        <v>31.6</v>
      </c>
      <c r="G500" s="42" t="s">
        <v>6</v>
      </c>
      <c r="H500" s="37">
        <f>ROUND(Source!AC199*Source!I199, 2)+ROUND(Source!AD199*Source!I199, 2)+ROUND(Source!AF199*Source!I199, 2)</f>
        <v>995.4</v>
      </c>
      <c r="I500" s="38"/>
      <c r="J500" s="38">
        <f>IF(Source!BC199&lt;&gt; 0, Source!BC199, 1)</f>
        <v>6.71</v>
      </c>
      <c r="K500" s="37">
        <f>Source!O199</f>
        <v>6679.13</v>
      </c>
      <c r="L500" s="43"/>
      <c r="S500">
        <f>ROUND((Source!FX199/100)*((ROUND(Source!AF199*Source!I199, 2)+ROUND(Source!AE199*Source!I199, 2))), 2)</f>
        <v>0</v>
      </c>
      <c r="T500">
        <f>Source!X199</f>
        <v>0</v>
      </c>
      <c r="U500">
        <f>ROUND((Source!FY199/100)*((ROUND(Source!AF199*Source!I199, 2)+ROUND(Source!AE199*Source!I199, 2))), 2)</f>
        <v>0</v>
      </c>
      <c r="V500">
        <f>Source!Y199</f>
        <v>0</v>
      </c>
      <c r="W500">
        <f>IF(Source!BI199&lt;=1,H500, 0)</f>
        <v>0</v>
      </c>
      <c r="X500">
        <f>IF(Source!BI199=2,H500, 0)</f>
        <v>995.4</v>
      </c>
      <c r="Y500">
        <f>IF(Source!BI199=3,H500, 0)</f>
        <v>0</v>
      </c>
      <c r="Z500">
        <f>IF(Source!BI199=4,H500, 0)</f>
        <v>0</v>
      </c>
    </row>
    <row r="501" spans="1:26" ht="15" x14ac:dyDescent="0.25">
      <c r="G501" s="72">
        <f>H495+H496+H497+H498+SUM(H500:H500)</f>
        <v>2191.12</v>
      </c>
      <c r="H501" s="72"/>
      <c r="J501" s="72">
        <f>K495+K496+K497+K498+SUM(K500:K500)</f>
        <v>14702.420000000002</v>
      </c>
      <c r="K501" s="72"/>
      <c r="L501" s="40">
        <f>Source!U198</f>
        <v>47.879999999999995</v>
      </c>
      <c r="O501" s="24">
        <f>G501</f>
        <v>2191.12</v>
      </c>
      <c r="P501" s="24">
        <f>J501</f>
        <v>14702.420000000002</v>
      </c>
      <c r="Q501" s="24">
        <f>L501</f>
        <v>47.879999999999995</v>
      </c>
      <c r="W501">
        <f>IF(Source!BI198&lt;=1,H495+H496+H497+H498, 0)</f>
        <v>0</v>
      </c>
      <c r="X501">
        <f>IF(Source!BI198=2,H495+H496+H497+H498, 0)</f>
        <v>1195.72</v>
      </c>
      <c r="Y501">
        <f>IF(Source!BI198=3,H495+H496+H497+H498, 0)</f>
        <v>0</v>
      </c>
      <c r="Z501">
        <f>IF(Source!BI198=4,H495+H496+H497+H498, 0)</f>
        <v>0</v>
      </c>
    </row>
    <row r="502" spans="1:26" ht="42.75" x14ac:dyDescent="0.2">
      <c r="A502" s="45" t="str">
        <f>Source!E200</f>
        <v>49</v>
      </c>
      <c r="B502" s="46" t="str">
        <f>Source!F200</f>
        <v>м08-02-399-02 прим.</v>
      </c>
      <c r="C502" s="46" t="str">
        <f>Source!G200</f>
        <v>Провод в коробах, сечением до 35 мм2</v>
      </c>
      <c r="D502" s="29" t="str">
        <f>Source!H200</f>
        <v>100 м</v>
      </c>
      <c r="E502" s="11">
        <f>Source!I200</f>
        <v>2.56</v>
      </c>
      <c r="F502" s="30">
        <f>Source!AL200+Source!AM200+Source!AO200</f>
        <v>50.72</v>
      </c>
      <c r="G502" s="31"/>
      <c r="H502" s="30"/>
      <c r="I502" s="31" t="str">
        <f>Source!BO200</f>
        <v/>
      </c>
      <c r="J502" s="31"/>
      <c r="K502" s="30"/>
      <c r="L502" s="32"/>
      <c r="S502">
        <f>ROUND((Source!FX200/100)*((ROUND(Source!AF200*Source!I200, 2)+ROUND(Source!AE200*Source!I200, 2))), 2)</f>
        <v>86.58</v>
      </c>
      <c r="T502">
        <f>Source!X200</f>
        <v>580.95000000000005</v>
      </c>
      <c r="U502">
        <f>ROUND((Source!FY200/100)*((ROUND(Source!AF200*Source!I200, 2)+ROUND(Source!AE200*Source!I200, 2))), 2)</f>
        <v>59.24</v>
      </c>
      <c r="V502">
        <f>Source!Y200</f>
        <v>397.49</v>
      </c>
    </row>
    <row r="503" spans="1:26" x14ac:dyDescent="0.2">
      <c r="C503" s="23" t="str">
        <f>"Объем: "&amp;Source!I200&amp;"=256/"&amp;"100"</f>
        <v>Объем: 2,56=256/100</v>
      </c>
    </row>
    <row r="504" spans="1:26" ht="14.25" x14ac:dyDescent="0.2">
      <c r="A504" s="45"/>
      <c r="B504" s="46"/>
      <c r="C504" s="46" t="s">
        <v>1167</v>
      </c>
      <c r="D504" s="29"/>
      <c r="E504" s="11"/>
      <c r="F504" s="30">
        <f>Source!AO200</f>
        <v>35.340000000000003</v>
      </c>
      <c r="G504" s="31" t="str">
        <f>Source!DG200</f>
        <v/>
      </c>
      <c r="H504" s="30">
        <f>ROUND(Source!AF200*Source!I200, 2)</f>
        <v>90.47</v>
      </c>
      <c r="I504" s="31"/>
      <c r="J504" s="31">
        <f>IF(Source!BA200&lt;&gt; 0, Source!BA200, 1)</f>
        <v>6.71</v>
      </c>
      <c r="K504" s="30">
        <f>Source!S200</f>
        <v>607.05999999999995</v>
      </c>
      <c r="L504" s="32"/>
      <c r="R504">
        <f>H504</f>
        <v>90.47</v>
      </c>
    </row>
    <row r="505" spans="1:26" ht="14.25" x14ac:dyDescent="0.2">
      <c r="A505" s="45"/>
      <c r="B505" s="46"/>
      <c r="C505" s="46" t="s">
        <v>382</v>
      </c>
      <c r="D505" s="29"/>
      <c r="E505" s="11"/>
      <c r="F505" s="30">
        <f>Source!AM200</f>
        <v>1.78</v>
      </c>
      <c r="G505" s="31" t="str">
        <f>Source!DE200</f>
        <v/>
      </c>
      <c r="H505" s="30">
        <f>ROUND(Source!AD200*Source!I200, 2)</f>
        <v>4.5599999999999996</v>
      </c>
      <c r="I505" s="31"/>
      <c r="J505" s="31">
        <f>IF(Source!BB200&lt;&gt; 0, Source!BB200, 1)</f>
        <v>6.71</v>
      </c>
      <c r="K505" s="30">
        <f>Source!Q200</f>
        <v>30.58</v>
      </c>
      <c r="L505" s="32"/>
    </row>
    <row r="506" spans="1:26" ht="14.25" x14ac:dyDescent="0.2">
      <c r="A506" s="45"/>
      <c r="B506" s="46"/>
      <c r="C506" s="46" t="s">
        <v>1168</v>
      </c>
      <c r="D506" s="29"/>
      <c r="E506" s="11"/>
      <c r="F506" s="30">
        <f>Source!AN200</f>
        <v>0.26</v>
      </c>
      <c r="G506" s="31" t="str">
        <f>Source!DF200</f>
        <v/>
      </c>
      <c r="H506" s="33">
        <f>ROUND(Source!AE200*Source!I200, 2)</f>
        <v>0.67</v>
      </c>
      <c r="I506" s="31"/>
      <c r="J506" s="31">
        <f>IF(Source!BS200&lt;&gt; 0, Source!BS200, 1)</f>
        <v>6.71</v>
      </c>
      <c r="K506" s="33">
        <f>Source!R200</f>
        <v>4.47</v>
      </c>
      <c r="L506" s="32"/>
      <c r="R506">
        <f>H506</f>
        <v>0.67</v>
      </c>
    </row>
    <row r="507" spans="1:26" ht="14.25" x14ac:dyDescent="0.2">
      <c r="A507" s="45"/>
      <c r="B507" s="46"/>
      <c r="C507" s="46" t="s">
        <v>1174</v>
      </c>
      <c r="D507" s="29"/>
      <c r="E507" s="11"/>
      <c r="F507" s="30">
        <f>Source!AL200</f>
        <v>13.6</v>
      </c>
      <c r="G507" s="31" t="str">
        <f>Source!DD200</f>
        <v/>
      </c>
      <c r="H507" s="30">
        <f>ROUND(Source!AC200*Source!I200, 2)</f>
        <v>34.82</v>
      </c>
      <c r="I507" s="31"/>
      <c r="J507" s="31">
        <f>IF(Source!BC200&lt;&gt; 0, Source!BC200, 1)</f>
        <v>6.71</v>
      </c>
      <c r="K507" s="30">
        <f>Source!P200</f>
        <v>233.62</v>
      </c>
      <c r="L507" s="32"/>
    </row>
    <row r="508" spans="1:26" ht="14.25" x14ac:dyDescent="0.2">
      <c r="A508" s="45"/>
      <c r="B508" s="46"/>
      <c r="C508" s="46" t="s">
        <v>1169</v>
      </c>
      <c r="D508" s="29" t="s">
        <v>1170</v>
      </c>
      <c r="E508" s="11">
        <f>Source!BZ200</f>
        <v>95</v>
      </c>
      <c r="F508" s="49"/>
      <c r="G508" s="31"/>
      <c r="H508" s="30">
        <f>SUM(S502:S511)</f>
        <v>86.58</v>
      </c>
      <c r="I508" s="34"/>
      <c r="J508" s="27">
        <f>Source!AT200</f>
        <v>95</v>
      </c>
      <c r="K508" s="30">
        <f>SUM(T502:T511)</f>
        <v>580.95000000000005</v>
      </c>
      <c r="L508" s="32"/>
    </row>
    <row r="509" spans="1:26" ht="14.25" x14ac:dyDescent="0.2">
      <c r="A509" s="45"/>
      <c r="B509" s="46"/>
      <c r="C509" s="46" t="s">
        <v>1171</v>
      </c>
      <c r="D509" s="29" t="s">
        <v>1170</v>
      </c>
      <c r="E509" s="11">
        <f>Source!CA200</f>
        <v>65</v>
      </c>
      <c r="F509" s="49"/>
      <c r="G509" s="31"/>
      <c r="H509" s="30">
        <f>SUM(U502:U511)</f>
        <v>59.24</v>
      </c>
      <c r="I509" s="34"/>
      <c r="J509" s="27">
        <f>Source!AU200</f>
        <v>65</v>
      </c>
      <c r="K509" s="30">
        <f>SUM(V502:V511)</f>
        <v>397.49</v>
      </c>
      <c r="L509" s="32"/>
    </row>
    <row r="510" spans="1:26" ht="14.25" x14ac:dyDescent="0.2">
      <c r="A510" s="45"/>
      <c r="B510" s="46"/>
      <c r="C510" s="46" t="s">
        <v>1172</v>
      </c>
      <c r="D510" s="29" t="s">
        <v>1173</v>
      </c>
      <c r="E510" s="11">
        <f>Source!AQ200</f>
        <v>3.76</v>
      </c>
      <c r="F510" s="30"/>
      <c r="G510" s="31" t="str">
        <f>Source!DI200</f>
        <v/>
      </c>
      <c r="H510" s="30"/>
      <c r="I510" s="31"/>
      <c r="J510" s="31"/>
      <c r="K510" s="30"/>
      <c r="L510" s="41">
        <f>Source!U200</f>
        <v>9.6256000000000004</v>
      </c>
    </row>
    <row r="511" spans="1:26" ht="85.5" x14ac:dyDescent="0.2">
      <c r="A511" s="47" t="str">
        <f>Source!E201</f>
        <v>49,1</v>
      </c>
      <c r="B511" s="48" t="str">
        <f>Source!F201</f>
        <v>21.1.06.09-0152</v>
      </c>
      <c r="C511" s="48" t="str">
        <f>Source!G201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511" s="35" t="str">
        <f>Source!H201</f>
        <v>1000 м</v>
      </c>
      <c r="E511" s="36">
        <f>Source!I201</f>
        <v>0.25600000000000001</v>
      </c>
      <c r="F511" s="37">
        <f>Source!AL201+Source!AM201+Source!AO201</f>
        <v>6920.41</v>
      </c>
      <c r="G511" s="42" t="s">
        <v>6</v>
      </c>
      <c r="H511" s="37">
        <f>ROUND(Source!AC201*Source!I201, 2)+ROUND(Source!AD201*Source!I201, 2)+ROUND(Source!AF201*Source!I201, 2)</f>
        <v>1771.62</v>
      </c>
      <c r="I511" s="38"/>
      <c r="J511" s="38">
        <f>IF(Source!BC201&lt;&gt; 0, Source!BC201, 1)</f>
        <v>6.71</v>
      </c>
      <c r="K511" s="37">
        <f>Source!O201</f>
        <v>11887.6</v>
      </c>
      <c r="L511" s="43"/>
      <c r="S511">
        <f>ROUND((Source!FX201/100)*((ROUND(Source!AF201*Source!I201, 2)+ROUND(Source!AE201*Source!I201, 2))), 2)</f>
        <v>0</v>
      </c>
      <c r="T511">
        <f>Source!X201</f>
        <v>0</v>
      </c>
      <c r="U511">
        <f>ROUND((Source!FY201/100)*((ROUND(Source!AF201*Source!I201, 2)+ROUND(Source!AE201*Source!I201, 2))), 2)</f>
        <v>0</v>
      </c>
      <c r="V511">
        <f>Source!Y201</f>
        <v>0</v>
      </c>
      <c r="W511">
        <f>IF(Source!BI201&lt;=1,H511, 0)</f>
        <v>0</v>
      </c>
      <c r="X511">
        <f>IF(Source!BI201=2,H511, 0)</f>
        <v>1771.62</v>
      </c>
      <c r="Y511">
        <f>IF(Source!BI201=3,H511, 0)</f>
        <v>0</v>
      </c>
      <c r="Z511">
        <f>IF(Source!BI201=4,H511, 0)</f>
        <v>0</v>
      </c>
    </row>
    <row r="512" spans="1:26" ht="15" x14ac:dyDescent="0.25">
      <c r="G512" s="72">
        <f>H504+H505+H507+H508+H509+SUM(H511:H511)</f>
        <v>2047.29</v>
      </c>
      <c r="H512" s="72"/>
      <c r="J512" s="72">
        <f>K504+K505+K507+K508+K509+SUM(K511:K511)</f>
        <v>13737.300000000001</v>
      </c>
      <c r="K512" s="72"/>
      <c r="L512" s="40">
        <f>Source!U200</f>
        <v>9.6256000000000004</v>
      </c>
      <c r="O512" s="24">
        <f>G512</f>
        <v>2047.29</v>
      </c>
      <c r="P512" s="24">
        <f>J512</f>
        <v>13737.300000000001</v>
      </c>
      <c r="Q512" s="24">
        <f>L512</f>
        <v>9.6256000000000004</v>
      </c>
      <c r="W512">
        <f>IF(Source!BI200&lt;=1,H504+H505+H507+H508+H509, 0)</f>
        <v>0</v>
      </c>
      <c r="X512">
        <f>IF(Source!BI200=2,H504+H505+H507+H508+H509, 0)</f>
        <v>275.67</v>
      </c>
      <c r="Y512">
        <f>IF(Source!BI200=3,H504+H505+H507+H508+H509, 0)</f>
        <v>0</v>
      </c>
      <c r="Z512">
        <f>IF(Source!BI200=4,H504+H505+H507+H508+H509, 0)</f>
        <v>0</v>
      </c>
    </row>
    <row r="513" spans="1:26" ht="71.25" x14ac:dyDescent="0.2">
      <c r="A513" s="45" t="str">
        <f>Source!E202</f>
        <v>50</v>
      </c>
      <c r="B513" s="46" t="str">
        <f>Source!F202</f>
        <v>м08-02-412-03</v>
      </c>
      <c r="C513" s="46" t="str">
        <f>Source!G202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513" s="29" t="str">
        <f>Source!H202</f>
        <v>100 м</v>
      </c>
      <c r="E513" s="11">
        <f>Source!I202</f>
        <v>3.51</v>
      </c>
      <c r="F513" s="30">
        <f>Source!AL202+Source!AM202+Source!AO202</f>
        <v>87.15</v>
      </c>
      <c r="G513" s="31"/>
      <c r="H513" s="30"/>
      <c r="I513" s="31" t="str">
        <f>Source!BO202</f>
        <v/>
      </c>
      <c r="J513" s="31"/>
      <c r="K513" s="30"/>
      <c r="L513" s="32"/>
      <c r="S513">
        <f>ROUND((Source!FX202/100)*((ROUND(Source!AF202*Source!I202, 2)+ROUND(Source!AE202*Source!I202, 2))), 2)</f>
        <v>199.71</v>
      </c>
      <c r="T513">
        <f>Source!X202</f>
        <v>1340.01</v>
      </c>
      <c r="U513">
        <f>ROUND((Source!FY202/100)*((ROUND(Source!AF202*Source!I202, 2)+ROUND(Source!AE202*Source!I202, 2))), 2)</f>
        <v>136.63999999999999</v>
      </c>
      <c r="V513">
        <f>Source!Y202</f>
        <v>916.85</v>
      </c>
    </row>
    <row r="514" spans="1:26" x14ac:dyDescent="0.2">
      <c r="C514" s="23" t="str">
        <f>"Объем: "&amp;Source!I202&amp;"=351/"&amp;"100"</f>
        <v>Объем: 3,51=351/100</v>
      </c>
    </row>
    <row r="515" spans="1:26" ht="14.25" x14ac:dyDescent="0.2">
      <c r="A515" s="45"/>
      <c r="B515" s="46"/>
      <c r="C515" s="46" t="s">
        <v>1167</v>
      </c>
      <c r="D515" s="29"/>
      <c r="E515" s="11"/>
      <c r="F515" s="30">
        <f>Source!AO202</f>
        <v>59.13</v>
      </c>
      <c r="G515" s="31" t="str">
        <f>Source!DG202</f>
        <v/>
      </c>
      <c r="H515" s="30">
        <f>ROUND(Source!AF202*Source!I202, 2)</f>
        <v>207.55</v>
      </c>
      <c r="I515" s="31"/>
      <c r="J515" s="31">
        <f>IF(Source!BA202&lt;&gt; 0, Source!BA202, 1)</f>
        <v>6.71</v>
      </c>
      <c r="K515" s="30">
        <f>Source!S202</f>
        <v>1392.64</v>
      </c>
      <c r="L515" s="32"/>
      <c r="R515">
        <f>H515</f>
        <v>207.55</v>
      </c>
    </row>
    <row r="516" spans="1:26" ht="14.25" x14ac:dyDescent="0.2">
      <c r="A516" s="45"/>
      <c r="B516" s="46"/>
      <c r="C516" s="46" t="s">
        <v>382</v>
      </c>
      <c r="D516" s="29"/>
      <c r="E516" s="11"/>
      <c r="F516" s="30">
        <f>Source!AM202</f>
        <v>5.33</v>
      </c>
      <c r="G516" s="31" t="str">
        <f>Source!DE202</f>
        <v/>
      </c>
      <c r="H516" s="30">
        <f>ROUND(Source!AD202*Source!I202, 2)</f>
        <v>18.71</v>
      </c>
      <c r="I516" s="31"/>
      <c r="J516" s="31">
        <f>IF(Source!BB202&lt;&gt; 0, Source!BB202, 1)</f>
        <v>6.71</v>
      </c>
      <c r="K516" s="30">
        <f>Source!Q202</f>
        <v>125.53</v>
      </c>
      <c r="L516" s="32"/>
    </row>
    <row r="517" spans="1:26" ht="14.25" x14ac:dyDescent="0.2">
      <c r="A517" s="45"/>
      <c r="B517" s="46"/>
      <c r="C517" s="46" t="s">
        <v>1168</v>
      </c>
      <c r="D517" s="29"/>
      <c r="E517" s="11"/>
      <c r="F517" s="30">
        <f>Source!AN202</f>
        <v>0.76</v>
      </c>
      <c r="G517" s="31" t="str">
        <f>Source!DF202</f>
        <v/>
      </c>
      <c r="H517" s="33">
        <f>ROUND(Source!AE202*Source!I202, 2)</f>
        <v>2.67</v>
      </c>
      <c r="I517" s="31"/>
      <c r="J517" s="31">
        <f>IF(Source!BS202&lt;&gt; 0, Source!BS202, 1)</f>
        <v>6.71</v>
      </c>
      <c r="K517" s="33">
        <f>Source!R202</f>
        <v>17.899999999999999</v>
      </c>
      <c r="L517" s="32"/>
      <c r="R517">
        <f>H517</f>
        <v>2.67</v>
      </c>
    </row>
    <row r="518" spans="1:26" ht="14.25" x14ac:dyDescent="0.2">
      <c r="A518" s="45"/>
      <c r="B518" s="46"/>
      <c r="C518" s="46" t="s">
        <v>1174</v>
      </c>
      <c r="D518" s="29"/>
      <c r="E518" s="11"/>
      <c r="F518" s="30">
        <f>Source!AL202</f>
        <v>22.69</v>
      </c>
      <c r="G518" s="31" t="str">
        <f>Source!DD202</f>
        <v/>
      </c>
      <c r="H518" s="30">
        <f>ROUND(Source!AC202*Source!I202, 2)</f>
        <v>79.64</v>
      </c>
      <c r="I518" s="31"/>
      <c r="J518" s="31">
        <f>IF(Source!BC202&lt;&gt; 0, Source!BC202, 1)</f>
        <v>6.71</v>
      </c>
      <c r="K518" s="30">
        <f>Source!P202</f>
        <v>534.4</v>
      </c>
      <c r="L518" s="32"/>
    </row>
    <row r="519" spans="1:26" ht="14.25" x14ac:dyDescent="0.2">
      <c r="A519" s="45"/>
      <c r="B519" s="46"/>
      <c r="C519" s="46" t="s">
        <v>1169</v>
      </c>
      <c r="D519" s="29" t="s">
        <v>1170</v>
      </c>
      <c r="E519" s="11">
        <f>Source!BZ202</f>
        <v>95</v>
      </c>
      <c r="F519" s="49"/>
      <c r="G519" s="31"/>
      <c r="H519" s="30">
        <f>SUM(S513:S522)</f>
        <v>199.71</v>
      </c>
      <c r="I519" s="34"/>
      <c r="J519" s="27">
        <f>Source!AT202</f>
        <v>95</v>
      </c>
      <c r="K519" s="30">
        <f>SUM(T513:T522)</f>
        <v>1340.01</v>
      </c>
      <c r="L519" s="32"/>
    </row>
    <row r="520" spans="1:26" ht="14.25" x14ac:dyDescent="0.2">
      <c r="A520" s="45"/>
      <c r="B520" s="46"/>
      <c r="C520" s="46" t="s">
        <v>1171</v>
      </c>
      <c r="D520" s="29" t="s">
        <v>1170</v>
      </c>
      <c r="E520" s="11">
        <f>Source!CA202</f>
        <v>65</v>
      </c>
      <c r="F520" s="49"/>
      <c r="G520" s="31"/>
      <c r="H520" s="30">
        <f>SUM(U513:U522)</f>
        <v>136.63999999999999</v>
      </c>
      <c r="I520" s="34"/>
      <c r="J520" s="27">
        <f>Source!AU202</f>
        <v>65</v>
      </c>
      <c r="K520" s="30">
        <f>SUM(V513:V522)</f>
        <v>916.85</v>
      </c>
      <c r="L520" s="32"/>
    </row>
    <row r="521" spans="1:26" ht="14.25" x14ac:dyDescent="0.2">
      <c r="A521" s="45"/>
      <c r="B521" s="46"/>
      <c r="C521" s="46" t="s">
        <v>1172</v>
      </c>
      <c r="D521" s="29" t="s">
        <v>1173</v>
      </c>
      <c r="E521" s="11">
        <f>Source!AQ202</f>
        <v>6.29</v>
      </c>
      <c r="F521" s="30"/>
      <c r="G521" s="31" t="str">
        <f>Source!DI202</f>
        <v/>
      </c>
      <c r="H521" s="30"/>
      <c r="I521" s="31"/>
      <c r="J521" s="31"/>
      <c r="K521" s="30"/>
      <c r="L521" s="41">
        <f>Source!U202</f>
        <v>22.0779</v>
      </c>
    </row>
    <row r="522" spans="1:26" ht="85.5" x14ac:dyDescent="0.2">
      <c r="A522" s="47" t="str">
        <f>Source!E203</f>
        <v>50,1</v>
      </c>
      <c r="B522" s="48" t="str">
        <f>Source!F203</f>
        <v>21.1.06.09-0152</v>
      </c>
      <c r="C522" s="48" t="str">
        <f>Source!G203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522" s="35" t="str">
        <f>Source!H203</f>
        <v>1000 м</v>
      </c>
      <c r="E522" s="36">
        <f>Source!I203</f>
        <v>0.35099999999999998</v>
      </c>
      <c r="F522" s="37">
        <f>Source!AL203+Source!AM203+Source!AO203</f>
        <v>6920.41</v>
      </c>
      <c r="G522" s="42" t="s">
        <v>6</v>
      </c>
      <c r="H522" s="37">
        <f>ROUND(Source!AC203*Source!I203, 2)+ROUND(Source!AD203*Source!I203, 2)+ROUND(Source!AF203*Source!I203, 2)</f>
        <v>2429.06</v>
      </c>
      <c r="I522" s="38"/>
      <c r="J522" s="38">
        <f>IF(Source!BC203&lt;&gt; 0, Source!BC203, 1)</f>
        <v>6.71</v>
      </c>
      <c r="K522" s="37">
        <f>Source!O203</f>
        <v>16299.02</v>
      </c>
      <c r="L522" s="43"/>
      <c r="S522">
        <f>ROUND((Source!FX203/100)*((ROUND(Source!AF203*Source!I203, 2)+ROUND(Source!AE203*Source!I203, 2))), 2)</f>
        <v>0</v>
      </c>
      <c r="T522">
        <f>Source!X203</f>
        <v>0</v>
      </c>
      <c r="U522">
        <f>ROUND((Source!FY203/100)*((ROUND(Source!AF203*Source!I203, 2)+ROUND(Source!AE203*Source!I203, 2))), 2)</f>
        <v>0</v>
      </c>
      <c r="V522">
        <f>Source!Y203</f>
        <v>0</v>
      </c>
      <c r="W522">
        <f>IF(Source!BI203&lt;=1,H522, 0)</f>
        <v>0</v>
      </c>
      <c r="X522">
        <f>IF(Source!BI203=2,H522, 0)</f>
        <v>2429.06</v>
      </c>
      <c r="Y522">
        <f>IF(Source!BI203=3,H522, 0)</f>
        <v>0</v>
      </c>
      <c r="Z522">
        <f>IF(Source!BI203=4,H522, 0)</f>
        <v>0</v>
      </c>
    </row>
    <row r="523" spans="1:26" ht="15" x14ac:dyDescent="0.25">
      <c r="G523" s="72">
        <f>H515+H516+H518+H519+H520+SUM(H522:H522)</f>
        <v>3071.31</v>
      </c>
      <c r="H523" s="72"/>
      <c r="J523" s="72">
        <f>K515+K516+K518+K519+K520+SUM(K522:K522)</f>
        <v>20608.45</v>
      </c>
      <c r="K523" s="72"/>
      <c r="L523" s="40">
        <f>Source!U202</f>
        <v>22.0779</v>
      </c>
      <c r="O523" s="24">
        <f>G523</f>
        <v>3071.31</v>
      </c>
      <c r="P523" s="24">
        <f>J523</f>
        <v>20608.45</v>
      </c>
      <c r="Q523" s="24">
        <f>L523</f>
        <v>22.0779</v>
      </c>
      <c r="W523">
        <f>IF(Source!BI202&lt;=1,H515+H516+H518+H519+H520, 0)</f>
        <v>0</v>
      </c>
      <c r="X523">
        <f>IF(Source!BI202=2,H515+H516+H518+H519+H520, 0)</f>
        <v>642.25</v>
      </c>
      <c r="Y523">
        <f>IF(Source!BI202=3,H515+H516+H518+H519+H520, 0)</f>
        <v>0</v>
      </c>
      <c r="Z523">
        <f>IF(Source!BI202=4,H515+H516+H518+H519+H520, 0)</f>
        <v>0</v>
      </c>
    </row>
    <row r="524" spans="1:26" ht="57" x14ac:dyDescent="0.2">
      <c r="A524" s="45" t="str">
        <f>Source!E204</f>
        <v>51</v>
      </c>
      <c r="B524" s="46" t="str">
        <f>Source!F204</f>
        <v>м08-02-147-10</v>
      </c>
      <c r="C524" s="46" t="str">
        <f>Source!G204</f>
        <v>Кабель до 35 кВ по установленным конструкциям и лоткам с креплением по всей длине, масса 1 м кабеля до 1 кг</v>
      </c>
      <c r="D524" s="29" t="str">
        <f>Source!H204</f>
        <v>100 м</v>
      </c>
      <c r="E524" s="11">
        <f>Source!I204</f>
        <v>1.32</v>
      </c>
      <c r="F524" s="30">
        <f>Source!AL204+Source!AM204+Source!AO204</f>
        <v>221.46</v>
      </c>
      <c r="G524" s="31"/>
      <c r="H524" s="30"/>
      <c r="I524" s="31" t="str">
        <f>Source!BO204</f>
        <v/>
      </c>
      <c r="J524" s="31"/>
      <c r="K524" s="30"/>
      <c r="L524" s="32"/>
      <c r="S524">
        <f>ROUND((Source!FX204/100)*((ROUND(Source!AF204*Source!I204, 2)+ROUND(Source!AE204*Source!I204, 2))), 2)</f>
        <v>176.76</v>
      </c>
      <c r="T524">
        <f>Source!X204</f>
        <v>1186</v>
      </c>
      <c r="U524">
        <f>ROUND((Source!FY204/100)*((ROUND(Source!AF204*Source!I204, 2)+ROUND(Source!AE204*Source!I204, 2))), 2)</f>
        <v>120.94</v>
      </c>
      <c r="V524">
        <f>Source!Y204</f>
        <v>811.47</v>
      </c>
    </row>
    <row r="525" spans="1:26" x14ac:dyDescent="0.2">
      <c r="C525" s="23" t="str">
        <f>"Объем: "&amp;Source!I204&amp;"=132/"&amp;"100"</f>
        <v>Объем: 1,32=132/100</v>
      </c>
    </row>
    <row r="526" spans="1:26" ht="14.25" x14ac:dyDescent="0.2">
      <c r="A526" s="45"/>
      <c r="B526" s="46"/>
      <c r="C526" s="46" t="s">
        <v>1167</v>
      </c>
      <c r="D526" s="29"/>
      <c r="E526" s="11"/>
      <c r="F526" s="30">
        <f>Source!AO204</f>
        <v>135.93</v>
      </c>
      <c r="G526" s="31" t="str">
        <f>Source!DG204</f>
        <v/>
      </c>
      <c r="H526" s="30">
        <f>ROUND(Source!AF204*Source!I204, 2)</f>
        <v>179.43</v>
      </c>
      <c r="I526" s="31"/>
      <c r="J526" s="31">
        <f>IF(Source!BA204&lt;&gt; 0, Source!BA204, 1)</f>
        <v>6.71</v>
      </c>
      <c r="K526" s="30">
        <f>Source!S204</f>
        <v>1203.96</v>
      </c>
      <c r="L526" s="32"/>
      <c r="R526">
        <f>H526</f>
        <v>179.43</v>
      </c>
    </row>
    <row r="527" spans="1:26" ht="14.25" x14ac:dyDescent="0.2">
      <c r="A527" s="45"/>
      <c r="B527" s="46"/>
      <c r="C527" s="46" t="s">
        <v>382</v>
      </c>
      <c r="D527" s="29"/>
      <c r="E527" s="11"/>
      <c r="F527" s="30">
        <f>Source!AM204</f>
        <v>49.51</v>
      </c>
      <c r="G527" s="31" t="str">
        <f>Source!DE204</f>
        <v/>
      </c>
      <c r="H527" s="30">
        <f>ROUND(Source!AD204*Source!I204, 2)</f>
        <v>65.349999999999994</v>
      </c>
      <c r="I527" s="31"/>
      <c r="J527" s="31">
        <f>IF(Source!BB204&lt;&gt; 0, Source!BB204, 1)</f>
        <v>6.71</v>
      </c>
      <c r="K527" s="30">
        <f>Source!Q204</f>
        <v>438.52</v>
      </c>
      <c r="L527" s="32"/>
    </row>
    <row r="528" spans="1:26" ht="14.25" x14ac:dyDescent="0.2">
      <c r="A528" s="45"/>
      <c r="B528" s="46"/>
      <c r="C528" s="46" t="s">
        <v>1168</v>
      </c>
      <c r="D528" s="29"/>
      <c r="E528" s="11"/>
      <c r="F528" s="30">
        <f>Source!AN204</f>
        <v>5.0199999999999996</v>
      </c>
      <c r="G528" s="31" t="str">
        <f>Source!DF204</f>
        <v/>
      </c>
      <c r="H528" s="33">
        <f>ROUND(Source!AE204*Source!I204, 2)</f>
        <v>6.63</v>
      </c>
      <c r="I528" s="31"/>
      <c r="J528" s="31">
        <f>IF(Source!BS204&lt;&gt; 0, Source!BS204, 1)</f>
        <v>6.71</v>
      </c>
      <c r="K528" s="33">
        <f>Source!R204</f>
        <v>44.46</v>
      </c>
      <c r="L528" s="32"/>
      <c r="R528">
        <f>H528</f>
        <v>6.63</v>
      </c>
    </row>
    <row r="529" spans="1:26" ht="14.25" x14ac:dyDescent="0.2">
      <c r="A529" s="45"/>
      <c r="B529" s="46"/>
      <c r="C529" s="46" t="s">
        <v>1174</v>
      </c>
      <c r="D529" s="29"/>
      <c r="E529" s="11"/>
      <c r="F529" s="30">
        <f>Source!AL204</f>
        <v>36.020000000000003</v>
      </c>
      <c r="G529" s="31" t="str">
        <f>Source!DD204</f>
        <v/>
      </c>
      <c r="H529" s="30">
        <f>ROUND(Source!AC204*Source!I204, 2)</f>
        <v>47.55</v>
      </c>
      <c r="I529" s="31"/>
      <c r="J529" s="31">
        <f>IF(Source!BC204&lt;&gt; 0, Source!BC204, 1)</f>
        <v>6.71</v>
      </c>
      <c r="K529" s="30">
        <f>Source!P204</f>
        <v>319.04000000000002</v>
      </c>
      <c r="L529" s="32"/>
    </row>
    <row r="530" spans="1:26" ht="14.25" x14ac:dyDescent="0.2">
      <c r="A530" s="45"/>
      <c r="B530" s="46"/>
      <c r="C530" s="46" t="s">
        <v>1169</v>
      </c>
      <c r="D530" s="29" t="s">
        <v>1170</v>
      </c>
      <c r="E530" s="11">
        <f>Source!BZ204</f>
        <v>95</v>
      </c>
      <c r="F530" s="49"/>
      <c r="G530" s="31"/>
      <c r="H530" s="30">
        <f>SUM(S524:S533)</f>
        <v>176.76</v>
      </c>
      <c r="I530" s="34"/>
      <c r="J530" s="27">
        <f>Source!AT204</f>
        <v>95</v>
      </c>
      <c r="K530" s="30">
        <f>SUM(T524:T533)</f>
        <v>1186</v>
      </c>
      <c r="L530" s="32"/>
    </row>
    <row r="531" spans="1:26" ht="14.25" x14ac:dyDescent="0.2">
      <c r="A531" s="45"/>
      <c r="B531" s="46"/>
      <c r="C531" s="46" t="s">
        <v>1171</v>
      </c>
      <c r="D531" s="29" t="s">
        <v>1170</v>
      </c>
      <c r="E531" s="11">
        <f>Source!CA204</f>
        <v>65</v>
      </c>
      <c r="F531" s="49"/>
      <c r="G531" s="31"/>
      <c r="H531" s="30">
        <f>SUM(U524:U533)</f>
        <v>120.94</v>
      </c>
      <c r="I531" s="34"/>
      <c r="J531" s="27">
        <f>Source!AU204</f>
        <v>65</v>
      </c>
      <c r="K531" s="30">
        <f>SUM(V524:V533)</f>
        <v>811.47</v>
      </c>
      <c r="L531" s="32"/>
    </row>
    <row r="532" spans="1:26" ht="14.25" x14ac:dyDescent="0.2">
      <c r="A532" s="45"/>
      <c r="B532" s="46"/>
      <c r="C532" s="46" t="s">
        <v>1172</v>
      </c>
      <c r="D532" s="29" t="s">
        <v>1173</v>
      </c>
      <c r="E532" s="11">
        <f>Source!AQ204</f>
        <v>14.13</v>
      </c>
      <c r="F532" s="30"/>
      <c r="G532" s="31" t="str">
        <f>Source!DI204</f>
        <v/>
      </c>
      <c r="H532" s="30"/>
      <c r="I532" s="31"/>
      <c r="J532" s="31"/>
      <c r="K532" s="30"/>
      <c r="L532" s="41">
        <f>Source!U204</f>
        <v>18.651600000000002</v>
      </c>
    </row>
    <row r="533" spans="1:26" ht="85.5" x14ac:dyDescent="0.2">
      <c r="A533" s="47" t="str">
        <f>Source!E205</f>
        <v>51,1</v>
      </c>
      <c r="B533" s="48" t="str">
        <f>Source!F205</f>
        <v>21.1.06.09-0178</v>
      </c>
      <c r="C533" s="48" t="str">
        <f>Source!G205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v>
      </c>
      <c r="D533" s="35" t="str">
        <f>Source!H205</f>
        <v>1000 м</v>
      </c>
      <c r="E533" s="36">
        <f>Source!I205</f>
        <v>0.13200000000000001</v>
      </c>
      <c r="F533" s="37">
        <f>Source!AL205+Source!AM205+Source!AO205</f>
        <v>25431.81</v>
      </c>
      <c r="G533" s="42" t="s">
        <v>6</v>
      </c>
      <c r="H533" s="37">
        <f>ROUND(Source!AC205*Source!I205, 2)+ROUND(Source!AD205*Source!I205, 2)+ROUND(Source!AF205*Source!I205, 2)</f>
        <v>3357</v>
      </c>
      <c r="I533" s="38"/>
      <c r="J533" s="38">
        <f>IF(Source!BC205&lt;&gt; 0, Source!BC205, 1)</f>
        <v>6.71</v>
      </c>
      <c r="K533" s="37">
        <f>Source!O205</f>
        <v>22525.46</v>
      </c>
      <c r="L533" s="43"/>
      <c r="S533">
        <f>ROUND((Source!FX205/100)*((ROUND(Source!AF205*Source!I205, 2)+ROUND(Source!AE205*Source!I205, 2))), 2)</f>
        <v>0</v>
      </c>
      <c r="T533">
        <f>Source!X205</f>
        <v>0</v>
      </c>
      <c r="U533">
        <f>ROUND((Source!FY205/100)*((ROUND(Source!AF205*Source!I205, 2)+ROUND(Source!AE205*Source!I205, 2))), 2)</f>
        <v>0</v>
      </c>
      <c r="V533">
        <f>Source!Y205</f>
        <v>0</v>
      </c>
      <c r="W533">
        <f>IF(Source!BI205&lt;=1,H533, 0)</f>
        <v>0</v>
      </c>
      <c r="X533">
        <f>IF(Source!BI205=2,H533, 0)</f>
        <v>3357</v>
      </c>
      <c r="Y533">
        <f>IF(Source!BI205=3,H533, 0)</f>
        <v>0</v>
      </c>
      <c r="Z533">
        <f>IF(Source!BI205=4,H533, 0)</f>
        <v>0</v>
      </c>
    </row>
    <row r="534" spans="1:26" ht="15" x14ac:dyDescent="0.25">
      <c r="G534" s="72">
        <f>H526+H527+H529+H530+H531+SUM(H533:H533)</f>
        <v>3947.0299999999997</v>
      </c>
      <c r="H534" s="72"/>
      <c r="J534" s="72">
        <f>K526+K527+K529+K530+K531+SUM(K533:K533)</f>
        <v>26484.449999999997</v>
      </c>
      <c r="K534" s="72"/>
      <c r="L534" s="40">
        <f>Source!U204</f>
        <v>18.651600000000002</v>
      </c>
      <c r="O534" s="24">
        <f>G534</f>
        <v>3947.0299999999997</v>
      </c>
      <c r="P534" s="24">
        <f>J534</f>
        <v>26484.449999999997</v>
      </c>
      <c r="Q534" s="24">
        <f>L534</f>
        <v>18.651600000000002</v>
      </c>
      <c r="W534">
        <f>IF(Source!BI204&lt;=1,H526+H527+H529+H530+H531, 0)</f>
        <v>0</v>
      </c>
      <c r="X534">
        <f>IF(Source!BI204=2,H526+H527+H529+H530+H531, 0)</f>
        <v>590.03</v>
      </c>
      <c r="Y534">
        <f>IF(Source!BI204=3,H526+H527+H529+H530+H531, 0)</f>
        <v>0</v>
      </c>
      <c r="Z534">
        <f>IF(Source!BI204=4,H526+H527+H529+H530+H531, 0)</f>
        <v>0</v>
      </c>
    </row>
    <row r="535" spans="1:26" ht="42.75" x14ac:dyDescent="0.2">
      <c r="A535" s="45" t="str">
        <f>Source!E206</f>
        <v>52</v>
      </c>
      <c r="B535" s="46" t="str">
        <f>Source!F206</f>
        <v>м08-03-591-04</v>
      </c>
      <c r="C535" s="46" t="str">
        <f>Source!G206</f>
        <v>Выключатель двухклавишный неутопленного типа при открытой проводке</v>
      </c>
      <c r="D535" s="29" t="str">
        <f>Source!H206</f>
        <v>100 ШТ</v>
      </c>
      <c r="E535" s="11">
        <f>Source!I206</f>
        <v>0.04</v>
      </c>
      <c r="F535" s="30">
        <f>Source!AL206+Source!AM206+Source!AO206</f>
        <v>456.35</v>
      </c>
      <c r="G535" s="31"/>
      <c r="H535" s="30"/>
      <c r="I535" s="31" t="str">
        <f>Source!BO206</f>
        <v/>
      </c>
      <c r="J535" s="31"/>
      <c r="K535" s="30"/>
      <c r="L535" s="32"/>
      <c r="S535">
        <f>ROUND((Source!FX206/100)*((ROUND(Source!AF206*Source!I206, 2)+ROUND(Source!AE206*Source!I206, 2))), 2)</f>
        <v>13.27</v>
      </c>
      <c r="T535">
        <f>Source!X206</f>
        <v>89.02</v>
      </c>
      <c r="U535">
        <f>ROUND((Source!FY206/100)*((ROUND(Source!AF206*Source!I206, 2)+ROUND(Source!AE206*Source!I206, 2))), 2)</f>
        <v>9.08</v>
      </c>
      <c r="V535">
        <f>Source!Y206</f>
        <v>60.91</v>
      </c>
    </row>
    <row r="536" spans="1:26" x14ac:dyDescent="0.2">
      <c r="C536" s="23" t="str">
        <f>"Объем: "&amp;Source!I206&amp;"=4/"&amp;"100"</f>
        <v>Объем: 0,04=4/100</v>
      </c>
    </row>
    <row r="537" spans="1:26" ht="14.25" x14ac:dyDescent="0.2">
      <c r="A537" s="45"/>
      <c r="B537" s="46"/>
      <c r="C537" s="46" t="s">
        <v>1167</v>
      </c>
      <c r="D537" s="29"/>
      <c r="E537" s="11"/>
      <c r="F537" s="30">
        <f>Source!AO206</f>
        <v>348.49</v>
      </c>
      <c r="G537" s="31" t="str">
        <f>Source!DG206</f>
        <v/>
      </c>
      <c r="H537" s="30">
        <f>ROUND(Source!AF206*Source!I206, 2)</f>
        <v>13.94</v>
      </c>
      <c r="I537" s="31"/>
      <c r="J537" s="31">
        <f>IF(Source!BA206&lt;&gt; 0, Source!BA206, 1)</f>
        <v>6.71</v>
      </c>
      <c r="K537" s="30">
        <f>Source!S206</f>
        <v>93.53</v>
      </c>
      <c r="L537" s="32"/>
      <c r="R537">
        <f>H537</f>
        <v>13.94</v>
      </c>
    </row>
    <row r="538" spans="1:26" ht="14.25" x14ac:dyDescent="0.2">
      <c r="A538" s="45"/>
      <c r="B538" s="46"/>
      <c r="C538" s="46" t="s">
        <v>382</v>
      </c>
      <c r="D538" s="29"/>
      <c r="E538" s="11"/>
      <c r="F538" s="30">
        <f>Source!AM206</f>
        <v>4.67</v>
      </c>
      <c r="G538" s="31" t="str">
        <f>Source!DE206</f>
        <v/>
      </c>
      <c r="H538" s="30">
        <f>ROUND(Source!AD206*Source!I206, 2)</f>
        <v>0.19</v>
      </c>
      <c r="I538" s="31"/>
      <c r="J538" s="31">
        <f>IF(Source!BB206&lt;&gt; 0, Source!BB206, 1)</f>
        <v>6.71</v>
      </c>
      <c r="K538" s="30">
        <f>Source!Q206</f>
        <v>1.25</v>
      </c>
      <c r="L538" s="32"/>
    </row>
    <row r="539" spans="1:26" ht="14.25" x14ac:dyDescent="0.2">
      <c r="A539" s="45"/>
      <c r="B539" s="46"/>
      <c r="C539" s="46" t="s">
        <v>1168</v>
      </c>
      <c r="D539" s="29"/>
      <c r="E539" s="11"/>
      <c r="F539" s="30">
        <f>Source!AN206</f>
        <v>0.64</v>
      </c>
      <c r="G539" s="31" t="str">
        <f>Source!DF206</f>
        <v/>
      </c>
      <c r="H539" s="33">
        <f>ROUND(Source!AE206*Source!I206, 2)</f>
        <v>0.03</v>
      </c>
      <c r="I539" s="31"/>
      <c r="J539" s="31">
        <f>IF(Source!BS206&lt;&gt; 0, Source!BS206, 1)</f>
        <v>6.71</v>
      </c>
      <c r="K539" s="33">
        <f>Source!R206</f>
        <v>0.17</v>
      </c>
      <c r="L539" s="32"/>
      <c r="R539">
        <f>H539</f>
        <v>0.03</v>
      </c>
    </row>
    <row r="540" spans="1:26" ht="14.25" x14ac:dyDescent="0.2">
      <c r="A540" s="45"/>
      <c r="B540" s="46"/>
      <c r="C540" s="46" t="s">
        <v>1174</v>
      </c>
      <c r="D540" s="29"/>
      <c r="E540" s="11"/>
      <c r="F540" s="30">
        <f>Source!AL206</f>
        <v>103.19</v>
      </c>
      <c r="G540" s="31" t="str">
        <f>Source!DD206</f>
        <v/>
      </c>
      <c r="H540" s="30">
        <f>ROUND(Source!AC206*Source!I206, 2)</f>
        <v>4.13</v>
      </c>
      <c r="I540" s="31"/>
      <c r="J540" s="31">
        <f>IF(Source!BC206&lt;&gt; 0, Source!BC206, 1)</f>
        <v>6.71</v>
      </c>
      <c r="K540" s="30">
        <f>Source!P206</f>
        <v>27.7</v>
      </c>
      <c r="L540" s="32"/>
    </row>
    <row r="541" spans="1:26" ht="14.25" x14ac:dyDescent="0.2">
      <c r="A541" s="45"/>
      <c r="B541" s="46"/>
      <c r="C541" s="46" t="s">
        <v>1169</v>
      </c>
      <c r="D541" s="29" t="s">
        <v>1170</v>
      </c>
      <c r="E541" s="11">
        <f>Source!BZ206</f>
        <v>95</v>
      </c>
      <c r="F541" s="49"/>
      <c r="G541" s="31"/>
      <c r="H541" s="30">
        <f>SUM(S535:S544)</f>
        <v>13.27</v>
      </c>
      <c r="I541" s="34"/>
      <c r="J541" s="27">
        <f>Source!AT206</f>
        <v>95</v>
      </c>
      <c r="K541" s="30">
        <f>SUM(T535:T544)</f>
        <v>89.02</v>
      </c>
      <c r="L541" s="32"/>
    </row>
    <row r="542" spans="1:26" ht="14.25" x14ac:dyDescent="0.2">
      <c r="A542" s="45"/>
      <c r="B542" s="46"/>
      <c r="C542" s="46" t="s">
        <v>1171</v>
      </c>
      <c r="D542" s="29" t="s">
        <v>1170</v>
      </c>
      <c r="E542" s="11">
        <f>Source!CA206</f>
        <v>65</v>
      </c>
      <c r="F542" s="49"/>
      <c r="G542" s="31"/>
      <c r="H542" s="30">
        <f>SUM(U535:U544)</f>
        <v>9.08</v>
      </c>
      <c r="I542" s="34"/>
      <c r="J542" s="27">
        <f>Source!AU206</f>
        <v>65</v>
      </c>
      <c r="K542" s="30">
        <f>SUM(V535:V544)</f>
        <v>60.91</v>
      </c>
      <c r="L542" s="32"/>
    </row>
    <row r="543" spans="1:26" ht="14.25" x14ac:dyDescent="0.2">
      <c r="A543" s="45"/>
      <c r="B543" s="46"/>
      <c r="C543" s="46" t="s">
        <v>1172</v>
      </c>
      <c r="D543" s="29" t="s">
        <v>1173</v>
      </c>
      <c r="E543" s="11">
        <f>Source!AQ206</f>
        <v>35.130000000000003</v>
      </c>
      <c r="F543" s="30"/>
      <c r="G543" s="31" t="str">
        <f>Source!DI206</f>
        <v/>
      </c>
      <c r="H543" s="30"/>
      <c r="I543" s="31"/>
      <c r="J543" s="31"/>
      <c r="K543" s="30"/>
      <c r="L543" s="41">
        <f>Source!U206</f>
        <v>1.4052000000000002</v>
      </c>
    </row>
    <row r="544" spans="1:26" ht="57" x14ac:dyDescent="0.2">
      <c r="A544" s="47" t="str">
        <f>Source!E207</f>
        <v>52,1</v>
      </c>
      <c r="B544" s="48" t="str">
        <f>Source!F207</f>
        <v>20.4.01.01-0011</v>
      </c>
      <c r="C544" s="48" t="str">
        <f>Source!G207</f>
        <v>Выключатель двухклавишный для открытой проводки "EFAPEL" SBR(45х45мм),белый,с супортами прим.</v>
      </c>
      <c r="D544" s="35" t="str">
        <f>Source!H207</f>
        <v>10 шт.</v>
      </c>
      <c r="E544" s="36">
        <f>Source!I207</f>
        <v>0.4</v>
      </c>
      <c r="F544" s="37">
        <f>Source!AL207+Source!AM207+Source!AO207</f>
        <v>85.6</v>
      </c>
      <c r="G544" s="42" t="s">
        <v>6</v>
      </c>
      <c r="H544" s="37">
        <f>ROUND(Source!AC207*Source!I207, 2)+ROUND(Source!AD207*Source!I207, 2)+ROUND(Source!AF207*Source!I207, 2)</f>
        <v>34.24</v>
      </c>
      <c r="I544" s="38"/>
      <c r="J544" s="38">
        <f>IF(Source!BC207&lt;&gt; 0, Source!BC207, 1)</f>
        <v>6.71</v>
      </c>
      <c r="K544" s="37">
        <f>Source!O207</f>
        <v>229.75</v>
      </c>
      <c r="L544" s="43"/>
      <c r="S544">
        <f>ROUND((Source!FX207/100)*((ROUND(Source!AF207*Source!I207, 2)+ROUND(Source!AE207*Source!I207, 2))), 2)</f>
        <v>0</v>
      </c>
      <c r="T544">
        <f>Source!X207</f>
        <v>0</v>
      </c>
      <c r="U544">
        <f>ROUND((Source!FY207/100)*((ROUND(Source!AF207*Source!I207, 2)+ROUND(Source!AE207*Source!I207, 2))), 2)</f>
        <v>0</v>
      </c>
      <c r="V544">
        <f>Source!Y207</f>
        <v>0</v>
      </c>
      <c r="W544">
        <f>IF(Source!BI207&lt;=1,H544, 0)</f>
        <v>0</v>
      </c>
      <c r="X544">
        <f>IF(Source!BI207=2,H544, 0)</f>
        <v>34.24</v>
      </c>
      <c r="Y544">
        <f>IF(Source!BI207=3,H544, 0)</f>
        <v>0</v>
      </c>
      <c r="Z544">
        <f>IF(Source!BI207=4,H544, 0)</f>
        <v>0</v>
      </c>
    </row>
    <row r="545" spans="1:26" ht="15" x14ac:dyDescent="0.25">
      <c r="G545" s="72">
        <f>H537+H538+H540+H541+H542+SUM(H544:H544)</f>
        <v>74.849999999999994</v>
      </c>
      <c r="H545" s="72"/>
      <c r="J545" s="72">
        <f>K537+K538+K540+K541+K542+SUM(K544:K544)</f>
        <v>502.15999999999997</v>
      </c>
      <c r="K545" s="72"/>
      <c r="L545" s="40">
        <f>Source!U206</f>
        <v>1.4052000000000002</v>
      </c>
      <c r="O545" s="24">
        <f>G545</f>
        <v>74.849999999999994</v>
      </c>
      <c r="P545" s="24">
        <f>J545</f>
        <v>502.15999999999997</v>
      </c>
      <c r="Q545" s="24">
        <f>L545</f>
        <v>1.4052000000000002</v>
      </c>
      <c r="W545">
        <f>IF(Source!BI206&lt;=1,H537+H538+H540+H541+H542, 0)</f>
        <v>0</v>
      </c>
      <c r="X545">
        <f>IF(Source!BI206=2,H537+H538+H540+H541+H542, 0)</f>
        <v>40.61</v>
      </c>
      <c r="Y545">
        <f>IF(Source!BI206=3,H537+H538+H540+H541+H542, 0)</f>
        <v>0</v>
      </c>
      <c r="Z545">
        <f>IF(Source!BI206=4,H537+H538+H540+H541+H542, 0)</f>
        <v>0</v>
      </c>
    </row>
    <row r="546" spans="1:26" ht="28.5" x14ac:dyDescent="0.2">
      <c r="A546" s="45" t="str">
        <f>Source!E208</f>
        <v>53</v>
      </c>
      <c r="B546" s="46" t="str">
        <f>Source!F208</f>
        <v>м08-03-591-08</v>
      </c>
      <c r="C546" s="46" t="str">
        <f>Source!G208</f>
        <v>Розетка штепсельная неутопленного типа при открытой проводке</v>
      </c>
      <c r="D546" s="29" t="str">
        <f>Source!H208</f>
        <v>100 ШТ</v>
      </c>
      <c r="E546" s="11">
        <f>Source!I208</f>
        <v>0.87</v>
      </c>
      <c r="F546" s="30">
        <f>Source!AL208+Source!AM208+Source!AO208</f>
        <v>453.92999999999995</v>
      </c>
      <c r="G546" s="31"/>
      <c r="H546" s="30"/>
      <c r="I546" s="31" t="str">
        <f>Source!BO208</f>
        <v/>
      </c>
      <c r="J546" s="31"/>
      <c r="K546" s="30"/>
      <c r="L546" s="32"/>
      <c r="S546">
        <f>ROUND((Source!FX208/100)*((ROUND(Source!AF208*Source!I208, 2)+ROUND(Source!AE208*Source!I208, 2))), 2)</f>
        <v>283.89</v>
      </c>
      <c r="T546">
        <f>Source!X208</f>
        <v>1904.88</v>
      </c>
      <c r="U546">
        <f>ROUND((Source!FY208/100)*((ROUND(Source!AF208*Source!I208, 2)+ROUND(Source!AE208*Source!I208, 2))), 2)</f>
        <v>194.24</v>
      </c>
      <c r="V546">
        <f>Source!Y208</f>
        <v>1303.3399999999999</v>
      </c>
    </row>
    <row r="547" spans="1:26" x14ac:dyDescent="0.2">
      <c r="C547" s="23" t="str">
        <f>"Объем: "&amp;Source!I208&amp;"=87/"&amp;"100"</f>
        <v>Объем: 0,87=87/100</v>
      </c>
    </row>
    <row r="548" spans="1:26" ht="14.25" x14ac:dyDescent="0.2">
      <c r="A548" s="45"/>
      <c r="B548" s="46"/>
      <c r="C548" s="46" t="s">
        <v>1167</v>
      </c>
      <c r="D548" s="29"/>
      <c r="E548" s="11"/>
      <c r="F548" s="30">
        <f>Source!AO208</f>
        <v>342.84</v>
      </c>
      <c r="G548" s="31" t="str">
        <f>Source!DG208</f>
        <v/>
      </c>
      <c r="H548" s="30">
        <f>ROUND(Source!AF208*Source!I208, 2)</f>
        <v>298.27</v>
      </c>
      <c r="I548" s="31"/>
      <c r="J548" s="31">
        <f>IF(Source!BA208&lt;&gt; 0, Source!BA208, 1)</f>
        <v>6.71</v>
      </c>
      <c r="K548" s="30">
        <f>Source!S208</f>
        <v>2001.4</v>
      </c>
      <c r="L548" s="32"/>
      <c r="R548">
        <f>H548</f>
        <v>298.27</v>
      </c>
    </row>
    <row r="549" spans="1:26" ht="14.25" x14ac:dyDescent="0.2">
      <c r="A549" s="45"/>
      <c r="B549" s="46"/>
      <c r="C549" s="46" t="s">
        <v>382</v>
      </c>
      <c r="D549" s="29"/>
      <c r="E549" s="11"/>
      <c r="F549" s="30">
        <f>Source!AM208</f>
        <v>4.67</v>
      </c>
      <c r="G549" s="31" t="str">
        <f>Source!DE208</f>
        <v/>
      </c>
      <c r="H549" s="30">
        <f>ROUND(Source!AD208*Source!I208, 2)</f>
        <v>4.0599999999999996</v>
      </c>
      <c r="I549" s="31"/>
      <c r="J549" s="31">
        <f>IF(Source!BB208&lt;&gt; 0, Source!BB208, 1)</f>
        <v>6.71</v>
      </c>
      <c r="K549" s="30">
        <f>Source!Q208</f>
        <v>27.26</v>
      </c>
      <c r="L549" s="32"/>
    </row>
    <row r="550" spans="1:26" ht="14.25" x14ac:dyDescent="0.2">
      <c r="A550" s="45"/>
      <c r="B550" s="46"/>
      <c r="C550" s="46" t="s">
        <v>1168</v>
      </c>
      <c r="D550" s="29"/>
      <c r="E550" s="11"/>
      <c r="F550" s="30">
        <f>Source!AN208</f>
        <v>0.64</v>
      </c>
      <c r="G550" s="31" t="str">
        <f>Source!DF208</f>
        <v/>
      </c>
      <c r="H550" s="33">
        <f>ROUND(Source!AE208*Source!I208, 2)</f>
        <v>0.56000000000000005</v>
      </c>
      <c r="I550" s="31"/>
      <c r="J550" s="31">
        <f>IF(Source!BS208&lt;&gt; 0, Source!BS208, 1)</f>
        <v>6.71</v>
      </c>
      <c r="K550" s="33">
        <f>Source!R208</f>
        <v>3.74</v>
      </c>
      <c r="L550" s="32"/>
      <c r="R550">
        <f>H550</f>
        <v>0.56000000000000005</v>
      </c>
    </row>
    <row r="551" spans="1:26" ht="14.25" x14ac:dyDescent="0.2">
      <c r="A551" s="45"/>
      <c r="B551" s="46"/>
      <c r="C551" s="46" t="s">
        <v>1174</v>
      </c>
      <c r="D551" s="29"/>
      <c r="E551" s="11"/>
      <c r="F551" s="30">
        <f>Source!AL208</f>
        <v>106.42</v>
      </c>
      <c r="G551" s="31" t="str">
        <f>Source!DD208</f>
        <v/>
      </c>
      <c r="H551" s="30">
        <f>ROUND(Source!AC208*Source!I208, 2)</f>
        <v>92.59</v>
      </c>
      <c r="I551" s="31"/>
      <c r="J551" s="31">
        <f>IF(Source!BC208&lt;&gt; 0, Source!BC208, 1)</f>
        <v>6.71</v>
      </c>
      <c r="K551" s="30">
        <f>Source!P208</f>
        <v>621.25</v>
      </c>
      <c r="L551" s="32"/>
    </row>
    <row r="552" spans="1:26" ht="14.25" x14ac:dyDescent="0.2">
      <c r="A552" s="45"/>
      <c r="B552" s="46"/>
      <c r="C552" s="46" t="s">
        <v>1169</v>
      </c>
      <c r="D552" s="29" t="s">
        <v>1170</v>
      </c>
      <c r="E552" s="11">
        <f>Source!BZ208</f>
        <v>95</v>
      </c>
      <c r="F552" s="49"/>
      <c r="G552" s="31"/>
      <c r="H552" s="30">
        <f>SUM(S546:S556)</f>
        <v>283.89</v>
      </c>
      <c r="I552" s="34"/>
      <c r="J552" s="27">
        <f>Source!AT208</f>
        <v>95</v>
      </c>
      <c r="K552" s="30">
        <f>SUM(T546:T556)</f>
        <v>1904.88</v>
      </c>
      <c r="L552" s="32"/>
    </row>
    <row r="553" spans="1:26" ht="14.25" x14ac:dyDescent="0.2">
      <c r="A553" s="45"/>
      <c r="B553" s="46"/>
      <c r="C553" s="46" t="s">
        <v>1171</v>
      </c>
      <c r="D553" s="29" t="s">
        <v>1170</v>
      </c>
      <c r="E553" s="11">
        <f>Source!CA208</f>
        <v>65</v>
      </c>
      <c r="F553" s="49"/>
      <c r="G553" s="31"/>
      <c r="H553" s="30">
        <f>SUM(U546:U556)</f>
        <v>194.24</v>
      </c>
      <c r="I553" s="34"/>
      <c r="J553" s="27">
        <f>Source!AU208</f>
        <v>65</v>
      </c>
      <c r="K553" s="30">
        <f>SUM(V546:V556)</f>
        <v>1303.3399999999999</v>
      </c>
      <c r="L553" s="32"/>
    </row>
    <row r="554" spans="1:26" ht="14.25" x14ac:dyDescent="0.2">
      <c r="A554" s="45"/>
      <c r="B554" s="46"/>
      <c r="C554" s="46" t="s">
        <v>1172</v>
      </c>
      <c r="D554" s="29" t="s">
        <v>1173</v>
      </c>
      <c r="E554" s="11">
        <f>Source!AQ208</f>
        <v>34.56</v>
      </c>
      <c r="F554" s="30"/>
      <c r="G554" s="31" t="str">
        <f>Source!DI208</f>
        <v/>
      </c>
      <c r="H554" s="30"/>
      <c r="I554" s="31"/>
      <c r="J554" s="31"/>
      <c r="K554" s="30"/>
      <c r="L554" s="41">
        <f>Source!U208</f>
        <v>30.067200000000003</v>
      </c>
    </row>
    <row r="555" spans="1:26" ht="42.75" x14ac:dyDescent="0.2">
      <c r="A555" s="45" t="str">
        <f>Source!E209</f>
        <v>53,1</v>
      </c>
      <c r="B555" s="46" t="str">
        <f>Source!F209</f>
        <v>20.4.03.05-0004</v>
      </c>
      <c r="C555" s="46" t="str">
        <f>Source!G209</f>
        <v>Розетка открытой проводки "EFAPEL" 220В2к+з,(45х45мм),белые с супортами в кабель-канал прим.</v>
      </c>
      <c r="D555" s="29" t="str">
        <f>Source!H209</f>
        <v>100 шт.</v>
      </c>
      <c r="E555" s="11">
        <f>Source!I209</f>
        <v>0.8</v>
      </c>
      <c r="F555" s="30">
        <f>Source!AL209+Source!AM209+Source!AO209</f>
        <v>899</v>
      </c>
      <c r="G555" s="44" t="s">
        <v>6</v>
      </c>
      <c r="H555" s="30">
        <f>ROUND(Source!AC209*Source!I209, 2)+ROUND(Source!AD209*Source!I209, 2)+ROUND(Source!AF209*Source!I209, 2)</f>
        <v>719.2</v>
      </c>
      <c r="I555" s="31"/>
      <c r="J555" s="31">
        <f>IF(Source!BC209&lt;&gt; 0, Source!BC209, 1)</f>
        <v>6.71</v>
      </c>
      <c r="K555" s="30">
        <f>Source!O209</f>
        <v>4825.83</v>
      </c>
      <c r="L555" s="32"/>
      <c r="S555">
        <f>ROUND((Source!FX209/100)*((ROUND(Source!AF209*Source!I209, 2)+ROUND(Source!AE209*Source!I209, 2))), 2)</f>
        <v>0</v>
      </c>
      <c r="T555">
        <f>Source!X209</f>
        <v>0</v>
      </c>
      <c r="U555">
        <f>ROUND((Source!FY209/100)*((ROUND(Source!AF209*Source!I209, 2)+ROUND(Source!AE209*Source!I209, 2))), 2)</f>
        <v>0</v>
      </c>
      <c r="V555">
        <f>Source!Y209</f>
        <v>0</v>
      </c>
      <c r="W555">
        <f>IF(Source!BI209&lt;=1,H555, 0)</f>
        <v>0</v>
      </c>
      <c r="X555">
        <f>IF(Source!BI209=2,H555, 0)</f>
        <v>719.2</v>
      </c>
      <c r="Y555">
        <f>IF(Source!BI209=3,H555, 0)</f>
        <v>0</v>
      </c>
      <c r="Z555">
        <f>IF(Source!BI209=4,H555, 0)</f>
        <v>0</v>
      </c>
    </row>
    <row r="556" spans="1:26" ht="28.5" x14ac:dyDescent="0.2">
      <c r="A556" s="47" t="str">
        <f>Source!E210</f>
        <v>53,2</v>
      </c>
      <c r="B556" s="48" t="str">
        <f>Source!F210</f>
        <v>20.4.03.05-0005</v>
      </c>
      <c r="C556" s="48" t="str">
        <f>Source!G210</f>
        <v>Розетка РА16-112 Б IP44 для открытой проводки с заземляющими контактами</v>
      </c>
      <c r="D556" s="35" t="str">
        <f>Source!H210</f>
        <v>100 шт.</v>
      </c>
      <c r="E556" s="36">
        <f>Source!I210</f>
        <v>7.0000000000000007E-2</v>
      </c>
      <c r="F556" s="37">
        <f>Source!AL210+Source!AM210+Source!AO210</f>
        <v>734</v>
      </c>
      <c r="G556" s="42" t="s">
        <v>6</v>
      </c>
      <c r="H556" s="37">
        <f>ROUND(Source!AC210*Source!I210, 2)+ROUND(Source!AD210*Source!I210, 2)+ROUND(Source!AF210*Source!I210, 2)</f>
        <v>51.38</v>
      </c>
      <c r="I556" s="38"/>
      <c r="J556" s="38">
        <f>IF(Source!BC210&lt;&gt; 0, Source!BC210, 1)</f>
        <v>6.71</v>
      </c>
      <c r="K556" s="37">
        <f>Source!O210</f>
        <v>344.76</v>
      </c>
      <c r="L556" s="43"/>
      <c r="S556">
        <f>ROUND((Source!FX210/100)*((ROUND(Source!AF210*Source!I210, 2)+ROUND(Source!AE210*Source!I210, 2))), 2)</f>
        <v>0</v>
      </c>
      <c r="T556">
        <f>Source!X210</f>
        <v>0</v>
      </c>
      <c r="U556">
        <f>ROUND((Source!FY210/100)*((ROUND(Source!AF210*Source!I210, 2)+ROUND(Source!AE210*Source!I210, 2))), 2)</f>
        <v>0</v>
      </c>
      <c r="V556">
        <f>Source!Y210</f>
        <v>0</v>
      </c>
      <c r="W556">
        <f>IF(Source!BI210&lt;=1,H556, 0)</f>
        <v>0</v>
      </c>
      <c r="X556">
        <f>IF(Source!BI210=2,H556, 0)</f>
        <v>51.38</v>
      </c>
      <c r="Y556">
        <f>IF(Source!BI210=3,H556, 0)</f>
        <v>0</v>
      </c>
      <c r="Z556">
        <f>IF(Source!BI210=4,H556, 0)</f>
        <v>0</v>
      </c>
    </row>
    <row r="557" spans="1:26" ht="15" x14ac:dyDescent="0.25">
      <c r="G557" s="72">
        <f>H548+H549+H551+H552+H553+SUM(H555:H556)</f>
        <v>1643.63</v>
      </c>
      <c r="H557" s="72"/>
      <c r="J557" s="72">
        <f>K548+K549+K551+K552+K553+SUM(K555:K556)</f>
        <v>11028.720000000001</v>
      </c>
      <c r="K557" s="72"/>
      <c r="L557" s="40">
        <f>Source!U208</f>
        <v>30.067200000000003</v>
      </c>
      <c r="O557" s="24">
        <f>G557</f>
        <v>1643.63</v>
      </c>
      <c r="P557" s="24">
        <f>J557</f>
        <v>11028.720000000001</v>
      </c>
      <c r="Q557" s="24">
        <f>L557</f>
        <v>30.067200000000003</v>
      </c>
      <c r="W557">
        <f>IF(Source!BI208&lt;=1,H548+H549+H551+H552+H553, 0)</f>
        <v>0</v>
      </c>
      <c r="X557">
        <f>IF(Source!BI208=2,H548+H549+H551+H552+H553, 0)</f>
        <v>873.05</v>
      </c>
      <c r="Y557">
        <f>IF(Source!BI208=3,H548+H549+H551+H552+H553, 0)</f>
        <v>0</v>
      </c>
      <c r="Z557">
        <f>IF(Source!BI208=4,H548+H549+H551+H552+H553, 0)</f>
        <v>0</v>
      </c>
    </row>
    <row r="558" spans="1:26" ht="42.75" x14ac:dyDescent="0.2">
      <c r="A558" s="45" t="str">
        <f>Source!E211</f>
        <v>54</v>
      </c>
      <c r="B558" s="46" t="str">
        <f>Source!F211</f>
        <v>м08-02-370-02 прим.</v>
      </c>
      <c r="C558" s="46" t="str">
        <f>Source!G211</f>
        <v>Щиток до трех групп, устанавливаемый в нише цоколя</v>
      </c>
      <c r="D558" s="29" t="str">
        <f>Source!H211</f>
        <v>ШТ</v>
      </c>
      <c r="E558" s="11">
        <f>Source!I211</f>
        <v>4</v>
      </c>
      <c r="F558" s="30">
        <f>Source!AL211+Source!AM211+Source!AO211</f>
        <v>33.42</v>
      </c>
      <c r="G558" s="31"/>
      <c r="H558" s="30"/>
      <c r="I558" s="31" t="str">
        <f>Source!BO211</f>
        <v/>
      </c>
      <c r="J558" s="31"/>
      <c r="K558" s="30"/>
      <c r="L558" s="32"/>
      <c r="S558">
        <f>ROUND((Source!FX211/100)*((ROUND(Source!AF211*Source!I211, 2)+ROUND(Source!AE211*Source!I211, 2))), 2)</f>
        <v>45.45</v>
      </c>
      <c r="T558">
        <f>Source!X211</f>
        <v>304.95999999999998</v>
      </c>
      <c r="U558">
        <f>ROUND((Source!FY211/100)*((ROUND(Source!AF211*Source!I211, 2)+ROUND(Source!AE211*Source!I211, 2))), 2)</f>
        <v>31.1</v>
      </c>
      <c r="V558">
        <f>Source!Y211</f>
        <v>208.66</v>
      </c>
    </row>
    <row r="559" spans="1:26" ht="14.25" x14ac:dyDescent="0.2">
      <c r="A559" s="45"/>
      <c r="B559" s="46"/>
      <c r="C559" s="46" t="s">
        <v>1167</v>
      </c>
      <c r="D559" s="29"/>
      <c r="E559" s="11"/>
      <c r="F559" s="30">
        <f>Source!AO211</f>
        <v>9.4499999999999993</v>
      </c>
      <c r="G559" s="31" t="str">
        <f>Source!DG211</f>
        <v/>
      </c>
      <c r="H559" s="30">
        <f>ROUND(Source!AF211*Source!I211, 2)</f>
        <v>37.799999999999997</v>
      </c>
      <c r="I559" s="31"/>
      <c r="J559" s="31">
        <f>IF(Source!BA211&lt;&gt; 0, Source!BA211, 1)</f>
        <v>6.71</v>
      </c>
      <c r="K559" s="30">
        <f>Source!S211</f>
        <v>253.64</v>
      </c>
      <c r="L559" s="32"/>
      <c r="R559">
        <f>H559</f>
        <v>37.799999999999997</v>
      </c>
    </row>
    <row r="560" spans="1:26" ht="14.25" x14ac:dyDescent="0.2">
      <c r="A560" s="45"/>
      <c r="B560" s="46"/>
      <c r="C560" s="46" t="s">
        <v>382</v>
      </c>
      <c r="D560" s="29"/>
      <c r="E560" s="11"/>
      <c r="F560" s="30">
        <f>Source!AM211</f>
        <v>17.77</v>
      </c>
      <c r="G560" s="31" t="str">
        <f>Source!DE211</f>
        <v/>
      </c>
      <c r="H560" s="30">
        <f>ROUND(Source!AD211*Source!I211, 2)</f>
        <v>71.08</v>
      </c>
      <c r="I560" s="31"/>
      <c r="J560" s="31">
        <f>IF(Source!BB211&lt;&gt; 0, Source!BB211, 1)</f>
        <v>6.71</v>
      </c>
      <c r="K560" s="30">
        <f>Source!Q211</f>
        <v>476.95</v>
      </c>
      <c r="L560" s="32"/>
    </row>
    <row r="561" spans="1:26" ht="14.25" x14ac:dyDescent="0.2">
      <c r="A561" s="45"/>
      <c r="B561" s="46"/>
      <c r="C561" s="46" t="s">
        <v>1168</v>
      </c>
      <c r="D561" s="29"/>
      <c r="E561" s="11"/>
      <c r="F561" s="30">
        <f>Source!AN211</f>
        <v>2.5099999999999998</v>
      </c>
      <c r="G561" s="31" t="str">
        <f>Source!DF211</f>
        <v/>
      </c>
      <c r="H561" s="33">
        <f>ROUND(Source!AE211*Source!I211, 2)</f>
        <v>10.039999999999999</v>
      </c>
      <c r="I561" s="31"/>
      <c r="J561" s="31">
        <f>IF(Source!BS211&lt;&gt; 0, Source!BS211, 1)</f>
        <v>6.71</v>
      </c>
      <c r="K561" s="33">
        <f>Source!R211</f>
        <v>67.37</v>
      </c>
      <c r="L561" s="32"/>
      <c r="R561">
        <f>H561</f>
        <v>10.039999999999999</v>
      </c>
    </row>
    <row r="562" spans="1:26" ht="14.25" x14ac:dyDescent="0.2">
      <c r="A562" s="45"/>
      <c r="B562" s="46"/>
      <c r="C562" s="46" t="s">
        <v>1174</v>
      </c>
      <c r="D562" s="29"/>
      <c r="E562" s="11"/>
      <c r="F562" s="30">
        <f>Source!AL211</f>
        <v>6.2</v>
      </c>
      <c r="G562" s="31" t="str">
        <f>Source!DD211</f>
        <v/>
      </c>
      <c r="H562" s="30">
        <f>ROUND(Source!AC211*Source!I211, 2)</f>
        <v>24.8</v>
      </c>
      <c r="I562" s="31"/>
      <c r="J562" s="31">
        <f>IF(Source!BC211&lt;&gt; 0, Source!BC211, 1)</f>
        <v>6.71</v>
      </c>
      <c r="K562" s="30">
        <f>Source!P211</f>
        <v>166.41</v>
      </c>
      <c r="L562" s="32"/>
    </row>
    <row r="563" spans="1:26" ht="14.25" x14ac:dyDescent="0.2">
      <c r="A563" s="45"/>
      <c r="B563" s="46"/>
      <c r="C563" s="46" t="s">
        <v>1169</v>
      </c>
      <c r="D563" s="29" t="s">
        <v>1170</v>
      </c>
      <c r="E563" s="11">
        <f>Source!BZ211</f>
        <v>95</v>
      </c>
      <c r="F563" s="49"/>
      <c r="G563" s="31"/>
      <c r="H563" s="30">
        <f>SUM(S558:S566)</f>
        <v>45.45</v>
      </c>
      <c r="I563" s="34"/>
      <c r="J563" s="27">
        <f>Source!AT211</f>
        <v>95</v>
      </c>
      <c r="K563" s="30">
        <f>SUM(T558:T566)</f>
        <v>304.95999999999998</v>
      </c>
      <c r="L563" s="32"/>
    </row>
    <row r="564" spans="1:26" ht="14.25" x14ac:dyDescent="0.2">
      <c r="A564" s="45"/>
      <c r="B564" s="46"/>
      <c r="C564" s="46" t="s">
        <v>1171</v>
      </c>
      <c r="D564" s="29" t="s">
        <v>1170</v>
      </c>
      <c r="E564" s="11">
        <f>Source!CA211</f>
        <v>65</v>
      </c>
      <c r="F564" s="49"/>
      <c r="G564" s="31"/>
      <c r="H564" s="30">
        <f>SUM(U558:U566)</f>
        <v>31.1</v>
      </c>
      <c r="I564" s="34"/>
      <c r="J564" s="27">
        <f>Source!AU211</f>
        <v>65</v>
      </c>
      <c r="K564" s="30">
        <f>SUM(V558:V566)</f>
        <v>208.66</v>
      </c>
      <c r="L564" s="32"/>
    </row>
    <row r="565" spans="1:26" ht="14.25" x14ac:dyDescent="0.2">
      <c r="A565" s="45"/>
      <c r="B565" s="46"/>
      <c r="C565" s="46" t="s">
        <v>1172</v>
      </c>
      <c r="D565" s="29" t="s">
        <v>1173</v>
      </c>
      <c r="E565" s="11">
        <f>Source!AQ211</f>
        <v>0.9</v>
      </c>
      <c r="F565" s="30"/>
      <c r="G565" s="31" t="str">
        <f>Source!DI211</f>
        <v/>
      </c>
      <c r="H565" s="30"/>
      <c r="I565" s="31"/>
      <c r="J565" s="31"/>
      <c r="K565" s="30"/>
      <c r="L565" s="41">
        <f>Source!U211</f>
        <v>3.6</v>
      </c>
    </row>
    <row r="566" spans="1:26" ht="57" x14ac:dyDescent="0.2">
      <c r="A566" s="47" t="str">
        <f>Source!E212</f>
        <v>54,1</v>
      </c>
      <c r="B566" s="48" t="str">
        <f>Source!F212</f>
        <v>62.1.02.03-0003</v>
      </c>
      <c r="C566" s="48" t="str">
        <f>Source!G212</f>
        <v>Щит навесной IEK ШРН-18э1 38,18 модулей ,IP31 с клемником(АВВ) с замком,материал корпуса металл прим.</v>
      </c>
      <c r="D566" s="35" t="str">
        <f>Source!H212</f>
        <v>10 шт.</v>
      </c>
      <c r="E566" s="36">
        <f>Source!I212</f>
        <v>0.4</v>
      </c>
      <c r="F566" s="37">
        <f>Source!AL212+Source!AM212+Source!AO212</f>
        <v>188.5</v>
      </c>
      <c r="G566" s="42" t="s">
        <v>6</v>
      </c>
      <c r="H566" s="37">
        <f>ROUND(Source!AC212*Source!I212, 2)+ROUND(Source!AD212*Source!I212, 2)+ROUND(Source!AF212*Source!I212, 2)</f>
        <v>75.400000000000006</v>
      </c>
      <c r="I566" s="38"/>
      <c r="J566" s="38">
        <f>IF(Source!BC212&lt;&gt; 0, Source!BC212, 1)</f>
        <v>6.71</v>
      </c>
      <c r="K566" s="37">
        <f>Source!O212</f>
        <v>505.93</v>
      </c>
      <c r="L566" s="43"/>
      <c r="S566">
        <f>ROUND((Source!FX212/100)*((ROUND(Source!AF212*Source!I212, 2)+ROUND(Source!AE212*Source!I212, 2))), 2)</f>
        <v>0</v>
      </c>
      <c r="T566">
        <f>Source!X212</f>
        <v>0</v>
      </c>
      <c r="U566">
        <f>ROUND((Source!FY212/100)*((ROUND(Source!AF212*Source!I212, 2)+ROUND(Source!AE212*Source!I212, 2))), 2)</f>
        <v>0</v>
      </c>
      <c r="V566">
        <f>Source!Y212</f>
        <v>0</v>
      </c>
      <c r="W566">
        <f>IF(Source!BI212&lt;=1,H566, 0)</f>
        <v>0</v>
      </c>
      <c r="X566">
        <f>IF(Source!BI212=2,H566, 0)</f>
        <v>75.400000000000006</v>
      </c>
      <c r="Y566">
        <f>IF(Source!BI212=3,H566, 0)</f>
        <v>0</v>
      </c>
      <c r="Z566">
        <f>IF(Source!BI212=4,H566, 0)</f>
        <v>0</v>
      </c>
    </row>
    <row r="567" spans="1:26" ht="15" x14ac:dyDescent="0.25">
      <c r="G567" s="72">
        <f>H559+H560+H562+H563+H564+SUM(H566:H566)</f>
        <v>285.63</v>
      </c>
      <c r="H567" s="72"/>
      <c r="J567" s="72">
        <f>K559+K560+K562+K563+K564+SUM(K566:K566)</f>
        <v>1916.55</v>
      </c>
      <c r="K567" s="72"/>
      <c r="L567" s="40">
        <f>Source!U211</f>
        <v>3.6</v>
      </c>
      <c r="O567" s="24">
        <f>G567</f>
        <v>285.63</v>
      </c>
      <c r="P567" s="24">
        <f>J567</f>
        <v>1916.55</v>
      </c>
      <c r="Q567" s="24">
        <f>L567</f>
        <v>3.6</v>
      </c>
      <c r="W567">
        <f>IF(Source!BI211&lt;=1,H559+H560+H562+H563+H564, 0)</f>
        <v>0</v>
      </c>
      <c r="X567">
        <f>IF(Source!BI211=2,H559+H560+H562+H563+H564, 0)</f>
        <v>210.23</v>
      </c>
      <c r="Y567">
        <f>IF(Source!BI211=3,H559+H560+H562+H563+H564, 0)</f>
        <v>0</v>
      </c>
      <c r="Z567">
        <f>IF(Source!BI211=4,H559+H560+H562+H563+H564, 0)</f>
        <v>0</v>
      </c>
    </row>
    <row r="568" spans="1:26" ht="42.75" x14ac:dyDescent="0.2">
      <c r="A568" s="45" t="str">
        <f>Source!E213</f>
        <v>55</v>
      </c>
      <c r="B568" s="46" t="str">
        <f>Source!F213</f>
        <v>м08-03-526-01</v>
      </c>
      <c r="C568" s="46" t="str">
        <f>Source!G213</f>
        <v>Автомат одно-, двух-, трехполюсный, устанавливаемый на конструкции на стене или колонне, на ток до 25 А</v>
      </c>
      <c r="D568" s="29" t="str">
        <f>Source!H213</f>
        <v>ШТ</v>
      </c>
      <c r="E568" s="11">
        <f>Source!I213</f>
        <v>39</v>
      </c>
      <c r="F568" s="30">
        <f>Source!AL213+Source!AM213+Source!AO213</f>
        <v>35.980000000000004</v>
      </c>
      <c r="G568" s="31"/>
      <c r="H568" s="30"/>
      <c r="I568" s="31" t="str">
        <f>Source!BO213</f>
        <v/>
      </c>
      <c r="J568" s="31"/>
      <c r="K568" s="30"/>
      <c r="L568" s="32"/>
      <c r="S568">
        <f>ROUND((Source!FX213/100)*((ROUND(Source!AF213*Source!I213, 2)+ROUND(Source!AE213*Source!I213, 2))), 2)</f>
        <v>549.82000000000005</v>
      </c>
      <c r="T568">
        <f>Source!X213</f>
        <v>3689.31</v>
      </c>
      <c r="U568">
        <f>ROUND((Source!FY213/100)*((ROUND(Source!AF213*Source!I213, 2)+ROUND(Source!AE213*Source!I213, 2))), 2)</f>
        <v>376.19</v>
      </c>
      <c r="V568">
        <f>Source!Y213</f>
        <v>2524.2600000000002</v>
      </c>
    </row>
    <row r="569" spans="1:26" ht="14.25" x14ac:dyDescent="0.2">
      <c r="A569" s="45"/>
      <c r="B569" s="46"/>
      <c r="C569" s="46" t="s">
        <v>1167</v>
      </c>
      <c r="D569" s="29"/>
      <c r="E569" s="11"/>
      <c r="F569" s="30">
        <f>Source!AO213</f>
        <v>14.84</v>
      </c>
      <c r="G569" s="31" t="str">
        <f>Source!DG213</f>
        <v/>
      </c>
      <c r="H569" s="30">
        <f>ROUND(Source!AF213*Source!I213, 2)</f>
        <v>578.76</v>
      </c>
      <c r="I569" s="31"/>
      <c r="J569" s="31">
        <f>IF(Source!BA213&lt;&gt; 0, Source!BA213, 1)</f>
        <v>6.71</v>
      </c>
      <c r="K569" s="30">
        <f>Source!S213</f>
        <v>3883.48</v>
      </c>
      <c r="L569" s="32"/>
      <c r="R569">
        <f>H569</f>
        <v>578.76</v>
      </c>
    </row>
    <row r="570" spans="1:26" ht="14.25" x14ac:dyDescent="0.2">
      <c r="A570" s="45"/>
      <c r="B570" s="46"/>
      <c r="C570" s="46" t="s">
        <v>382</v>
      </c>
      <c r="D570" s="29"/>
      <c r="E570" s="11"/>
      <c r="F570" s="30">
        <f>Source!AM213</f>
        <v>1.05</v>
      </c>
      <c r="G570" s="31" t="str">
        <f>Source!DE213</f>
        <v/>
      </c>
      <c r="H570" s="30">
        <f>ROUND(Source!AD213*Source!I213, 2)</f>
        <v>40.950000000000003</v>
      </c>
      <c r="I570" s="31"/>
      <c r="J570" s="31">
        <f>IF(Source!BB213&lt;&gt; 0, Source!BB213, 1)</f>
        <v>6.71</v>
      </c>
      <c r="K570" s="30">
        <f>Source!Q213</f>
        <v>274.77</v>
      </c>
      <c r="L570" s="32"/>
    </row>
    <row r="571" spans="1:26" ht="14.25" x14ac:dyDescent="0.2">
      <c r="A571" s="45"/>
      <c r="B571" s="46"/>
      <c r="C571" s="46" t="s">
        <v>1174</v>
      </c>
      <c r="D571" s="29"/>
      <c r="E571" s="11"/>
      <c r="F571" s="30">
        <f>Source!AL213</f>
        <v>20.09</v>
      </c>
      <c r="G571" s="31" t="str">
        <f>Source!DD213</f>
        <v/>
      </c>
      <c r="H571" s="30">
        <f>ROUND(Source!AC213*Source!I213, 2)</f>
        <v>783.51</v>
      </c>
      <c r="I571" s="31"/>
      <c r="J571" s="31">
        <f>IF(Source!BC213&lt;&gt; 0, Source!BC213, 1)</f>
        <v>6.71</v>
      </c>
      <c r="K571" s="30">
        <f>Source!P213</f>
        <v>5257.35</v>
      </c>
      <c r="L571" s="32"/>
    </row>
    <row r="572" spans="1:26" ht="14.25" x14ac:dyDescent="0.2">
      <c r="A572" s="45"/>
      <c r="B572" s="46"/>
      <c r="C572" s="46" t="s">
        <v>1169</v>
      </c>
      <c r="D572" s="29" t="s">
        <v>1170</v>
      </c>
      <c r="E572" s="11">
        <f>Source!BZ213</f>
        <v>95</v>
      </c>
      <c r="F572" s="49"/>
      <c r="G572" s="31"/>
      <c r="H572" s="30">
        <f>SUM(S568:S581)</f>
        <v>549.82000000000005</v>
      </c>
      <c r="I572" s="34"/>
      <c r="J572" s="27">
        <f>Source!AT213</f>
        <v>95</v>
      </c>
      <c r="K572" s="30">
        <f>SUM(T568:T581)</f>
        <v>3689.31</v>
      </c>
      <c r="L572" s="32"/>
    </row>
    <row r="573" spans="1:26" ht="14.25" x14ac:dyDescent="0.2">
      <c r="A573" s="45"/>
      <c r="B573" s="46"/>
      <c r="C573" s="46" t="s">
        <v>1171</v>
      </c>
      <c r="D573" s="29" t="s">
        <v>1170</v>
      </c>
      <c r="E573" s="11">
        <f>Source!CA213</f>
        <v>65</v>
      </c>
      <c r="F573" s="49"/>
      <c r="G573" s="31"/>
      <c r="H573" s="30">
        <f>SUM(U568:U581)</f>
        <v>376.19</v>
      </c>
      <c r="I573" s="34"/>
      <c r="J573" s="27">
        <f>Source!AU213</f>
        <v>65</v>
      </c>
      <c r="K573" s="30">
        <f>SUM(V568:V581)</f>
        <v>2524.2600000000002</v>
      </c>
      <c r="L573" s="32"/>
    </row>
    <row r="574" spans="1:26" ht="14.25" x14ac:dyDescent="0.2">
      <c r="A574" s="45"/>
      <c r="B574" s="46"/>
      <c r="C574" s="46" t="s">
        <v>1172</v>
      </c>
      <c r="D574" s="29" t="s">
        <v>1173</v>
      </c>
      <c r="E574" s="11">
        <f>Source!AQ213</f>
        <v>1.56</v>
      </c>
      <c r="F574" s="30"/>
      <c r="G574" s="31" t="str">
        <f>Source!DI213</f>
        <v/>
      </c>
      <c r="H574" s="30"/>
      <c r="I574" s="31"/>
      <c r="J574" s="31"/>
      <c r="K574" s="30"/>
      <c r="L574" s="41">
        <f>Source!U213</f>
        <v>60.84</v>
      </c>
    </row>
    <row r="575" spans="1:26" ht="28.5" x14ac:dyDescent="0.2">
      <c r="A575" s="45" t="str">
        <f>Source!E214</f>
        <v>55,1</v>
      </c>
      <c r="B575" s="46" t="str">
        <f>Source!F214</f>
        <v>62.1.01.09-0050</v>
      </c>
      <c r="C575" s="46" t="str">
        <f>Source!G214</f>
        <v>Выключатели автоматические АВВ 1Р 16А  прим.</v>
      </c>
      <c r="D575" s="29" t="str">
        <f>Source!H214</f>
        <v>шт.</v>
      </c>
      <c r="E575" s="11">
        <f>Source!I214</f>
        <v>20</v>
      </c>
      <c r="F575" s="30">
        <f>Source!AL214+Source!AM214+Source!AO214</f>
        <v>66.48</v>
      </c>
      <c r="G575" s="44" t="s">
        <v>6</v>
      </c>
      <c r="H575" s="30">
        <f>ROUND(Source!AC214*Source!I214, 2)+ROUND(Source!AD214*Source!I214, 2)+ROUND(Source!AF214*Source!I214, 2)</f>
        <v>1329.6</v>
      </c>
      <c r="I575" s="31"/>
      <c r="J575" s="31">
        <f>IF(Source!BC214&lt;&gt; 0, Source!BC214, 1)</f>
        <v>6.71</v>
      </c>
      <c r="K575" s="30">
        <f>Source!O214</f>
        <v>8921.6200000000008</v>
      </c>
      <c r="L575" s="32"/>
      <c r="S575">
        <f>ROUND((Source!FX214/100)*((ROUND(Source!AF214*Source!I214, 2)+ROUND(Source!AE214*Source!I214, 2))), 2)</f>
        <v>0</v>
      </c>
      <c r="T575">
        <f>Source!X214</f>
        <v>0</v>
      </c>
      <c r="U575">
        <f>ROUND((Source!FY214/100)*((ROUND(Source!AF214*Source!I214, 2)+ROUND(Source!AE214*Source!I214, 2))), 2)</f>
        <v>0</v>
      </c>
      <c r="V575">
        <f>Source!Y214</f>
        <v>0</v>
      </c>
      <c r="W575">
        <f>IF(Source!BI214&lt;=1,H575, 0)</f>
        <v>0</v>
      </c>
      <c r="X575">
        <f>IF(Source!BI214=2,H575, 0)</f>
        <v>1329.6</v>
      </c>
      <c r="Y575">
        <f>IF(Source!BI214=3,H575, 0)</f>
        <v>0</v>
      </c>
      <c r="Z575">
        <f>IF(Source!BI214=4,H575, 0)</f>
        <v>0</v>
      </c>
    </row>
    <row r="576" spans="1:26" ht="28.5" x14ac:dyDescent="0.2">
      <c r="A576" s="45" t="str">
        <f>Source!E215</f>
        <v>55,2</v>
      </c>
      <c r="B576" s="46" t="str">
        <f>Source!F215</f>
        <v>62.1.01.09-0066</v>
      </c>
      <c r="C576" s="46" t="str">
        <f>Source!G215</f>
        <v>Выключатели автоматические «АВВ  3Р 16А прим.</v>
      </c>
      <c r="D576" s="29" t="str">
        <f>Source!H215</f>
        <v>шт.</v>
      </c>
      <c r="E576" s="11">
        <f>Source!I215</f>
        <v>1</v>
      </c>
      <c r="F576" s="30">
        <f>Source!AL215+Source!AM215+Source!AO215</f>
        <v>231.3</v>
      </c>
      <c r="G576" s="44" t="s">
        <v>6</v>
      </c>
      <c r="H576" s="30">
        <f>ROUND(Source!AC215*Source!I215, 2)+ROUND(Source!AD215*Source!I215, 2)+ROUND(Source!AF215*Source!I215, 2)</f>
        <v>231.3</v>
      </c>
      <c r="I576" s="31"/>
      <c r="J576" s="31">
        <f>IF(Source!BC215&lt;&gt; 0, Source!BC215, 1)</f>
        <v>6.71</v>
      </c>
      <c r="K576" s="30">
        <f>Source!O215</f>
        <v>1552.02</v>
      </c>
      <c r="L576" s="32"/>
      <c r="S576">
        <f>ROUND((Source!FX215/100)*((ROUND(Source!AF215*Source!I215, 2)+ROUND(Source!AE215*Source!I215, 2))), 2)</f>
        <v>0</v>
      </c>
      <c r="T576">
        <f>Source!X215</f>
        <v>0</v>
      </c>
      <c r="U576">
        <f>ROUND((Source!FY215/100)*((ROUND(Source!AF215*Source!I215, 2)+ROUND(Source!AE215*Source!I215, 2))), 2)</f>
        <v>0</v>
      </c>
      <c r="V576">
        <f>Source!Y215</f>
        <v>0</v>
      </c>
      <c r="W576">
        <f>IF(Source!BI215&lt;=1,H576, 0)</f>
        <v>0</v>
      </c>
      <c r="X576">
        <f>IF(Source!BI215=2,H576, 0)</f>
        <v>231.3</v>
      </c>
      <c r="Y576">
        <f>IF(Source!BI215=3,H576, 0)</f>
        <v>0</v>
      </c>
      <c r="Z576">
        <f>IF(Source!BI215=4,H576, 0)</f>
        <v>0</v>
      </c>
    </row>
    <row r="577" spans="1:26" ht="28.5" x14ac:dyDescent="0.2">
      <c r="A577" s="45" t="str">
        <f>Source!E216</f>
        <v>55,3</v>
      </c>
      <c r="B577" s="46" t="str">
        <f>Source!F216</f>
        <v>62.1.01.09-0049</v>
      </c>
      <c r="C577" s="46" t="str">
        <f>Source!G216</f>
        <v>Выключатели автоматические «АВВ" 1Р 10А прим.</v>
      </c>
      <c r="D577" s="29" t="str">
        <f>Source!H216</f>
        <v>шт.</v>
      </c>
      <c r="E577" s="11">
        <f>Source!I216</f>
        <v>3</v>
      </c>
      <c r="F577" s="30">
        <f>Source!AL216+Source!AM216+Source!AO216</f>
        <v>73.63</v>
      </c>
      <c r="G577" s="44" t="s">
        <v>6</v>
      </c>
      <c r="H577" s="30">
        <f>ROUND(Source!AC216*Source!I216, 2)+ROUND(Source!AD216*Source!I216, 2)+ROUND(Source!AF216*Source!I216, 2)</f>
        <v>220.89</v>
      </c>
      <c r="I577" s="31"/>
      <c r="J577" s="31">
        <f>IF(Source!BC216&lt;&gt; 0, Source!BC216, 1)</f>
        <v>6.71</v>
      </c>
      <c r="K577" s="30">
        <f>Source!O216</f>
        <v>1482.17</v>
      </c>
      <c r="L577" s="32"/>
      <c r="S577">
        <f>ROUND((Source!FX216/100)*((ROUND(Source!AF216*Source!I216, 2)+ROUND(Source!AE216*Source!I216, 2))), 2)</f>
        <v>0</v>
      </c>
      <c r="T577">
        <f>Source!X216</f>
        <v>0</v>
      </c>
      <c r="U577">
        <f>ROUND((Source!FY216/100)*((ROUND(Source!AF216*Source!I216, 2)+ROUND(Source!AE216*Source!I216, 2))), 2)</f>
        <v>0</v>
      </c>
      <c r="V577">
        <f>Source!Y216</f>
        <v>0</v>
      </c>
      <c r="W577">
        <f>IF(Source!BI216&lt;=1,H577, 0)</f>
        <v>0</v>
      </c>
      <c r="X577">
        <f>IF(Source!BI216=2,H577, 0)</f>
        <v>220.89</v>
      </c>
      <c r="Y577">
        <f>IF(Source!BI216=3,H577, 0)</f>
        <v>0</v>
      </c>
      <c r="Z577">
        <f>IF(Source!BI216=4,H577, 0)</f>
        <v>0</v>
      </c>
    </row>
    <row r="578" spans="1:26" ht="28.5" x14ac:dyDescent="0.2">
      <c r="A578" s="45" t="str">
        <f>Source!E217</f>
        <v>55,4</v>
      </c>
      <c r="B578" s="46" t="str">
        <f>Source!F217</f>
        <v>62.1.01.09-0065</v>
      </c>
      <c r="C578" s="46" t="str">
        <f>Source!G217</f>
        <v>Выключатели автоматические «АВВ" 3Р 10А прим.</v>
      </c>
      <c r="D578" s="29" t="str">
        <f>Source!H217</f>
        <v>шт.</v>
      </c>
      <c r="E578" s="11">
        <f>Source!I217</f>
        <v>4</v>
      </c>
      <c r="F578" s="30">
        <f>Source!AL217+Source!AM217+Source!AO217</f>
        <v>231.3</v>
      </c>
      <c r="G578" s="44" t="s">
        <v>6</v>
      </c>
      <c r="H578" s="30">
        <f>ROUND(Source!AC217*Source!I217, 2)+ROUND(Source!AD217*Source!I217, 2)+ROUND(Source!AF217*Source!I217, 2)</f>
        <v>925.2</v>
      </c>
      <c r="I578" s="31"/>
      <c r="J578" s="31">
        <f>IF(Source!BC217&lt;&gt; 0, Source!BC217, 1)</f>
        <v>6.71</v>
      </c>
      <c r="K578" s="30">
        <f>Source!O217</f>
        <v>6208.09</v>
      </c>
      <c r="L578" s="32"/>
      <c r="S578">
        <f>ROUND((Source!FX217/100)*((ROUND(Source!AF217*Source!I217, 2)+ROUND(Source!AE217*Source!I217, 2))), 2)</f>
        <v>0</v>
      </c>
      <c r="T578">
        <f>Source!X217</f>
        <v>0</v>
      </c>
      <c r="U578">
        <f>ROUND((Source!FY217/100)*((ROUND(Source!AF217*Source!I217, 2)+ROUND(Source!AE217*Source!I217, 2))), 2)</f>
        <v>0</v>
      </c>
      <c r="V578">
        <f>Source!Y217</f>
        <v>0</v>
      </c>
      <c r="W578">
        <f>IF(Source!BI217&lt;=1,H578, 0)</f>
        <v>0</v>
      </c>
      <c r="X578">
        <f>IF(Source!BI217=2,H578, 0)</f>
        <v>925.2</v>
      </c>
      <c r="Y578">
        <f>IF(Source!BI217=3,H578, 0)</f>
        <v>0</v>
      </c>
      <c r="Z578">
        <f>IF(Source!BI217=4,H578, 0)</f>
        <v>0</v>
      </c>
    </row>
    <row r="579" spans="1:26" ht="28.5" x14ac:dyDescent="0.2">
      <c r="A579" s="45" t="str">
        <f>Source!E218</f>
        <v>55,5</v>
      </c>
      <c r="B579" s="46" t="str">
        <f>Source!F218</f>
        <v>62.1.01.09-0067</v>
      </c>
      <c r="C579" s="46" t="str">
        <f>Source!G218</f>
        <v>Выключатели автоматические  АВВ 3Р 20А прим.</v>
      </c>
      <c r="D579" s="29" t="str">
        <f>Source!H218</f>
        <v>шт.</v>
      </c>
      <c r="E579" s="11">
        <f>Source!I218</f>
        <v>3</v>
      </c>
      <c r="F579" s="30">
        <f>Source!AL218+Source!AM218+Source!AO218</f>
        <v>302.16000000000003</v>
      </c>
      <c r="G579" s="44" t="s">
        <v>6</v>
      </c>
      <c r="H579" s="30">
        <f>ROUND(Source!AC218*Source!I218, 2)+ROUND(Source!AD218*Source!I218, 2)+ROUND(Source!AF218*Source!I218, 2)</f>
        <v>906.48</v>
      </c>
      <c r="I579" s="31"/>
      <c r="J579" s="31">
        <f>IF(Source!BC218&lt;&gt; 0, Source!BC218, 1)</f>
        <v>6.71</v>
      </c>
      <c r="K579" s="30">
        <f>Source!O218</f>
        <v>6082.48</v>
      </c>
      <c r="L579" s="32"/>
      <c r="S579">
        <f>ROUND((Source!FX218/100)*((ROUND(Source!AF218*Source!I218, 2)+ROUND(Source!AE218*Source!I218, 2))), 2)</f>
        <v>0</v>
      </c>
      <c r="T579">
        <f>Source!X218</f>
        <v>0</v>
      </c>
      <c r="U579">
        <f>ROUND((Source!FY218/100)*((ROUND(Source!AF218*Source!I218, 2)+ROUND(Source!AE218*Source!I218, 2))), 2)</f>
        <v>0</v>
      </c>
      <c r="V579">
        <f>Source!Y218</f>
        <v>0</v>
      </c>
      <c r="W579">
        <f>IF(Source!BI218&lt;=1,H579, 0)</f>
        <v>0</v>
      </c>
      <c r="X579">
        <f>IF(Source!BI218=2,H579, 0)</f>
        <v>906.48</v>
      </c>
      <c r="Y579">
        <f>IF(Source!BI218=3,H579, 0)</f>
        <v>0</v>
      </c>
      <c r="Z579">
        <f>IF(Source!BI218=4,H579, 0)</f>
        <v>0</v>
      </c>
    </row>
    <row r="580" spans="1:26" ht="28.5" x14ac:dyDescent="0.2">
      <c r="A580" s="45" t="str">
        <f>Source!E219</f>
        <v>55,6</v>
      </c>
      <c r="B580" s="46" t="str">
        <f>Source!F219</f>
        <v>62.1.01.09-0051</v>
      </c>
      <c r="C580" s="46" t="str">
        <f>Source!G219</f>
        <v>Выключатели автоматические «АВВ" 1Р 20А прим.</v>
      </c>
      <c r="D580" s="29" t="str">
        <f>Source!H219</f>
        <v>шт.</v>
      </c>
      <c r="E580" s="11">
        <f>Source!I219</f>
        <v>4</v>
      </c>
      <c r="F580" s="30">
        <f>Source!AL219+Source!AM219+Source!AO219</f>
        <v>73.290000000000006</v>
      </c>
      <c r="G580" s="44" t="s">
        <v>6</v>
      </c>
      <c r="H580" s="30">
        <f>ROUND(Source!AC219*Source!I219, 2)+ROUND(Source!AD219*Source!I219, 2)+ROUND(Source!AF219*Source!I219, 2)</f>
        <v>293.16000000000003</v>
      </c>
      <c r="I580" s="31"/>
      <c r="J580" s="31">
        <f>IF(Source!BC219&lt;&gt; 0, Source!BC219, 1)</f>
        <v>6.71</v>
      </c>
      <c r="K580" s="30">
        <f>Source!O219</f>
        <v>1967.1</v>
      </c>
      <c r="L580" s="32"/>
      <c r="S580">
        <f>ROUND((Source!FX219/100)*((ROUND(Source!AF219*Source!I219, 2)+ROUND(Source!AE219*Source!I219, 2))), 2)</f>
        <v>0</v>
      </c>
      <c r="T580">
        <f>Source!X219</f>
        <v>0</v>
      </c>
      <c r="U580">
        <f>ROUND((Source!FY219/100)*((ROUND(Source!AF219*Source!I219, 2)+ROUND(Source!AE219*Source!I219, 2))), 2)</f>
        <v>0</v>
      </c>
      <c r="V580">
        <f>Source!Y219</f>
        <v>0</v>
      </c>
      <c r="W580">
        <f>IF(Source!BI219&lt;=1,H580, 0)</f>
        <v>0</v>
      </c>
      <c r="X580">
        <f>IF(Source!BI219=2,H580, 0)</f>
        <v>293.16000000000003</v>
      </c>
      <c r="Y580">
        <f>IF(Source!BI219=3,H580, 0)</f>
        <v>0</v>
      </c>
      <c r="Z580">
        <f>IF(Source!BI219=4,H580, 0)</f>
        <v>0</v>
      </c>
    </row>
    <row r="581" spans="1:26" ht="28.5" x14ac:dyDescent="0.2">
      <c r="A581" s="47" t="str">
        <f>Source!E220</f>
        <v>55,7</v>
      </c>
      <c r="B581" s="48" t="str">
        <f>Source!F220</f>
        <v>62.1.01.09-0067</v>
      </c>
      <c r="C581" s="48" t="str">
        <f>Source!G220</f>
        <v>Выключатели автоматические «Legrand» серии DX-Standart 3Р 25А</v>
      </c>
      <c r="D581" s="35" t="str">
        <f>Source!H220</f>
        <v>шт.</v>
      </c>
      <c r="E581" s="36">
        <f>Source!I220</f>
        <v>4</v>
      </c>
      <c r="F581" s="37">
        <f>Source!AL220+Source!AM220+Source!AO220</f>
        <v>302.16000000000003</v>
      </c>
      <c r="G581" s="42" t="s">
        <v>6</v>
      </c>
      <c r="H581" s="37">
        <f>ROUND(Source!AC220*Source!I220, 2)+ROUND(Source!AD220*Source!I220, 2)+ROUND(Source!AF220*Source!I220, 2)</f>
        <v>1208.6400000000001</v>
      </c>
      <c r="I581" s="38"/>
      <c r="J581" s="38">
        <f>IF(Source!BC220&lt;&gt; 0, Source!BC220, 1)</f>
        <v>6.71</v>
      </c>
      <c r="K581" s="37">
        <f>Source!O220</f>
        <v>8109.97</v>
      </c>
      <c r="L581" s="43"/>
      <c r="S581">
        <f>ROUND((Source!FX220/100)*((ROUND(Source!AF220*Source!I220, 2)+ROUND(Source!AE220*Source!I220, 2))), 2)</f>
        <v>0</v>
      </c>
      <c r="T581">
        <f>Source!X220</f>
        <v>0</v>
      </c>
      <c r="U581">
        <f>ROUND((Source!FY220/100)*((ROUND(Source!AF220*Source!I220, 2)+ROUND(Source!AE220*Source!I220, 2))), 2)</f>
        <v>0</v>
      </c>
      <c r="V581">
        <f>Source!Y220</f>
        <v>0</v>
      </c>
      <c r="W581">
        <f>IF(Source!BI220&lt;=1,H581, 0)</f>
        <v>0</v>
      </c>
      <c r="X581">
        <f>IF(Source!BI220=2,H581, 0)</f>
        <v>1208.6400000000001</v>
      </c>
      <c r="Y581">
        <f>IF(Source!BI220=3,H581, 0)</f>
        <v>0</v>
      </c>
      <c r="Z581">
        <f>IF(Source!BI220=4,H581, 0)</f>
        <v>0</v>
      </c>
    </row>
    <row r="582" spans="1:26" ht="15" x14ac:dyDescent="0.25">
      <c r="G582" s="72">
        <f>H569+H570+H571+H572+H573+SUM(H575:H581)</f>
        <v>7444.5</v>
      </c>
      <c r="H582" s="72"/>
      <c r="J582" s="72">
        <f>K569+K570+K571+K572+K573+SUM(K575:K581)</f>
        <v>49952.619999999995</v>
      </c>
      <c r="K582" s="72"/>
      <c r="L582" s="40">
        <f>Source!U213</f>
        <v>60.84</v>
      </c>
      <c r="O582" s="24">
        <f>G582</f>
        <v>7444.5</v>
      </c>
      <c r="P582" s="24">
        <f>J582</f>
        <v>49952.619999999995</v>
      </c>
      <c r="Q582" s="24">
        <f>L582</f>
        <v>60.84</v>
      </c>
      <c r="W582">
        <f>IF(Source!BI213&lt;=1,H569+H570+H571+H572+H573, 0)</f>
        <v>0</v>
      </c>
      <c r="X582">
        <f>IF(Source!BI213=2,H569+H570+H571+H572+H573, 0)</f>
        <v>2329.23</v>
      </c>
      <c r="Y582">
        <f>IF(Source!BI213=3,H569+H570+H571+H572+H573, 0)</f>
        <v>0</v>
      </c>
      <c r="Z582">
        <f>IF(Source!BI213=4,H569+H570+H571+H572+H573, 0)</f>
        <v>0</v>
      </c>
    </row>
    <row r="583" spans="1:26" ht="57" x14ac:dyDescent="0.2">
      <c r="A583" s="45" t="str">
        <f>Source!E221</f>
        <v>56</v>
      </c>
      <c r="B583" s="46" t="str">
        <f>Source!F221</f>
        <v>м08-03-594-14 прим.</v>
      </c>
      <c r="C583" s="46" t="str">
        <f>Source!G221</f>
        <v>Установка светильников  в подвесных потолках, устанавливаемый на профиле, количество ламп в светильнике до 4</v>
      </c>
      <c r="D583" s="29" t="str">
        <f>Source!H221</f>
        <v>100 ШТ</v>
      </c>
      <c r="E583" s="11">
        <f>Source!I221</f>
        <v>0.55000000000000004</v>
      </c>
      <c r="F583" s="30">
        <f>Source!AL221+Source!AM221+Source!AO221</f>
        <v>3323.2299999999996</v>
      </c>
      <c r="G583" s="31"/>
      <c r="H583" s="30"/>
      <c r="I583" s="31" t="str">
        <f>Source!BO221</f>
        <v/>
      </c>
      <c r="J583" s="31"/>
      <c r="K583" s="30"/>
      <c r="L583" s="32"/>
      <c r="S583">
        <f>ROUND((Source!FX221/100)*((ROUND(Source!AF221*Source!I221, 2)+ROUND(Source!AE221*Source!I221, 2))), 2)</f>
        <v>1120.1199999999999</v>
      </c>
      <c r="T583">
        <f>Source!X221</f>
        <v>7515.97</v>
      </c>
      <c r="U583">
        <f>ROUND((Source!FY221/100)*((ROUND(Source!AF221*Source!I221, 2)+ROUND(Source!AE221*Source!I221, 2))), 2)</f>
        <v>766.4</v>
      </c>
      <c r="V583">
        <f>Source!Y221</f>
        <v>5142.51</v>
      </c>
    </row>
    <row r="584" spans="1:26" x14ac:dyDescent="0.2">
      <c r="C584" s="23" t="str">
        <f>"Объем: "&amp;Source!I221&amp;"=55/"&amp;"100"</f>
        <v>Объем: 0,55=55/100</v>
      </c>
    </row>
    <row r="585" spans="1:26" ht="14.25" x14ac:dyDescent="0.2">
      <c r="A585" s="45"/>
      <c r="B585" s="46"/>
      <c r="C585" s="46" t="s">
        <v>1167</v>
      </c>
      <c r="D585" s="29"/>
      <c r="E585" s="11"/>
      <c r="F585" s="30">
        <f>Source!AO221</f>
        <v>2118.91</v>
      </c>
      <c r="G585" s="31" t="str">
        <f>Source!DG221</f>
        <v/>
      </c>
      <c r="H585" s="30">
        <f>ROUND(Source!AF221*Source!I221, 2)</f>
        <v>1165.4000000000001</v>
      </c>
      <c r="I585" s="31"/>
      <c r="J585" s="31">
        <f>IF(Source!BA221&lt;&gt; 0, Source!BA221, 1)</f>
        <v>6.71</v>
      </c>
      <c r="K585" s="30">
        <f>Source!S221</f>
        <v>7819.84</v>
      </c>
      <c r="L585" s="32"/>
      <c r="R585">
        <f>H585</f>
        <v>1165.4000000000001</v>
      </c>
    </row>
    <row r="586" spans="1:26" ht="14.25" x14ac:dyDescent="0.2">
      <c r="A586" s="45"/>
      <c r="B586" s="46"/>
      <c r="C586" s="46" t="s">
        <v>382</v>
      </c>
      <c r="D586" s="29"/>
      <c r="E586" s="11"/>
      <c r="F586" s="30">
        <f>Source!AM221</f>
        <v>185.15</v>
      </c>
      <c r="G586" s="31" t="str">
        <f>Source!DE221</f>
        <v/>
      </c>
      <c r="H586" s="30">
        <f>ROUND(Source!AD221*Source!I221, 2)</f>
        <v>101.83</v>
      </c>
      <c r="I586" s="31"/>
      <c r="J586" s="31">
        <f>IF(Source!BB221&lt;&gt; 0, Source!BB221, 1)</f>
        <v>6.71</v>
      </c>
      <c r="K586" s="30">
        <f>Source!Q221</f>
        <v>683.3</v>
      </c>
      <c r="L586" s="32"/>
    </row>
    <row r="587" spans="1:26" ht="14.25" x14ac:dyDescent="0.2">
      <c r="A587" s="45"/>
      <c r="B587" s="46"/>
      <c r="C587" s="46" t="s">
        <v>1168</v>
      </c>
      <c r="D587" s="29"/>
      <c r="E587" s="11"/>
      <c r="F587" s="30">
        <f>Source!AN221</f>
        <v>24.85</v>
      </c>
      <c r="G587" s="31" t="str">
        <f>Source!DF221</f>
        <v/>
      </c>
      <c r="H587" s="33">
        <f>ROUND(Source!AE221*Source!I221, 2)</f>
        <v>13.67</v>
      </c>
      <c r="I587" s="31"/>
      <c r="J587" s="31">
        <f>IF(Source!BS221&lt;&gt; 0, Source!BS221, 1)</f>
        <v>6.71</v>
      </c>
      <c r="K587" s="33">
        <f>Source!R221</f>
        <v>91.71</v>
      </c>
      <c r="L587" s="32"/>
      <c r="R587">
        <f>H587</f>
        <v>13.67</v>
      </c>
    </row>
    <row r="588" spans="1:26" ht="14.25" x14ac:dyDescent="0.2">
      <c r="A588" s="45"/>
      <c r="B588" s="46"/>
      <c r="C588" s="46" t="s">
        <v>1174</v>
      </c>
      <c r="D588" s="29"/>
      <c r="E588" s="11"/>
      <c r="F588" s="30">
        <f>Source!AL221</f>
        <v>1019.17</v>
      </c>
      <c r="G588" s="31" t="str">
        <f>Source!DD221</f>
        <v/>
      </c>
      <c r="H588" s="30">
        <f>ROUND(Source!AC221*Source!I221, 2)</f>
        <v>560.54</v>
      </c>
      <c r="I588" s="31"/>
      <c r="J588" s="31">
        <f>IF(Source!BC221&lt;&gt; 0, Source!BC221, 1)</f>
        <v>6.71</v>
      </c>
      <c r="K588" s="30">
        <f>Source!P221</f>
        <v>3761.25</v>
      </c>
      <c r="L588" s="32"/>
    </row>
    <row r="589" spans="1:26" ht="14.25" x14ac:dyDescent="0.2">
      <c r="A589" s="45"/>
      <c r="B589" s="46"/>
      <c r="C589" s="46" t="s">
        <v>1169</v>
      </c>
      <c r="D589" s="29" t="s">
        <v>1170</v>
      </c>
      <c r="E589" s="11">
        <f>Source!BZ221</f>
        <v>95</v>
      </c>
      <c r="F589" s="49"/>
      <c r="G589" s="31"/>
      <c r="H589" s="30">
        <f>SUM(S583:S592)</f>
        <v>1120.1199999999999</v>
      </c>
      <c r="I589" s="34"/>
      <c r="J589" s="27">
        <f>Source!AT221</f>
        <v>95</v>
      </c>
      <c r="K589" s="30">
        <f>SUM(T583:T592)</f>
        <v>7515.97</v>
      </c>
      <c r="L589" s="32"/>
    </row>
    <row r="590" spans="1:26" ht="14.25" x14ac:dyDescent="0.2">
      <c r="A590" s="45"/>
      <c r="B590" s="46"/>
      <c r="C590" s="46" t="s">
        <v>1171</v>
      </c>
      <c r="D590" s="29" t="s">
        <v>1170</v>
      </c>
      <c r="E590" s="11">
        <f>Source!CA221</f>
        <v>65</v>
      </c>
      <c r="F590" s="49"/>
      <c r="G590" s="31"/>
      <c r="H590" s="30">
        <f>SUM(U583:U592)</f>
        <v>766.4</v>
      </c>
      <c r="I590" s="34"/>
      <c r="J590" s="27">
        <f>Source!AU221</f>
        <v>65</v>
      </c>
      <c r="K590" s="30">
        <f>SUM(V583:V592)</f>
        <v>5142.51</v>
      </c>
      <c r="L590" s="32"/>
    </row>
    <row r="591" spans="1:26" ht="14.25" x14ac:dyDescent="0.2">
      <c r="A591" s="45"/>
      <c r="B591" s="46"/>
      <c r="C591" s="46" t="s">
        <v>1172</v>
      </c>
      <c r="D591" s="29" t="s">
        <v>1173</v>
      </c>
      <c r="E591" s="11">
        <f>Source!AQ221</f>
        <v>213.6</v>
      </c>
      <c r="F591" s="30"/>
      <c r="G591" s="31" t="str">
        <f>Source!DI221</f>
        <v/>
      </c>
      <c r="H591" s="30"/>
      <c r="I591" s="31"/>
      <c r="J591" s="31"/>
      <c r="K591" s="30"/>
      <c r="L591" s="41">
        <f>Source!U221</f>
        <v>117.48</v>
      </c>
    </row>
    <row r="592" spans="1:26" ht="71.25" x14ac:dyDescent="0.2">
      <c r="A592" s="47" t="str">
        <f>Source!E222</f>
        <v>56,1</v>
      </c>
      <c r="B592" s="48" t="str">
        <f>Source!F222</f>
        <v>20.3.03.07-0099</v>
      </c>
      <c r="C592" s="48" t="str">
        <f>Source!G222</f>
        <v>Светильник потолочный со светодиодными лампами  "Oskar LED"595х595х40мм,встраиваемые в подвесной потолок "Армстронг",36 Вт,3000Лм,IP40 прим.</v>
      </c>
      <c r="D592" s="35" t="str">
        <f>Source!H222</f>
        <v>шт.</v>
      </c>
      <c r="E592" s="36">
        <f>Source!I222</f>
        <v>55</v>
      </c>
      <c r="F592" s="37">
        <f>Source!AL222+Source!AM222+Source!AO222</f>
        <v>846.15</v>
      </c>
      <c r="G592" s="42" t="s">
        <v>6</v>
      </c>
      <c r="H592" s="37">
        <f>ROUND(Source!AC222*Source!I222, 2)+ROUND(Source!AD222*Source!I222, 2)+ROUND(Source!AF222*Source!I222, 2)</f>
        <v>46538.25</v>
      </c>
      <c r="I592" s="38"/>
      <c r="J592" s="38">
        <f>IF(Source!BC222&lt;&gt; 0, Source!BC222, 1)</f>
        <v>6.71</v>
      </c>
      <c r="K592" s="37">
        <f>Source!O222</f>
        <v>312271.65999999997</v>
      </c>
      <c r="L592" s="43"/>
      <c r="S592">
        <f>ROUND((Source!FX222/100)*((ROUND(Source!AF222*Source!I222, 2)+ROUND(Source!AE222*Source!I222, 2))), 2)</f>
        <v>0</v>
      </c>
      <c r="T592">
        <f>Source!X222</f>
        <v>0</v>
      </c>
      <c r="U592">
        <f>ROUND((Source!FY222/100)*((ROUND(Source!AF222*Source!I222, 2)+ROUND(Source!AE222*Source!I222, 2))), 2)</f>
        <v>0</v>
      </c>
      <c r="V592">
        <f>Source!Y222</f>
        <v>0</v>
      </c>
      <c r="W592">
        <f>IF(Source!BI222&lt;=1,H592, 0)</f>
        <v>0</v>
      </c>
      <c r="X592">
        <f>IF(Source!BI222=2,H592, 0)</f>
        <v>46538.25</v>
      </c>
      <c r="Y592">
        <f>IF(Source!BI222=3,H592, 0)</f>
        <v>0</v>
      </c>
      <c r="Z592">
        <f>IF(Source!BI222=4,H592, 0)</f>
        <v>0</v>
      </c>
    </row>
    <row r="593" spans="1:26" ht="15" x14ac:dyDescent="0.25">
      <c r="G593" s="72">
        <f>H585+H586+H588+H589+H590+SUM(H592:H592)</f>
        <v>50252.54</v>
      </c>
      <c r="H593" s="72"/>
      <c r="J593" s="72">
        <f>K585+K586+K588+K589+K590+SUM(K592:K592)</f>
        <v>337194.52999999997</v>
      </c>
      <c r="K593" s="72"/>
      <c r="L593" s="40">
        <f>Source!U221</f>
        <v>117.48</v>
      </c>
      <c r="O593" s="24">
        <f>G593</f>
        <v>50252.54</v>
      </c>
      <c r="P593" s="24">
        <f>J593</f>
        <v>337194.52999999997</v>
      </c>
      <c r="Q593" s="24">
        <f>L593</f>
        <v>117.48</v>
      </c>
      <c r="W593">
        <f>IF(Source!BI221&lt;=1,H585+H586+H588+H589+H590, 0)</f>
        <v>0</v>
      </c>
      <c r="X593">
        <f>IF(Source!BI221=2,H585+H586+H588+H589+H590, 0)</f>
        <v>3714.29</v>
      </c>
      <c r="Y593">
        <f>IF(Source!BI221=3,H585+H586+H588+H589+H590, 0)</f>
        <v>0</v>
      </c>
      <c r="Z593">
        <f>IF(Source!BI221=4,H585+H586+H588+H589+H590, 0)</f>
        <v>0</v>
      </c>
    </row>
    <row r="594" spans="1:26" ht="114" x14ac:dyDescent="0.2">
      <c r="A594" s="45" t="str">
        <f>Source!E223</f>
        <v>57</v>
      </c>
      <c r="B594" s="46" t="str">
        <f>Source!F223</f>
        <v>п01-11-028-01</v>
      </c>
      <c r="C594" s="46" t="str">
        <f>Source!G223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594" s="29" t="str">
        <f>Source!H223</f>
        <v>ШТ</v>
      </c>
      <c r="E594" s="11">
        <f>Source!I223</f>
        <v>42</v>
      </c>
      <c r="F594" s="30">
        <f>Source!AL223+Source!AM223+Source!AO223</f>
        <v>4.0999999999999996</v>
      </c>
      <c r="G594" s="31"/>
      <c r="H594" s="30"/>
      <c r="I594" s="31" t="str">
        <f>Source!BO223</f>
        <v/>
      </c>
      <c r="J594" s="31"/>
      <c r="K594" s="30"/>
      <c r="L594" s="32"/>
      <c r="S594">
        <f>ROUND((Source!FX223/100)*((ROUND(Source!AF223*Source!I223, 2)+ROUND(Source!AE223*Source!I223, 2))), 2)</f>
        <v>89.54</v>
      </c>
      <c r="T594">
        <f>Source!X223</f>
        <v>1736.26</v>
      </c>
      <c r="U594">
        <f>ROUND((Source!FY223/100)*((ROUND(Source!AF223*Source!I223, 2)+ROUND(Source!AE223*Source!I223, 2))), 2)</f>
        <v>55.1</v>
      </c>
      <c r="V594">
        <f>Source!Y223</f>
        <v>1068.47</v>
      </c>
    </row>
    <row r="595" spans="1:26" ht="14.25" x14ac:dyDescent="0.2">
      <c r="A595" s="45"/>
      <c r="B595" s="46"/>
      <c r="C595" s="46" t="s">
        <v>1167</v>
      </c>
      <c r="D595" s="29"/>
      <c r="E595" s="11"/>
      <c r="F595" s="30">
        <f>Source!AO223</f>
        <v>4.0999999999999996</v>
      </c>
      <c r="G595" s="31" t="str">
        <f>Source!DG223</f>
        <v>)*0,8</v>
      </c>
      <c r="H595" s="30">
        <f>ROUND(Source!AF223*Source!I223, 2)</f>
        <v>137.76</v>
      </c>
      <c r="I595" s="31"/>
      <c r="J595" s="31">
        <f>IF(Source!BA223&lt;&gt; 0, Source!BA223, 1)</f>
        <v>19.39</v>
      </c>
      <c r="K595" s="30">
        <f>Source!S223</f>
        <v>2671.17</v>
      </c>
      <c r="L595" s="32"/>
      <c r="R595">
        <f>H595</f>
        <v>137.76</v>
      </c>
    </row>
    <row r="596" spans="1:26" ht="14.25" x14ac:dyDescent="0.2">
      <c r="A596" s="45"/>
      <c r="B596" s="46"/>
      <c r="C596" s="46" t="s">
        <v>1169</v>
      </c>
      <c r="D596" s="29" t="s">
        <v>1170</v>
      </c>
      <c r="E596" s="11">
        <f>Source!BZ223</f>
        <v>65</v>
      </c>
      <c r="F596" s="49"/>
      <c r="G596" s="31"/>
      <c r="H596" s="30">
        <f>SUM(S594:S598)</f>
        <v>89.54</v>
      </c>
      <c r="I596" s="34"/>
      <c r="J596" s="27">
        <f>Source!AT223</f>
        <v>65</v>
      </c>
      <c r="K596" s="30">
        <f>SUM(T594:T598)</f>
        <v>1736.26</v>
      </c>
      <c r="L596" s="32"/>
    </row>
    <row r="597" spans="1:26" ht="14.25" x14ac:dyDescent="0.2">
      <c r="A597" s="45"/>
      <c r="B597" s="46"/>
      <c r="C597" s="46" t="s">
        <v>1171</v>
      </c>
      <c r="D597" s="29" t="s">
        <v>1170</v>
      </c>
      <c r="E597" s="11">
        <f>Source!CA223</f>
        <v>40</v>
      </c>
      <c r="F597" s="49"/>
      <c r="G597" s="31"/>
      <c r="H597" s="30">
        <f>SUM(U594:U598)</f>
        <v>55.1</v>
      </c>
      <c r="I597" s="34"/>
      <c r="J597" s="27">
        <f>Source!AU223</f>
        <v>40</v>
      </c>
      <c r="K597" s="30">
        <f>SUM(V594:V598)</f>
        <v>1068.47</v>
      </c>
      <c r="L597" s="32"/>
    </row>
    <row r="598" spans="1:26" ht="14.25" x14ac:dyDescent="0.2">
      <c r="A598" s="47"/>
      <c r="B598" s="48"/>
      <c r="C598" s="48" t="s">
        <v>1172</v>
      </c>
      <c r="D598" s="35" t="s">
        <v>1173</v>
      </c>
      <c r="E598" s="36">
        <f>Source!AQ223</f>
        <v>0.32</v>
      </c>
      <c r="F598" s="37"/>
      <c r="G598" s="38" t="str">
        <f>Source!DI223</f>
        <v>)*0,8</v>
      </c>
      <c r="H598" s="37"/>
      <c r="I598" s="38"/>
      <c r="J598" s="38"/>
      <c r="K598" s="37"/>
      <c r="L598" s="39">
        <f>Source!U223</f>
        <v>10.752000000000001</v>
      </c>
    </row>
    <row r="599" spans="1:26" ht="15" x14ac:dyDescent="0.25">
      <c r="G599" s="72">
        <f>H595+H596+H597</f>
        <v>282.40000000000003</v>
      </c>
      <c r="H599" s="72"/>
      <c r="J599" s="72">
        <f>K595+K596+K597</f>
        <v>5475.9000000000005</v>
      </c>
      <c r="K599" s="72"/>
      <c r="L599" s="40">
        <f>Source!U223</f>
        <v>10.752000000000001</v>
      </c>
      <c r="O599" s="24">
        <f>G599</f>
        <v>282.40000000000003</v>
      </c>
      <c r="P599" s="24">
        <f>J599</f>
        <v>5475.9000000000005</v>
      </c>
      <c r="Q599" s="24">
        <f>L599</f>
        <v>10.752000000000001</v>
      </c>
      <c r="W599">
        <f>IF(Source!BI223&lt;=1,H595+H596+H597, 0)</f>
        <v>0</v>
      </c>
      <c r="X599">
        <f>IF(Source!BI223=2,H595+H596+H597, 0)</f>
        <v>0</v>
      </c>
      <c r="Y599">
        <f>IF(Source!BI223=3,H595+H596+H597, 0)</f>
        <v>0</v>
      </c>
      <c r="Z599">
        <f>IF(Source!BI223=4,H595+H596+H597, 0)</f>
        <v>282.40000000000003</v>
      </c>
    </row>
    <row r="600" spans="1:26" ht="42.75" x14ac:dyDescent="0.2">
      <c r="A600" s="45" t="str">
        <f>Source!E224</f>
        <v>58</v>
      </c>
      <c r="B600" s="46" t="str">
        <f>Source!F224</f>
        <v>п01-11-011-01</v>
      </c>
      <c r="C600" s="46" t="str">
        <f>Source!G224</f>
        <v>Проверка наличия цепи между заземлителями и заземленными элементами</v>
      </c>
      <c r="D600" s="29" t="str">
        <f>Source!H224</f>
        <v>100 измерений</v>
      </c>
      <c r="E600" s="11">
        <f>Source!I224</f>
        <v>0.8</v>
      </c>
      <c r="F600" s="30">
        <f>Source!AL224+Source!AM224+Source!AO224</f>
        <v>165.95</v>
      </c>
      <c r="G600" s="31"/>
      <c r="H600" s="30"/>
      <c r="I600" s="31" t="str">
        <f>Source!BO224</f>
        <v/>
      </c>
      <c r="J600" s="31"/>
      <c r="K600" s="30"/>
      <c r="L600" s="32"/>
      <c r="S600">
        <f>ROUND((Source!FX224/100)*((ROUND(Source!AF224*Source!I224, 2)+ROUND(Source!AE224*Source!I224, 2))), 2)</f>
        <v>69.040000000000006</v>
      </c>
      <c r="T600">
        <f>Source!X224</f>
        <v>1338.59</v>
      </c>
      <c r="U600">
        <f>ROUND((Source!FY224/100)*((ROUND(Source!AF224*Source!I224, 2)+ROUND(Source!AE224*Source!I224, 2))), 2)</f>
        <v>42.48</v>
      </c>
      <c r="V600">
        <f>Source!Y224</f>
        <v>823.75</v>
      </c>
    </row>
    <row r="601" spans="1:26" x14ac:dyDescent="0.2">
      <c r="C601" s="23" t="str">
        <f>"Объем: "&amp;Source!I224&amp;"=80/"&amp;"100"</f>
        <v>Объем: 0,8=80/100</v>
      </c>
    </row>
    <row r="602" spans="1:26" ht="14.25" x14ac:dyDescent="0.2">
      <c r="A602" s="45"/>
      <c r="B602" s="46"/>
      <c r="C602" s="46" t="s">
        <v>1167</v>
      </c>
      <c r="D602" s="29"/>
      <c r="E602" s="11"/>
      <c r="F602" s="30">
        <f>Source!AO224</f>
        <v>165.95</v>
      </c>
      <c r="G602" s="31" t="str">
        <f>Source!DG224</f>
        <v>)*0,8</v>
      </c>
      <c r="H602" s="30">
        <f>ROUND(Source!AF224*Source!I224, 2)</f>
        <v>106.21</v>
      </c>
      <c r="I602" s="31"/>
      <c r="J602" s="31">
        <f>IF(Source!BA224&lt;&gt; 0, Source!BA224, 1)</f>
        <v>19.39</v>
      </c>
      <c r="K602" s="30">
        <f>Source!S224</f>
        <v>2059.37</v>
      </c>
      <c r="L602" s="32"/>
      <c r="R602">
        <f>H602</f>
        <v>106.21</v>
      </c>
    </row>
    <row r="603" spans="1:26" ht="14.25" x14ac:dyDescent="0.2">
      <c r="A603" s="45"/>
      <c r="B603" s="46"/>
      <c r="C603" s="46" t="s">
        <v>1169</v>
      </c>
      <c r="D603" s="29" t="s">
        <v>1170</v>
      </c>
      <c r="E603" s="11">
        <f>Source!BZ224</f>
        <v>65</v>
      </c>
      <c r="F603" s="49"/>
      <c r="G603" s="31"/>
      <c r="H603" s="30">
        <f>SUM(S600:S605)</f>
        <v>69.040000000000006</v>
      </c>
      <c r="I603" s="34"/>
      <c r="J603" s="27">
        <f>Source!AT224</f>
        <v>65</v>
      </c>
      <c r="K603" s="30">
        <f>SUM(T600:T605)</f>
        <v>1338.59</v>
      </c>
      <c r="L603" s="32"/>
    </row>
    <row r="604" spans="1:26" ht="14.25" x14ac:dyDescent="0.2">
      <c r="A604" s="45"/>
      <c r="B604" s="46"/>
      <c r="C604" s="46" t="s">
        <v>1171</v>
      </c>
      <c r="D604" s="29" t="s">
        <v>1170</v>
      </c>
      <c r="E604" s="11">
        <f>Source!CA224</f>
        <v>40</v>
      </c>
      <c r="F604" s="49"/>
      <c r="G604" s="31"/>
      <c r="H604" s="30">
        <f>SUM(U600:U605)</f>
        <v>42.48</v>
      </c>
      <c r="I604" s="34"/>
      <c r="J604" s="27">
        <f>Source!AU224</f>
        <v>40</v>
      </c>
      <c r="K604" s="30">
        <f>SUM(V600:V605)</f>
        <v>823.75</v>
      </c>
      <c r="L604" s="32"/>
    </row>
    <row r="605" spans="1:26" ht="14.25" x14ac:dyDescent="0.2">
      <c r="A605" s="47"/>
      <c r="B605" s="48"/>
      <c r="C605" s="48" t="s">
        <v>1172</v>
      </c>
      <c r="D605" s="35" t="s">
        <v>1173</v>
      </c>
      <c r="E605" s="36">
        <f>Source!AQ224</f>
        <v>12.96</v>
      </c>
      <c r="F605" s="37"/>
      <c r="G605" s="38" t="str">
        <f>Source!DI224</f>
        <v>)*0,8</v>
      </c>
      <c r="H605" s="37"/>
      <c r="I605" s="38"/>
      <c r="J605" s="38"/>
      <c r="K605" s="37"/>
      <c r="L605" s="39">
        <f>Source!U224</f>
        <v>8.2944000000000013</v>
      </c>
    </row>
    <row r="606" spans="1:26" ht="15" x14ac:dyDescent="0.25">
      <c r="G606" s="72">
        <f>H602+H603+H604</f>
        <v>217.73</v>
      </c>
      <c r="H606" s="72"/>
      <c r="J606" s="72">
        <f>K602+K603+K604</f>
        <v>4221.71</v>
      </c>
      <c r="K606" s="72"/>
      <c r="L606" s="40">
        <f>Source!U224</f>
        <v>8.2944000000000013</v>
      </c>
      <c r="O606" s="24">
        <f>G606</f>
        <v>217.73</v>
      </c>
      <c r="P606" s="24">
        <f>J606</f>
        <v>4221.71</v>
      </c>
      <c r="Q606" s="24">
        <f>L606</f>
        <v>8.2944000000000013</v>
      </c>
      <c r="W606">
        <f>IF(Source!BI224&lt;=1,H602+H603+H604, 0)</f>
        <v>0</v>
      </c>
      <c r="X606">
        <f>IF(Source!BI224=2,H602+H603+H604, 0)</f>
        <v>0</v>
      </c>
      <c r="Y606">
        <f>IF(Source!BI224=3,H602+H603+H604, 0)</f>
        <v>0</v>
      </c>
      <c r="Z606">
        <f>IF(Source!BI224=4,H602+H603+H604, 0)</f>
        <v>217.73</v>
      </c>
    </row>
    <row r="607" spans="1:26" ht="28.5" x14ac:dyDescent="0.2">
      <c r="A607" s="45" t="str">
        <f>Source!E225</f>
        <v>59</v>
      </c>
      <c r="B607" s="46" t="str">
        <f>Source!F225</f>
        <v>п01-11-013-01</v>
      </c>
      <c r="C607" s="46" t="str">
        <f>Source!G225</f>
        <v>Замер полного сопротивления цепи "фаза-нуль"</v>
      </c>
      <c r="D607" s="29" t="str">
        <f>Source!H225</f>
        <v>ШТ</v>
      </c>
      <c r="E607" s="11">
        <f>Source!I225</f>
        <v>4</v>
      </c>
      <c r="F607" s="30">
        <f>Source!AL225+Source!AM225+Source!AO225</f>
        <v>15.62</v>
      </c>
      <c r="G607" s="31"/>
      <c r="H607" s="30"/>
      <c r="I607" s="31" t="str">
        <f>Source!BO225</f>
        <v/>
      </c>
      <c r="J607" s="31"/>
      <c r="K607" s="30"/>
      <c r="L607" s="32"/>
      <c r="S607">
        <f>ROUND((Source!FX225/100)*((ROUND(Source!AF225*Source!I225, 2)+ROUND(Source!AE225*Source!I225, 2))), 2)</f>
        <v>32.5</v>
      </c>
      <c r="T607">
        <f>Source!X225</f>
        <v>630.17999999999995</v>
      </c>
      <c r="U607">
        <f>ROUND((Source!FY225/100)*((ROUND(Source!AF225*Source!I225, 2)+ROUND(Source!AE225*Source!I225, 2))), 2)</f>
        <v>20</v>
      </c>
      <c r="V607">
        <f>Source!Y225</f>
        <v>387.8</v>
      </c>
    </row>
    <row r="608" spans="1:26" ht="14.25" x14ac:dyDescent="0.2">
      <c r="A608" s="45"/>
      <c r="B608" s="46"/>
      <c r="C608" s="46" t="s">
        <v>1167</v>
      </c>
      <c r="D608" s="29"/>
      <c r="E608" s="11"/>
      <c r="F608" s="30">
        <f>Source!AO225</f>
        <v>15.62</v>
      </c>
      <c r="G608" s="31" t="str">
        <f>Source!DG225</f>
        <v>)*0,8</v>
      </c>
      <c r="H608" s="30">
        <f>ROUND(Source!AF225*Source!I225, 2)</f>
        <v>50</v>
      </c>
      <c r="I608" s="31"/>
      <c r="J608" s="31">
        <f>IF(Source!BA225&lt;&gt; 0, Source!BA225, 1)</f>
        <v>19.39</v>
      </c>
      <c r="K608" s="30">
        <f>Source!S225</f>
        <v>969.5</v>
      </c>
      <c r="L608" s="32"/>
      <c r="R608">
        <f>H608</f>
        <v>50</v>
      </c>
    </row>
    <row r="609" spans="1:26" ht="14.25" x14ac:dyDescent="0.2">
      <c r="A609" s="45"/>
      <c r="B609" s="46"/>
      <c r="C609" s="46" t="s">
        <v>1169</v>
      </c>
      <c r="D609" s="29" t="s">
        <v>1170</v>
      </c>
      <c r="E609" s="11">
        <f>Source!BZ225</f>
        <v>65</v>
      </c>
      <c r="F609" s="49"/>
      <c r="G609" s="31"/>
      <c r="H609" s="30">
        <f>SUM(S607:S611)</f>
        <v>32.5</v>
      </c>
      <c r="I609" s="34"/>
      <c r="J609" s="27">
        <f>Source!AT225</f>
        <v>65</v>
      </c>
      <c r="K609" s="30">
        <f>SUM(T607:T611)</f>
        <v>630.17999999999995</v>
      </c>
      <c r="L609" s="32"/>
    </row>
    <row r="610" spans="1:26" ht="14.25" x14ac:dyDescent="0.2">
      <c r="A610" s="45"/>
      <c r="B610" s="46"/>
      <c r="C610" s="46" t="s">
        <v>1171</v>
      </c>
      <c r="D610" s="29" t="s">
        <v>1170</v>
      </c>
      <c r="E610" s="11">
        <f>Source!CA225</f>
        <v>40</v>
      </c>
      <c r="F610" s="49"/>
      <c r="G610" s="31"/>
      <c r="H610" s="30">
        <f>SUM(U607:U611)</f>
        <v>20</v>
      </c>
      <c r="I610" s="34"/>
      <c r="J610" s="27">
        <f>Source!AU225</f>
        <v>40</v>
      </c>
      <c r="K610" s="30">
        <f>SUM(V607:V611)</f>
        <v>387.8</v>
      </c>
      <c r="L610" s="32"/>
    </row>
    <row r="611" spans="1:26" ht="14.25" x14ac:dyDescent="0.2">
      <c r="A611" s="47"/>
      <c r="B611" s="48"/>
      <c r="C611" s="48" t="s">
        <v>1172</v>
      </c>
      <c r="D611" s="35" t="s">
        <v>1173</v>
      </c>
      <c r="E611" s="36">
        <f>Source!AQ225</f>
        <v>1.22</v>
      </c>
      <c r="F611" s="37"/>
      <c r="G611" s="38" t="str">
        <f>Source!DI225</f>
        <v>)*0,8</v>
      </c>
      <c r="H611" s="37"/>
      <c r="I611" s="38"/>
      <c r="J611" s="38"/>
      <c r="K611" s="37"/>
      <c r="L611" s="39">
        <f>Source!U225</f>
        <v>3.9039999999999999</v>
      </c>
    </row>
    <row r="612" spans="1:26" ht="15" x14ac:dyDescent="0.25">
      <c r="G612" s="72">
        <f>H608+H609+H610</f>
        <v>102.5</v>
      </c>
      <c r="H612" s="72"/>
      <c r="J612" s="72">
        <f>K608+K609+K610</f>
        <v>1987.4799999999998</v>
      </c>
      <c r="K612" s="72"/>
      <c r="L612" s="40">
        <f>Source!U225</f>
        <v>3.9039999999999999</v>
      </c>
      <c r="O612" s="24">
        <f>G612</f>
        <v>102.5</v>
      </c>
      <c r="P612" s="24">
        <f>J612</f>
        <v>1987.4799999999998</v>
      </c>
      <c r="Q612" s="24">
        <f>L612</f>
        <v>3.9039999999999999</v>
      </c>
      <c r="W612">
        <f>IF(Source!BI225&lt;=1,H608+H609+H610, 0)</f>
        <v>0</v>
      </c>
      <c r="X612">
        <f>IF(Source!BI225=2,H608+H609+H610, 0)</f>
        <v>0</v>
      </c>
      <c r="Y612">
        <f>IF(Source!BI225=3,H608+H609+H610, 0)</f>
        <v>0</v>
      </c>
      <c r="Z612">
        <f>IF(Source!BI225=4,H608+H609+H610, 0)</f>
        <v>102.5</v>
      </c>
    </row>
    <row r="613" spans="1:26" ht="57" x14ac:dyDescent="0.2">
      <c r="A613" s="45" t="str">
        <f>Source!E226</f>
        <v>60</v>
      </c>
      <c r="B613" s="46" t="str">
        <f>Source!F226</f>
        <v>п01-12-021-02</v>
      </c>
      <c r="C613" s="46" t="str">
        <f>Source!G226</f>
        <v>Испытание аппарата коммутационного напряжением до 35 кВ (Автоматические выключатели до 1000 В)</v>
      </c>
      <c r="D613" s="29" t="str">
        <f>Source!H226</f>
        <v>испытание</v>
      </c>
      <c r="E613" s="11">
        <f>Source!I226</f>
        <v>39</v>
      </c>
      <c r="F613" s="30">
        <f>Source!AL226+Source!AM226+Source!AO226</f>
        <v>34.31</v>
      </c>
      <c r="G613" s="31"/>
      <c r="H613" s="30"/>
      <c r="I613" s="31" t="str">
        <f>Source!BO226</f>
        <v/>
      </c>
      <c r="J613" s="31"/>
      <c r="K613" s="30"/>
      <c r="L613" s="32"/>
      <c r="S613">
        <f>ROUND((Source!FX226/100)*((ROUND(Source!AF226*Source!I226, 2)+ROUND(Source!AE226*Source!I226, 2))), 2)</f>
        <v>695.86</v>
      </c>
      <c r="T613">
        <f>Source!X226</f>
        <v>13492.67</v>
      </c>
      <c r="U613">
        <f>ROUND((Source!FY226/100)*((ROUND(Source!AF226*Source!I226, 2)+ROUND(Source!AE226*Source!I226, 2))), 2)</f>
        <v>428.22</v>
      </c>
      <c r="V613">
        <f>Source!Y226</f>
        <v>8303.18</v>
      </c>
    </row>
    <row r="614" spans="1:26" ht="14.25" x14ac:dyDescent="0.2">
      <c r="A614" s="45"/>
      <c r="B614" s="46"/>
      <c r="C614" s="46" t="s">
        <v>1167</v>
      </c>
      <c r="D614" s="29"/>
      <c r="E614" s="11"/>
      <c r="F614" s="30">
        <f>Source!AO226</f>
        <v>34.31</v>
      </c>
      <c r="G614" s="31" t="str">
        <f>Source!DG226</f>
        <v>)*0,8</v>
      </c>
      <c r="H614" s="30">
        <f>ROUND(Source!AF226*Source!I226, 2)</f>
        <v>1070.55</v>
      </c>
      <c r="I614" s="31"/>
      <c r="J614" s="31">
        <f>IF(Source!BA226&lt;&gt; 0, Source!BA226, 1)</f>
        <v>19.39</v>
      </c>
      <c r="K614" s="30">
        <f>Source!S226</f>
        <v>20757.96</v>
      </c>
      <c r="L614" s="32"/>
      <c r="R614">
        <f>H614</f>
        <v>1070.55</v>
      </c>
    </row>
    <row r="615" spans="1:26" ht="14.25" x14ac:dyDescent="0.2">
      <c r="A615" s="45"/>
      <c r="B615" s="46"/>
      <c r="C615" s="46" t="s">
        <v>1169</v>
      </c>
      <c r="D615" s="29" t="s">
        <v>1170</v>
      </c>
      <c r="E615" s="11">
        <f>Source!BZ226</f>
        <v>65</v>
      </c>
      <c r="F615" s="49"/>
      <c r="G615" s="31"/>
      <c r="H615" s="30">
        <f>SUM(S613:S617)</f>
        <v>695.86</v>
      </c>
      <c r="I615" s="34"/>
      <c r="J615" s="27">
        <f>Source!AT226</f>
        <v>65</v>
      </c>
      <c r="K615" s="30">
        <f>SUM(T613:T617)</f>
        <v>13492.67</v>
      </c>
      <c r="L615" s="32"/>
    </row>
    <row r="616" spans="1:26" ht="14.25" x14ac:dyDescent="0.2">
      <c r="A616" s="45"/>
      <c r="B616" s="46"/>
      <c r="C616" s="46" t="s">
        <v>1171</v>
      </c>
      <c r="D616" s="29" t="s">
        <v>1170</v>
      </c>
      <c r="E616" s="11">
        <f>Source!CA226</f>
        <v>40</v>
      </c>
      <c r="F616" s="49"/>
      <c r="G616" s="31"/>
      <c r="H616" s="30">
        <f>SUM(U613:U617)</f>
        <v>428.22</v>
      </c>
      <c r="I616" s="34"/>
      <c r="J616" s="27">
        <f>Source!AU226</f>
        <v>40</v>
      </c>
      <c r="K616" s="30">
        <f>SUM(V613:V617)</f>
        <v>8303.18</v>
      </c>
      <c r="L616" s="32"/>
    </row>
    <row r="617" spans="1:26" ht="14.25" x14ac:dyDescent="0.2">
      <c r="A617" s="47"/>
      <c r="B617" s="48"/>
      <c r="C617" s="48" t="s">
        <v>1172</v>
      </c>
      <c r="D617" s="35" t="s">
        <v>1173</v>
      </c>
      <c r="E617" s="36">
        <f>Source!AQ226</f>
        <v>2.83</v>
      </c>
      <c r="F617" s="37"/>
      <c r="G617" s="38" t="str">
        <f>Source!DI226</f>
        <v>)*0,8</v>
      </c>
      <c r="H617" s="37"/>
      <c r="I617" s="38"/>
      <c r="J617" s="38"/>
      <c r="K617" s="37"/>
      <c r="L617" s="39">
        <f>Source!U226</f>
        <v>88.296000000000006</v>
      </c>
    </row>
    <row r="618" spans="1:26" ht="15" x14ac:dyDescent="0.25">
      <c r="G618" s="72">
        <f>H614+H615+H616</f>
        <v>2194.63</v>
      </c>
      <c r="H618" s="72"/>
      <c r="J618" s="72">
        <f>K614+K615+K616</f>
        <v>42553.81</v>
      </c>
      <c r="K618" s="72"/>
      <c r="L618" s="40">
        <f>Source!U226</f>
        <v>88.296000000000006</v>
      </c>
      <c r="O618" s="24">
        <f>G618</f>
        <v>2194.63</v>
      </c>
      <c r="P618" s="24">
        <f>J618</f>
        <v>42553.81</v>
      </c>
      <c r="Q618" s="24">
        <f>L618</f>
        <v>88.296000000000006</v>
      </c>
      <c r="W618">
        <f>IF(Source!BI226&lt;=1,H614+H615+H616, 0)</f>
        <v>0</v>
      </c>
      <c r="X618">
        <f>IF(Source!BI226=2,H614+H615+H616, 0)</f>
        <v>0</v>
      </c>
      <c r="Y618">
        <f>IF(Source!BI226=3,H614+H615+H616, 0)</f>
        <v>0</v>
      </c>
      <c r="Z618">
        <f>IF(Source!BI226=4,H614+H615+H616, 0)</f>
        <v>2194.63</v>
      </c>
    </row>
    <row r="620" spans="1:26" ht="15" x14ac:dyDescent="0.25">
      <c r="A620" s="70" t="str">
        <f>CONCATENATE("Итого по разделу: ",IF(Source!G228&lt;&gt;"Новый раздел", Source!G228, ""))</f>
        <v>Итого по разделу: 3 Электромонтажные работы</v>
      </c>
      <c r="B620" s="70"/>
      <c r="C620" s="70"/>
      <c r="D620" s="70"/>
      <c r="E620" s="70"/>
      <c r="F620" s="70"/>
      <c r="G620" s="71">
        <f>SUM(O406:O619)</f>
        <v>78250.55</v>
      </c>
      <c r="H620" s="71"/>
      <c r="I620" s="26"/>
      <c r="J620" s="71">
        <f>SUM(P406:P619)</f>
        <v>560530</v>
      </c>
      <c r="K620" s="71"/>
      <c r="L620" s="40">
        <f>SUM(Q406:Q619)</f>
        <v>542.27172000000007</v>
      </c>
    </row>
    <row r="622" spans="1:26" ht="16.5" x14ac:dyDescent="0.25">
      <c r="A622" s="73" t="str">
        <f>CONCATENATE("Раздел: ",IF(Source!G260&lt;&gt;"Новый раздел", Source!G260, ""))</f>
        <v>Раздел: 4 АПС</v>
      </c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</row>
    <row r="623" spans="1:26" ht="57" x14ac:dyDescent="0.2">
      <c r="A623" s="45" t="str">
        <f>Source!E264</f>
        <v>61</v>
      </c>
      <c r="B623" s="46" t="str">
        <f>Source!F264</f>
        <v>м10-08-002-01</v>
      </c>
      <c r="C623" s="46" t="str">
        <f>Source!G264</f>
        <v>Демонтаж:Монтаж извещателя ПС автоматического теплового электро-контактный, магнитоконтактный в нормальном исполнении</v>
      </c>
      <c r="D623" s="29" t="str">
        <f>Source!H264</f>
        <v>ШТ</v>
      </c>
      <c r="E623" s="11">
        <f>Source!I264</f>
        <v>14</v>
      </c>
      <c r="F623" s="30">
        <f>Source!AL264+Source!AM264+Source!AO264</f>
        <v>9.36</v>
      </c>
      <c r="G623" s="31"/>
      <c r="H623" s="30"/>
      <c r="I623" s="31" t="str">
        <f>Source!BO264</f>
        <v/>
      </c>
      <c r="J623" s="31"/>
      <c r="K623" s="30"/>
      <c r="L623" s="32"/>
      <c r="S623">
        <f>ROUND((Source!FX264/100)*((ROUND(Source!AF264*Source!I264, 2)+ROUND(Source!AE264*Source!I264, 2))), 2)</f>
        <v>27.1</v>
      </c>
      <c r="T623">
        <f>Source!X264</f>
        <v>181.86</v>
      </c>
      <c r="U623">
        <f>ROUND((Source!FY264/100)*((ROUND(Source!AF264*Source!I264, 2)+ROUND(Source!AE264*Source!I264, 2))), 2)</f>
        <v>20.329999999999998</v>
      </c>
      <c r="V623">
        <f>Source!Y264</f>
        <v>136.4</v>
      </c>
    </row>
    <row r="624" spans="1:26" ht="14.25" x14ac:dyDescent="0.2">
      <c r="A624" s="45"/>
      <c r="B624" s="46"/>
      <c r="C624" s="46" t="s">
        <v>1167</v>
      </c>
      <c r="D624" s="29"/>
      <c r="E624" s="11"/>
      <c r="F624" s="30">
        <f>Source!AO264</f>
        <v>8.08</v>
      </c>
      <c r="G624" s="31" t="str">
        <f>Source!DG264</f>
        <v>)*0,3</v>
      </c>
      <c r="H624" s="30">
        <f>ROUND(Source!AF264*Source!I264, 2)</f>
        <v>33.880000000000003</v>
      </c>
      <c r="I624" s="31"/>
      <c r="J624" s="31">
        <f>IF(Source!BA264&lt;&gt; 0, Source!BA264, 1)</f>
        <v>6.71</v>
      </c>
      <c r="K624" s="30">
        <f>Source!S264</f>
        <v>227.33</v>
      </c>
      <c r="L624" s="32"/>
      <c r="R624">
        <f>H624</f>
        <v>33.880000000000003</v>
      </c>
    </row>
    <row r="625" spans="1:26" ht="14.25" x14ac:dyDescent="0.2">
      <c r="A625" s="45"/>
      <c r="B625" s="46"/>
      <c r="C625" s="46" t="s">
        <v>1169</v>
      </c>
      <c r="D625" s="29" t="s">
        <v>1170</v>
      </c>
      <c r="E625" s="11">
        <f>Source!BZ264</f>
        <v>80</v>
      </c>
      <c r="F625" s="49"/>
      <c r="G625" s="31"/>
      <c r="H625" s="30">
        <f>SUM(S623:S627)</f>
        <v>27.1</v>
      </c>
      <c r="I625" s="34"/>
      <c r="J625" s="27">
        <f>Source!AT264</f>
        <v>80</v>
      </c>
      <c r="K625" s="30">
        <f>SUM(T623:T627)</f>
        <v>181.86</v>
      </c>
      <c r="L625" s="32"/>
    </row>
    <row r="626" spans="1:26" ht="14.25" x14ac:dyDescent="0.2">
      <c r="A626" s="45"/>
      <c r="B626" s="46"/>
      <c r="C626" s="46" t="s">
        <v>1171</v>
      </c>
      <c r="D626" s="29" t="s">
        <v>1170</v>
      </c>
      <c r="E626" s="11">
        <f>Source!CA264</f>
        <v>60</v>
      </c>
      <c r="F626" s="49"/>
      <c r="G626" s="31"/>
      <c r="H626" s="30">
        <f>SUM(U623:U627)</f>
        <v>20.329999999999998</v>
      </c>
      <c r="I626" s="34"/>
      <c r="J626" s="27">
        <f>Source!AU264</f>
        <v>60</v>
      </c>
      <c r="K626" s="30">
        <f>SUM(V623:V627)</f>
        <v>136.4</v>
      </c>
      <c r="L626" s="32"/>
    </row>
    <row r="627" spans="1:26" ht="14.25" x14ac:dyDescent="0.2">
      <c r="A627" s="47"/>
      <c r="B627" s="48"/>
      <c r="C627" s="48" t="s">
        <v>1172</v>
      </c>
      <c r="D627" s="35" t="s">
        <v>1173</v>
      </c>
      <c r="E627" s="36">
        <f>Source!AQ264</f>
        <v>0.84</v>
      </c>
      <c r="F627" s="37"/>
      <c r="G627" s="38" t="str">
        <f>Source!DI264</f>
        <v>)*0,3</v>
      </c>
      <c r="H627" s="37"/>
      <c r="I627" s="38"/>
      <c r="J627" s="38"/>
      <c r="K627" s="37"/>
      <c r="L627" s="39">
        <f>Source!U264</f>
        <v>3.528</v>
      </c>
    </row>
    <row r="628" spans="1:26" ht="15" x14ac:dyDescent="0.25">
      <c r="G628" s="72">
        <f>H624+H625+H626</f>
        <v>81.31</v>
      </c>
      <c r="H628" s="72"/>
      <c r="J628" s="72">
        <f>K624+K625+K626</f>
        <v>545.59</v>
      </c>
      <c r="K628" s="72"/>
      <c r="L628" s="40">
        <f>Source!U264</f>
        <v>3.528</v>
      </c>
      <c r="O628" s="24">
        <f>G628</f>
        <v>81.31</v>
      </c>
      <c r="P628" s="24">
        <f>J628</f>
        <v>545.59</v>
      </c>
      <c r="Q628" s="24">
        <f>L628</f>
        <v>3.528</v>
      </c>
      <c r="W628">
        <f>IF(Source!BI264&lt;=1,H624+H625+H626, 0)</f>
        <v>0</v>
      </c>
      <c r="X628">
        <f>IF(Source!BI264=2,H624+H625+H626, 0)</f>
        <v>81.31</v>
      </c>
      <c r="Y628">
        <f>IF(Source!BI264=3,H624+H625+H626, 0)</f>
        <v>0</v>
      </c>
      <c r="Z628">
        <f>IF(Source!BI264=4,H624+H625+H626, 0)</f>
        <v>0</v>
      </c>
    </row>
    <row r="629" spans="1:26" ht="57" x14ac:dyDescent="0.2">
      <c r="A629" s="45" t="str">
        <f>Source!E265</f>
        <v>62</v>
      </c>
      <c r="B629" s="46" t="str">
        <f>Source!F265</f>
        <v>м10-08-002-01</v>
      </c>
      <c r="C629" s="46" t="str">
        <f>Source!G265</f>
        <v>Монтаж извещателя ПС автоматического теплового электро-контактный, магнитоконтактный в нормальном исполнении</v>
      </c>
      <c r="D629" s="29" t="str">
        <f>Source!H265</f>
        <v>ШТ</v>
      </c>
      <c r="E629" s="11">
        <f>Source!I265</f>
        <v>16</v>
      </c>
      <c r="F629" s="30">
        <f>Source!AL265+Source!AM265+Source!AO265</f>
        <v>9.36</v>
      </c>
      <c r="G629" s="31"/>
      <c r="H629" s="30"/>
      <c r="I629" s="31" t="str">
        <f>Source!BO265</f>
        <v/>
      </c>
      <c r="J629" s="31"/>
      <c r="K629" s="30"/>
      <c r="L629" s="32"/>
      <c r="S629">
        <f>ROUND((Source!FX265/100)*((ROUND(Source!AF265*Source!I265, 2)+ROUND(Source!AE265*Source!I265, 2))), 2)</f>
        <v>103.42</v>
      </c>
      <c r="T629">
        <f>Source!X265</f>
        <v>693.98</v>
      </c>
      <c r="U629">
        <f>ROUND((Source!FY265/100)*((ROUND(Source!AF265*Source!I265, 2)+ROUND(Source!AE265*Source!I265, 2))), 2)</f>
        <v>77.569999999999993</v>
      </c>
      <c r="V629">
        <f>Source!Y265</f>
        <v>520.48</v>
      </c>
    </row>
    <row r="630" spans="1:26" ht="14.25" x14ac:dyDescent="0.2">
      <c r="A630" s="45"/>
      <c r="B630" s="46"/>
      <c r="C630" s="46" t="s">
        <v>1167</v>
      </c>
      <c r="D630" s="29"/>
      <c r="E630" s="11"/>
      <c r="F630" s="30">
        <f>Source!AO265</f>
        <v>8.08</v>
      </c>
      <c r="G630" s="31" t="str">
        <f>Source!DG265</f>
        <v/>
      </c>
      <c r="H630" s="30">
        <f>ROUND(Source!AF265*Source!I265, 2)</f>
        <v>129.28</v>
      </c>
      <c r="I630" s="31"/>
      <c r="J630" s="31">
        <f>IF(Source!BA265&lt;&gt; 0, Source!BA265, 1)</f>
        <v>6.71</v>
      </c>
      <c r="K630" s="30">
        <f>Source!S265</f>
        <v>867.47</v>
      </c>
      <c r="L630" s="32"/>
      <c r="R630">
        <f>H630</f>
        <v>129.28</v>
      </c>
    </row>
    <row r="631" spans="1:26" ht="14.25" x14ac:dyDescent="0.2">
      <c r="A631" s="45"/>
      <c r="B631" s="46"/>
      <c r="C631" s="46" t="s">
        <v>1174</v>
      </c>
      <c r="D631" s="29"/>
      <c r="E631" s="11"/>
      <c r="F631" s="30">
        <f>Source!AL265</f>
        <v>1.28</v>
      </c>
      <c r="G631" s="31" t="str">
        <f>Source!DD265</f>
        <v/>
      </c>
      <c r="H631" s="30">
        <f>ROUND(Source!AC265*Source!I265, 2)</f>
        <v>20.48</v>
      </c>
      <c r="I631" s="31"/>
      <c r="J631" s="31">
        <f>IF(Source!BC265&lt;&gt; 0, Source!BC265, 1)</f>
        <v>6.71</v>
      </c>
      <c r="K631" s="30">
        <f>Source!P265</f>
        <v>137.41999999999999</v>
      </c>
      <c r="L631" s="32"/>
    </row>
    <row r="632" spans="1:26" ht="14.25" x14ac:dyDescent="0.2">
      <c r="A632" s="45"/>
      <c r="B632" s="46"/>
      <c r="C632" s="46" t="s">
        <v>1169</v>
      </c>
      <c r="D632" s="29" t="s">
        <v>1170</v>
      </c>
      <c r="E632" s="11">
        <f>Source!BZ265</f>
        <v>80</v>
      </c>
      <c r="F632" s="49"/>
      <c r="G632" s="31"/>
      <c r="H632" s="30">
        <f>SUM(S629:S635)</f>
        <v>103.42</v>
      </c>
      <c r="I632" s="34"/>
      <c r="J632" s="27">
        <f>Source!AT265</f>
        <v>80</v>
      </c>
      <c r="K632" s="30">
        <f>SUM(T629:T635)</f>
        <v>693.98</v>
      </c>
      <c r="L632" s="32"/>
    </row>
    <row r="633" spans="1:26" ht="14.25" x14ac:dyDescent="0.2">
      <c r="A633" s="45"/>
      <c r="B633" s="46"/>
      <c r="C633" s="46" t="s">
        <v>1171</v>
      </c>
      <c r="D633" s="29" t="s">
        <v>1170</v>
      </c>
      <c r="E633" s="11">
        <f>Source!CA265</f>
        <v>60</v>
      </c>
      <c r="F633" s="49"/>
      <c r="G633" s="31"/>
      <c r="H633" s="30">
        <f>SUM(U629:U635)</f>
        <v>77.569999999999993</v>
      </c>
      <c r="I633" s="34"/>
      <c r="J633" s="27">
        <f>Source!AU265</f>
        <v>60</v>
      </c>
      <c r="K633" s="30">
        <f>SUM(V629:V635)</f>
        <v>520.48</v>
      </c>
      <c r="L633" s="32"/>
    </row>
    <row r="634" spans="1:26" ht="14.25" x14ac:dyDescent="0.2">
      <c r="A634" s="45"/>
      <c r="B634" s="46"/>
      <c r="C634" s="46" t="s">
        <v>1172</v>
      </c>
      <c r="D634" s="29" t="s">
        <v>1173</v>
      </c>
      <c r="E634" s="11">
        <f>Source!AQ265</f>
        <v>0.84</v>
      </c>
      <c r="F634" s="30"/>
      <c r="G634" s="31" t="str">
        <f>Source!DI265</f>
        <v/>
      </c>
      <c r="H634" s="30"/>
      <c r="I634" s="31"/>
      <c r="J634" s="31"/>
      <c r="K634" s="30"/>
      <c r="L634" s="41">
        <f>Source!U265</f>
        <v>13.44</v>
      </c>
    </row>
    <row r="635" spans="1:26" ht="28.5" x14ac:dyDescent="0.2">
      <c r="A635" s="47" t="str">
        <f>Source!E266</f>
        <v>62,1</v>
      </c>
      <c r="B635" s="48" t="str">
        <f>Source!F266</f>
        <v>61.2.02.01-0072</v>
      </c>
      <c r="C635" s="48" t="str">
        <f>Source!G266</f>
        <v>Извещатель пожарный дымовой ИП 212-41М (ДИП-41М) прим.</v>
      </c>
      <c r="D635" s="35" t="str">
        <f>Source!H266</f>
        <v>10 шт.</v>
      </c>
      <c r="E635" s="36">
        <f>Source!I266</f>
        <v>1.6</v>
      </c>
      <c r="F635" s="37">
        <f>Source!AL266+Source!AM266+Source!AO266</f>
        <v>287.27999999999997</v>
      </c>
      <c r="G635" s="42" t="s">
        <v>6</v>
      </c>
      <c r="H635" s="37">
        <f>ROUND(Source!AC266*Source!I266, 2)+ROUND(Source!AD266*Source!I266, 2)+ROUND(Source!AF266*Source!I266, 2)</f>
        <v>459.65</v>
      </c>
      <c r="I635" s="38"/>
      <c r="J635" s="38">
        <f>IF(Source!BC266&lt;&gt; 0, Source!BC266, 1)</f>
        <v>6.71</v>
      </c>
      <c r="K635" s="37">
        <f>Source!O266</f>
        <v>3084.24</v>
      </c>
      <c r="L635" s="43"/>
      <c r="S635">
        <f>ROUND((Source!FX266/100)*((ROUND(Source!AF266*Source!I266, 2)+ROUND(Source!AE266*Source!I266, 2))), 2)</f>
        <v>0</v>
      </c>
      <c r="T635">
        <f>Source!X266</f>
        <v>0</v>
      </c>
      <c r="U635">
        <f>ROUND((Source!FY266/100)*((ROUND(Source!AF266*Source!I266, 2)+ROUND(Source!AE266*Source!I266, 2))), 2)</f>
        <v>0</v>
      </c>
      <c r="V635">
        <f>Source!Y266</f>
        <v>0</v>
      </c>
      <c r="W635">
        <f>IF(Source!BI266&lt;=1,H635, 0)</f>
        <v>0</v>
      </c>
      <c r="X635">
        <f>IF(Source!BI266=2,H635, 0)</f>
        <v>459.65</v>
      </c>
      <c r="Y635">
        <f>IF(Source!BI266=3,H635, 0)</f>
        <v>0</v>
      </c>
      <c r="Z635">
        <f>IF(Source!BI266=4,H635, 0)</f>
        <v>0</v>
      </c>
    </row>
    <row r="636" spans="1:26" ht="15" x14ac:dyDescent="0.25">
      <c r="G636" s="72">
        <f>H630+H631+H632+H633+SUM(H635:H635)</f>
        <v>790.4</v>
      </c>
      <c r="H636" s="72"/>
      <c r="J636" s="72">
        <f>K630+K631+K632+K633+SUM(K635:K635)</f>
        <v>5303.59</v>
      </c>
      <c r="K636" s="72"/>
      <c r="L636" s="40">
        <f>Source!U265</f>
        <v>13.44</v>
      </c>
      <c r="O636" s="24">
        <f>G636</f>
        <v>790.4</v>
      </c>
      <c r="P636" s="24">
        <f>J636</f>
        <v>5303.59</v>
      </c>
      <c r="Q636" s="24">
        <f>L636</f>
        <v>13.44</v>
      </c>
      <c r="W636">
        <f>IF(Source!BI265&lt;=1,H630+H631+H632+H633, 0)</f>
        <v>0</v>
      </c>
      <c r="X636">
        <f>IF(Source!BI265=2,H630+H631+H632+H633, 0)</f>
        <v>330.75</v>
      </c>
      <c r="Y636">
        <f>IF(Source!BI265=3,H630+H631+H632+H633, 0)</f>
        <v>0</v>
      </c>
      <c r="Z636">
        <f>IF(Source!BI265=4,H630+H631+H632+H633, 0)</f>
        <v>0</v>
      </c>
    </row>
    <row r="637" spans="1:26" ht="42.75" x14ac:dyDescent="0.2">
      <c r="A637" s="45" t="str">
        <f>Source!E267</f>
        <v>63</v>
      </c>
      <c r="B637" s="46" t="str">
        <f>Source!F267</f>
        <v>м10-08-001-03</v>
      </c>
      <c r="C637" s="46" t="str">
        <f>Source!G267</f>
        <v>Приборы ПС приемно-контрольные, пусковые, концентратор блок линейный</v>
      </c>
      <c r="D637" s="29" t="str">
        <f>Source!H267</f>
        <v>10 лучей</v>
      </c>
      <c r="E637" s="11">
        <f>Source!I267</f>
        <v>0.8</v>
      </c>
      <c r="F637" s="30">
        <f>Source!AL267+Source!AM267+Source!AO267</f>
        <v>66.180000000000007</v>
      </c>
      <c r="G637" s="31"/>
      <c r="H637" s="30"/>
      <c r="I637" s="31" t="str">
        <f>Source!BO267</f>
        <v/>
      </c>
      <c r="J637" s="31"/>
      <c r="K637" s="30"/>
      <c r="L637" s="32"/>
      <c r="S637">
        <f>ROUND((Source!FX267/100)*((ROUND(Source!AF267*Source!I267, 2)+ROUND(Source!AE267*Source!I267, 2))), 2)</f>
        <v>34.29</v>
      </c>
      <c r="T637">
        <f>Source!X267</f>
        <v>230.05</v>
      </c>
      <c r="U637">
        <f>ROUND((Source!FY267/100)*((ROUND(Source!AF267*Source!I267, 2)+ROUND(Source!AE267*Source!I267, 2))), 2)</f>
        <v>25.72</v>
      </c>
      <c r="V637">
        <f>Source!Y267</f>
        <v>172.54</v>
      </c>
    </row>
    <row r="638" spans="1:26" x14ac:dyDescent="0.2">
      <c r="C638" s="23" t="str">
        <f>"Объем: "&amp;Source!I267&amp;"=8/"&amp;"10"</f>
        <v>Объем: 0,8=8/10</v>
      </c>
    </row>
    <row r="639" spans="1:26" ht="14.25" x14ac:dyDescent="0.2">
      <c r="A639" s="45"/>
      <c r="B639" s="46"/>
      <c r="C639" s="46" t="s">
        <v>1167</v>
      </c>
      <c r="D639" s="29"/>
      <c r="E639" s="11"/>
      <c r="F639" s="30">
        <f>Source!AO267</f>
        <v>53.57</v>
      </c>
      <c r="G639" s="31" t="str">
        <f>Source!DG267</f>
        <v/>
      </c>
      <c r="H639" s="30">
        <f>ROUND(Source!AF267*Source!I267, 2)</f>
        <v>42.86</v>
      </c>
      <c r="I639" s="31"/>
      <c r="J639" s="31">
        <f>IF(Source!BA267&lt;&gt; 0, Source!BA267, 1)</f>
        <v>6.71</v>
      </c>
      <c r="K639" s="30">
        <f>Source!S267</f>
        <v>287.56</v>
      </c>
      <c r="L639" s="32"/>
      <c r="R639">
        <f>H639</f>
        <v>42.86</v>
      </c>
    </row>
    <row r="640" spans="1:26" ht="14.25" x14ac:dyDescent="0.2">
      <c r="A640" s="45"/>
      <c r="B640" s="46"/>
      <c r="C640" s="46" t="s">
        <v>1174</v>
      </c>
      <c r="D640" s="29"/>
      <c r="E640" s="11"/>
      <c r="F640" s="30">
        <f>Source!AL267</f>
        <v>12.61</v>
      </c>
      <c r="G640" s="31" t="str">
        <f>Source!DD267</f>
        <v/>
      </c>
      <c r="H640" s="30">
        <f>ROUND(Source!AC267*Source!I267, 2)</f>
        <v>10.09</v>
      </c>
      <c r="I640" s="31"/>
      <c r="J640" s="31">
        <f>IF(Source!BC267&lt;&gt; 0, Source!BC267, 1)</f>
        <v>6.71</v>
      </c>
      <c r="K640" s="30">
        <f>Source!P267</f>
        <v>67.69</v>
      </c>
      <c r="L640" s="32"/>
    </row>
    <row r="641" spans="1:26" ht="14.25" x14ac:dyDescent="0.2">
      <c r="A641" s="45"/>
      <c r="B641" s="46"/>
      <c r="C641" s="46" t="s">
        <v>1169</v>
      </c>
      <c r="D641" s="29" t="s">
        <v>1170</v>
      </c>
      <c r="E641" s="11">
        <f>Source!BZ267</f>
        <v>80</v>
      </c>
      <c r="F641" s="49"/>
      <c r="G641" s="31"/>
      <c r="H641" s="30">
        <f>SUM(S637:S644)</f>
        <v>34.29</v>
      </c>
      <c r="I641" s="34"/>
      <c r="J641" s="27">
        <f>Source!AT267</f>
        <v>80</v>
      </c>
      <c r="K641" s="30">
        <f>SUM(T637:T644)</f>
        <v>230.05</v>
      </c>
      <c r="L641" s="32"/>
    </row>
    <row r="642" spans="1:26" ht="14.25" x14ac:dyDescent="0.2">
      <c r="A642" s="45"/>
      <c r="B642" s="46"/>
      <c r="C642" s="46" t="s">
        <v>1171</v>
      </c>
      <c r="D642" s="29" t="s">
        <v>1170</v>
      </c>
      <c r="E642" s="11">
        <f>Source!CA267</f>
        <v>60</v>
      </c>
      <c r="F642" s="49"/>
      <c r="G642" s="31"/>
      <c r="H642" s="30">
        <f>SUM(U637:U644)</f>
        <v>25.72</v>
      </c>
      <c r="I642" s="34"/>
      <c r="J642" s="27">
        <f>Source!AU267</f>
        <v>60</v>
      </c>
      <c r="K642" s="30">
        <f>SUM(V637:V644)</f>
        <v>172.54</v>
      </c>
      <c r="L642" s="32"/>
    </row>
    <row r="643" spans="1:26" ht="14.25" x14ac:dyDescent="0.2">
      <c r="A643" s="45"/>
      <c r="B643" s="46"/>
      <c r="C643" s="46" t="s">
        <v>1172</v>
      </c>
      <c r="D643" s="29" t="s">
        <v>1173</v>
      </c>
      <c r="E643" s="11">
        <f>Source!AQ267</f>
        <v>5.4</v>
      </c>
      <c r="F643" s="30"/>
      <c r="G643" s="31" t="str">
        <f>Source!DI267</f>
        <v/>
      </c>
      <c r="H643" s="30"/>
      <c r="I643" s="31"/>
      <c r="J643" s="31"/>
      <c r="K643" s="30"/>
      <c r="L643" s="41">
        <f>Source!U267</f>
        <v>4.32</v>
      </c>
    </row>
    <row r="644" spans="1:26" ht="28.5" x14ac:dyDescent="0.2">
      <c r="A644" s="47" t="str">
        <f>Source!E268</f>
        <v>63,1</v>
      </c>
      <c r="B644" s="48" t="str">
        <f>Source!F268</f>
        <v>61.2.07.04-0051</v>
      </c>
      <c r="C644" s="48" t="str">
        <f>Source!G268</f>
        <v>Устройство контроля шлейфа УКШ-1</v>
      </c>
      <c r="D644" s="35" t="str">
        <f>Source!H268</f>
        <v>шт.</v>
      </c>
      <c r="E644" s="36">
        <f>Source!I268</f>
        <v>8</v>
      </c>
      <c r="F644" s="37">
        <f>Source!AL268+Source!AM268+Source!AO268</f>
        <v>57.92</v>
      </c>
      <c r="G644" s="42" t="s">
        <v>6</v>
      </c>
      <c r="H644" s="37">
        <f>ROUND(Source!AC268*Source!I268, 2)+ROUND(Source!AD268*Source!I268, 2)+ROUND(Source!AF268*Source!I268, 2)</f>
        <v>463.36</v>
      </c>
      <c r="I644" s="38"/>
      <c r="J644" s="38">
        <f>IF(Source!BC268&lt;&gt; 0, Source!BC268, 1)</f>
        <v>6.71</v>
      </c>
      <c r="K644" s="37">
        <f>Source!O268</f>
        <v>3109.15</v>
      </c>
      <c r="L644" s="43"/>
      <c r="S644">
        <f>ROUND((Source!FX268/100)*((ROUND(Source!AF268*Source!I268, 2)+ROUND(Source!AE268*Source!I268, 2))), 2)</f>
        <v>0</v>
      </c>
      <c r="T644">
        <f>Source!X268</f>
        <v>0</v>
      </c>
      <c r="U644">
        <f>ROUND((Source!FY268/100)*((ROUND(Source!AF268*Source!I268, 2)+ROUND(Source!AE268*Source!I268, 2))), 2)</f>
        <v>0</v>
      </c>
      <c r="V644">
        <f>Source!Y268</f>
        <v>0</v>
      </c>
      <c r="W644">
        <f>IF(Source!BI268&lt;=1,H644, 0)</f>
        <v>0</v>
      </c>
      <c r="X644">
        <f>IF(Source!BI268=2,H644, 0)</f>
        <v>463.36</v>
      </c>
      <c r="Y644">
        <f>IF(Source!BI268=3,H644, 0)</f>
        <v>0</v>
      </c>
      <c r="Z644">
        <f>IF(Source!BI268=4,H644, 0)</f>
        <v>0</v>
      </c>
    </row>
    <row r="645" spans="1:26" ht="15" x14ac:dyDescent="0.25">
      <c r="G645" s="72">
        <f>H639+H640+H641+H642+SUM(H644:H644)</f>
        <v>576.32000000000005</v>
      </c>
      <c r="H645" s="72"/>
      <c r="J645" s="72">
        <f>K639+K640+K641+K642+SUM(K644:K644)</f>
        <v>3866.99</v>
      </c>
      <c r="K645" s="72"/>
      <c r="L645" s="40">
        <f>Source!U267</f>
        <v>4.32</v>
      </c>
      <c r="O645" s="24">
        <f>G645</f>
        <v>576.32000000000005</v>
      </c>
      <c r="P645" s="24">
        <f>J645</f>
        <v>3866.99</v>
      </c>
      <c r="Q645" s="24">
        <f>L645</f>
        <v>4.32</v>
      </c>
      <c r="W645">
        <f>IF(Source!BI267&lt;=1,H639+H640+H641+H642, 0)</f>
        <v>0</v>
      </c>
      <c r="X645">
        <f>IF(Source!BI267=2,H639+H640+H641+H642, 0)</f>
        <v>112.96000000000001</v>
      </c>
      <c r="Y645">
        <f>IF(Source!BI267=3,H639+H640+H641+H642, 0)</f>
        <v>0</v>
      </c>
      <c r="Z645">
        <f>IF(Source!BI267=4,H639+H640+H641+H642, 0)</f>
        <v>0</v>
      </c>
    </row>
    <row r="646" spans="1:26" ht="28.5" x14ac:dyDescent="0.2">
      <c r="A646" s="45" t="str">
        <f>Source!E269</f>
        <v>64</v>
      </c>
      <c r="B646" s="46" t="str">
        <f>Source!F269</f>
        <v>м08-10-010-01</v>
      </c>
      <c r="C646" s="46" t="str">
        <f>Source!G269</f>
        <v>Прокладка труб гофрированных ПВХ для защиты проводов и кабелей</v>
      </c>
      <c r="D646" s="29" t="str">
        <f>Source!H269</f>
        <v>100 м</v>
      </c>
      <c r="E646" s="11">
        <f>Source!I269</f>
        <v>1.32</v>
      </c>
      <c r="F646" s="30">
        <f>Source!AL269+Source!AM269+Source!AO269</f>
        <v>156.32999999999998</v>
      </c>
      <c r="G646" s="31"/>
      <c r="H646" s="30"/>
      <c r="I646" s="31" t="str">
        <f>Source!BO269</f>
        <v/>
      </c>
      <c r="J646" s="31"/>
      <c r="K646" s="30"/>
      <c r="L646" s="32"/>
      <c r="S646">
        <f>ROUND((Source!FX269/100)*((ROUND(Source!AF269*Source!I269, 2)+ROUND(Source!AE269*Source!I269, 2))), 2)</f>
        <v>174.98</v>
      </c>
      <c r="T646">
        <f>Source!X269</f>
        <v>1174.1300000000001</v>
      </c>
      <c r="U646">
        <f>ROUND((Source!FY269/100)*((ROUND(Source!AF269*Source!I269, 2)+ROUND(Source!AE269*Source!I269, 2))), 2)</f>
        <v>119.72</v>
      </c>
      <c r="V646">
        <f>Source!Y269</f>
        <v>803.35</v>
      </c>
    </row>
    <row r="647" spans="1:26" x14ac:dyDescent="0.2">
      <c r="C647" s="23" t="str">
        <f>"Объем: "&amp;Source!I269&amp;"=132/"&amp;"100"</f>
        <v>Объем: 1,32=132/100</v>
      </c>
    </row>
    <row r="648" spans="1:26" ht="14.25" x14ac:dyDescent="0.2">
      <c r="A648" s="45"/>
      <c r="B648" s="46"/>
      <c r="C648" s="46" t="s">
        <v>1167</v>
      </c>
      <c r="D648" s="29"/>
      <c r="E648" s="11"/>
      <c r="F648" s="30">
        <f>Source!AO269</f>
        <v>139.54</v>
      </c>
      <c r="G648" s="31" t="str">
        <f>Source!DG269</f>
        <v/>
      </c>
      <c r="H648" s="30">
        <f>ROUND(Source!AF269*Source!I269, 2)</f>
        <v>184.19</v>
      </c>
      <c r="I648" s="31"/>
      <c r="J648" s="31">
        <f>IF(Source!BA269&lt;&gt; 0, Source!BA269, 1)</f>
        <v>6.71</v>
      </c>
      <c r="K648" s="30">
        <f>Source!S269</f>
        <v>1235.93</v>
      </c>
      <c r="L648" s="32"/>
      <c r="R648">
        <f>H648</f>
        <v>184.19</v>
      </c>
    </row>
    <row r="649" spans="1:26" ht="14.25" x14ac:dyDescent="0.2">
      <c r="A649" s="45"/>
      <c r="B649" s="46"/>
      <c r="C649" s="46" t="s">
        <v>1174</v>
      </c>
      <c r="D649" s="29"/>
      <c r="E649" s="11"/>
      <c r="F649" s="30">
        <f>Source!AL269</f>
        <v>16.79</v>
      </c>
      <c r="G649" s="31" t="str">
        <f>Source!DD269</f>
        <v/>
      </c>
      <c r="H649" s="30">
        <f>ROUND(Source!AC269*Source!I269, 2)</f>
        <v>22.16</v>
      </c>
      <c r="I649" s="31"/>
      <c r="J649" s="31">
        <f>IF(Source!BC269&lt;&gt; 0, Source!BC269, 1)</f>
        <v>6.71</v>
      </c>
      <c r="K649" s="30">
        <f>Source!P269</f>
        <v>148.71</v>
      </c>
      <c r="L649" s="32"/>
    </row>
    <row r="650" spans="1:26" ht="14.25" x14ac:dyDescent="0.2">
      <c r="A650" s="45"/>
      <c r="B650" s="46"/>
      <c r="C650" s="46" t="s">
        <v>1169</v>
      </c>
      <c r="D650" s="29" t="s">
        <v>1170</v>
      </c>
      <c r="E650" s="11">
        <f>Source!BZ269</f>
        <v>95</v>
      </c>
      <c r="F650" s="49"/>
      <c r="G650" s="31"/>
      <c r="H650" s="30">
        <f>SUM(S646:S653)</f>
        <v>174.98</v>
      </c>
      <c r="I650" s="34"/>
      <c r="J650" s="27">
        <f>Source!AT269</f>
        <v>95</v>
      </c>
      <c r="K650" s="30">
        <f>SUM(T646:T653)</f>
        <v>1174.1300000000001</v>
      </c>
      <c r="L650" s="32"/>
    </row>
    <row r="651" spans="1:26" ht="14.25" x14ac:dyDescent="0.2">
      <c r="A651" s="45"/>
      <c r="B651" s="46"/>
      <c r="C651" s="46" t="s">
        <v>1171</v>
      </c>
      <c r="D651" s="29" t="s">
        <v>1170</v>
      </c>
      <c r="E651" s="11">
        <f>Source!CA269</f>
        <v>65</v>
      </c>
      <c r="F651" s="49"/>
      <c r="G651" s="31"/>
      <c r="H651" s="30">
        <f>SUM(U646:U653)</f>
        <v>119.72</v>
      </c>
      <c r="I651" s="34"/>
      <c r="J651" s="27">
        <f>Source!AU269</f>
        <v>65</v>
      </c>
      <c r="K651" s="30">
        <f>SUM(V646:V653)</f>
        <v>803.35</v>
      </c>
      <c r="L651" s="32"/>
    </row>
    <row r="652" spans="1:26" ht="14.25" x14ac:dyDescent="0.2">
      <c r="A652" s="45"/>
      <c r="B652" s="46"/>
      <c r="C652" s="46" t="s">
        <v>1172</v>
      </c>
      <c r="D652" s="29" t="s">
        <v>1173</v>
      </c>
      <c r="E652" s="11">
        <f>Source!AQ269</f>
        <v>15.2</v>
      </c>
      <c r="F652" s="30"/>
      <c r="G652" s="31" t="str">
        <f>Source!DI269</f>
        <v/>
      </c>
      <c r="H652" s="30"/>
      <c r="I652" s="31"/>
      <c r="J652" s="31"/>
      <c r="K652" s="30"/>
      <c r="L652" s="41">
        <f>Source!U269</f>
        <v>20.064</v>
      </c>
    </row>
    <row r="653" spans="1:26" ht="42.75" x14ac:dyDescent="0.2">
      <c r="A653" s="47" t="str">
        <f>Source!E270</f>
        <v>64,1</v>
      </c>
      <c r="B653" s="48" t="str">
        <f>Source!F270</f>
        <v>24.3.03.05-0011</v>
      </c>
      <c r="C653" s="48" t="str">
        <f>Source!G270</f>
        <v>Трубы гибкие гофрированные легкие из ПНД, серии BL, с зондом, диаметром 16 мм</v>
      </c>
      <c r="D653" s="35" t="str">
        <f>Source!H270</f>
        <v>10 м</v>
      </c>
      <c r="E653" s="36">
        <f>Source!I270</f>
        <v>13.199999999999998</v>
      </c>
      <c r="F653" s="37">
        <f>Source!AL270+Source!AM270+Source!AO270</f>
        <v>24.54</v>
      </c>
      <c r="G653" s="42" t="s">
        <v>6</v>
      </c>
      <c r="H653" s="37">
        <f>ROUND(Source!AC270*Source!I270, 2)+ROUND(Source!AD270*Source!I270, 2)+ROUND(Source!AF270*Source!I270, 2)</f>
        <v>323.93</v>
      </c>
      <c r="I653" s="38"/>
      <c r="J653" s="38">
        <f>IF(Source!BC270&lt;&gt; 0, Source!BC270, 1)</f>
        <v>6.71</v>
      </c>
      <c r="K653" s="37">
        <f>Source!O270</f>
        <v>2173.56</v>
      </c>
      <c r="L653" s="43"/>
      <c r="S653">
        <f>ROUND((Source!FX270/100)*((ROUND(Source!AF270*Source!I270, 2)+ROUND(Source!AE270*Source!I270, 2))), 2)</f>
        <v>0</v>
      </c>
      <c r="T653">
        <f>Source!X270</f>
        <v>0</v>
      </c>
      <c r="U653">
        <f>ROUND((Source!FY270/100)*((ROUND(Source!AF270*Source!I270, 2)+ROUND(Source!AE270*Source!I270, 2))), 2)</f>
        <v>0</v>
      </c>
      <c r="V653">
        <f>Source!Y270</f>
        <v>0</v>
      </c>
      <c r="W653">
        <f>IF(Source!BI270&lt;=1,H653, 0)</f>
        <v>0</v>
      </c>
      <c r="X653">
        <f>IF(Source!BI270=2,H653, 0)</f>
        <v>323.93</v>
      </c>
      <c r="Y653">
        <f>IF(Source!BI270=3,H653, 0)</f>
        <v>0</v>
      </c>
      <c r="Z653">
        <f>IF(Source!BI270=4,H653, 0)</f>
        <v>0</v>
      </c>
    </row>
    <row r="654" spans="1:26" ht="15" x14ac:dyDescent="0.25">
      <c r="G654" s="72">
        <f>H648+H649+H650+H651+SUM(H653:H653)</f>
        <v>824.98</v>
      </c>
      <c r="H654" s="72"/>
      <c r="J654" s="72">
        <f>K648+K649+K650+K651+SUM(K653:K653)</f>
        <v>5535.68</v>
      </c>
      <c r="K654" s="72"/>
      <c r="L654" s="40">
        <f>Source!U269</f>
        <v>20.064</v>
      </c>
      <c r="O654" s="24">
        <f>G654</f>
        <v>824.98</v>
      </c>
      <c r="P654" s="24">
        <f>J654</f>
        <v>5535.68</v>
      </c>
      <c r="Q654" s="24">
        <f>L654</f>
        <v>20.064</v>
      </c>
      <c r="W654">
        <f>IF(Source!BI269&lt;=1,H648+H649+H650+H651, 0)</f>
        <v>0</v>
      </c>
      <c r="X654">
        <f>IF(Source!BI269=2,H648+H649+H650+H651, 0)</f>
        <v>501.04999999999995</v>
      </c>
      <c r="Y654">
        <f>IF(Source!BI269=3,H648+H649+H650+H651, 0)</f>
        <v>0</v>
      </c>
      <c r="Z654">
        <f>IF(Source!BI269=4,H648+H649+H650+H651, 0)</f>
        <v>0</v>
      </c>
    </row>
    <row r="655" spans="1:26" ht="71.25" x14ac:dyDescent="0.2">
      <c r="A655" s="45" t="str">
        <f>Source!E271</f>
        <v>65</v>
      </c>
      <c r="B655" s="46" t="str">
        <f>Source!F271</f>
        <v>м08-02-412-02</v>
      </c>
      <c r="C655" s="46" t="str">
        <f>Source!G271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655" s="29" t="str">
        <f>Source!H271</f>
        <v>100 м</v>
      </c>
      <c r="E655" s="11">
        <f>Source!I271</f>
        <v>1.32</v>
      </c>
      <c r="F655" s="30">
        <f>Source!AL271+Source!AM271+Source!AO271</f>
        <v>68.7</v>
      </c>
      <c r="G655" s="31"/>
      <c r="H655" s="30"/>
      <c r="I655" s="31" t="str">
        <f>Source!BO271</f>
        <v/>
      </c>
      <c r="J655" s="31"/>
      <c r="K655" s="30"/>
      <c r="L655" s="32"/>
      <c r="S655">
        <f>ROUND((Source!FX271/100)*((ROUND(Source!AF271*Source!I271, 2)+ROUND(Source!AE271*Source!I271, 2))), 2)</f>
        <v>64.16</v>
      </c>
      <c r="T655">
        <f>Source!X271</f>
        <v>430.56</v>
      </c>
      <c r="U655">
        <f>ROUND((Source!FY271/100)*((ROUND(Source!AF271*Source!I271, 2)+ROUND(Source!AE271*Source!I271, 2))), 2)</f>
        <v>43.9</v>
      </c>
      <c r="V655">
        <f>Source!Y271</f>
        <v>294.58999999999997</v>
      </c>
    </row>
    <row r="656" spans="1:26" x14ac:dyDescent="0.2">
      <c r="C656" s="23" t="str">
        <f>"Объем: "&amp;Source!I271&amp;"=132/"&amp;"100"</f>
        <v>Объем: 1,32=132/100</v>
      </c>
    </row>
    <row r="657" spans="1:26" ht="14.25" x14ac:dyDescent="0.2">
      <c r="A657" s="45"/>
      <c r="B657" s="46"/>
      <c r="C657" s="46" t="s">
        <v>1167</v>
      </c>
      <c r="D657" s="29"/>
      <c r="E657" s="11"/>
      <c r="F657" s="30">
        <f>Source!AO271</f>
        <v>50.67</v>
      </c>
      <c r="G657" s="31" t="str">
        <f>Source!DG271</f>
        <v/>
      </c>
      <c r="H657" s="30">
        <f>ROUND(Source!AF271*Source!I271, 2)</f>
        <v>66.88</v>
      </c>
      <c r="I657" s="31"/>
      <c r="J657" s="31">
        <f>IF(Source!BA271&lt;&gt; 0, Source!BA271, 1)</f>
        <v>6.71</v>
      </c>
      <c r="K657" s="30">
        <f>Source!S271</f>
        <v>448.79</v>
      </c>
      <c r="L657" s="32"/>
      <c r="R657">
        <f>H657</f>
        <v>66.88</v>
      </c>
    </row>
    <row r="658" spans="1:26" ht="14.25" x14ac:dyDescent="0.2">
      <c r="A658" s="45"/>
      <c r="B658" s="46"/>
      <c r="C658" s="46" t="s">
        <v>382</v>
      </c>
      <c r="D658" s="29"/>
      <c r="E658" s="11"/>
      <c r="F658" s="30">
        <f>Source!AM271</f>
        <v>3.55</v>
      </c>
      <c r="G658" s="31" t="str">
        <f>Source!DE271</f>
        <v/>
      </c>
      <c r="H658" s="30">
        <f>ROUND(Source!AD271*Source!I271, 2)</f>
        <v>4.6900000000000004</v>
      </c>
      <c r="I658" s="31"/>
      <c r="J658" s="31">
        <f>IF(Source!BB271&lt;&gt; 0, Source!BB271, 1)</f>
        <v>6.71</v>
      </c>
      <c r="K658" s="30">
        <f>Source!Q271</f>
        <v>31.44</v>
      </c>
      <c r="L658" s="32"/>
    </row>
    <row r="659" spans="1:26" ht="14.25" x14ac:dyDescent="0.2">
      <c r="A659" s="45"/>
      <c r="B659" s="46"/>
      <c r="C659" s="46" t="s">
        <v>1168</v>
      </c>
      <c r="D659" s="29"/>
      <c r="E659" s="11"/>
      <c r="F659" s="30">
        <f>Source!AN271</f>
        <v>0.5</v>
      </c>
      <c r="G659" s="31" t="str">
        <f>Source!DF271</f>
        <v/>
      </c>
      <c r="H659" s="33">
        <f>ROUND(Source!AE271*Source!I271, 2)</f>
        <v>0.66</v>
      </c>
      <c r="I659" s="31"/>
      <c r="J659" s="31">
        <f>IF(Source!BS271&lt;&gt; 0, Source!BS271, 1)</f>
        <v>6.71</v>
      </c>
      <c r="K659" s="33">
        <f>Source!R271</f>
        <v>4.43</v>
      </c>
      <c r="L659" s="32"/>
      <c r="R659">
        <f>H659</f>
        <v>0.66</v>
      </c>
    </row>
    <row r="660" spans="1:26" ht="14.25" x14ac:dyDescent="0.2">
      <c r="A660" s="45"/>
      <c r="B660" s="46"/>
      <c r="C660" s="46" t="s">
        <v>1174</v>
      </c>
      <c r="D660" s="29"/>
      <c r="E660" s="11"/>
      <c r="F660" s="30">
        <f>Source!AL271</f>
        <v>14.48</v>
      </c>
      <c r="G660" s="31" t="str">
        <f>Source!DD271</f>
        <v/>
      </c>
      <c r="H660" s="30">
        <f>ROUND(Source!AC271*Source!I271, 2)</f>
        <v>19.11</v>
      </c>
      <c r="I660" s="31"/>
      <c r="J660" s="31">
        <f>IF(Source!BC271&lt;&gt; 0, Source!BC271, 1)</f>
        <v>6.71</v>
      </c>
      <c r="K660" s="30">
        <f>Source!P271</f>
        <v>128.25</v>
      </c>
      <c r="L660" s="32"/>
    </row>
    <row r="661" spans="1:26" ht="14.25" x14ac:dyDescent="0.2">
      <c r="A661" s="45"/>
      <c r="B661" s="46"/>
      <c r="C661" s="46" t="s">
        <v>1169</v>
      </c>
      <c r="D661" s="29" t="s">
        <v>1170</v>
      </c>
      <c r="E661" s="11">
        <f>Source!BZ271</f>
        <v>95</v>
      </c>
      <c r="F661" s="49"/>
      <c r="G661" s="31"/>
      <c r="H661" s="30">
        <f>SUM(S655:S664)</f>
        <v>64.16</v>
      </c>
      <c r="I661" s="34"/>
      <c r="J661" s="27">
        <f>Source!AT271</f>
        <v>95</v>
      </c>
      <c r="K661" s="30">
        <f>SUM(T655:T664)</f>
        <v>430.56</v>
      </c>
      <c r="L661" s="32"/>
    </row>
    <row r="662" spans="1:26" ht="14.25" x14ac:dyDescent="0.2">
      <c r="A662" s="45"/>
      <c r="B662" s="46"/>
      <c r="C662" s="46" t="s">
        <v>1171</v>
      </c>
      <c r="D662" s="29" t="s">
        <v>1170</v>
      </c>
      <c r="E662" s="11">
        <f>Source!CA271</f>
        <v>65</v>
      </c>
      <c r="F662" s="49"/>
      <c r="G662" s="31"/>
      <c r="H662" s="30">
        <f>SUM(U655:U664)</f>
        <v>43.9</v>
      </c>
      <c r="I662" s="34"/>
      <c r="J662" s="27">
        <f>Source!AU271</f>
        <v>65</v>
      </c>
      <c r="K662" s="30">
        <f>SUM(V655:V664)</f>
        <v>294.58999999999997</v>
      </c>
      <c r="L662" s="32"/>
    </row>
    <row r="663" spans="1:26" ht="14.25" x14ac:dyDescent="0.2">
      <c r="A663" s="45"/>
      <c r="B663" s="46"/>
      <c r="C663" s="46" t="s">
        <v>1172</v>
      </c>
      <c r="D663" s="29" t="s">
        <v>1173</v>
      </c>
      <c r="E663" s="11">
        <f>Source!AQ271</f>
        <v>5.39</v>
      </c>
      <c r="F663" s="30"/>
      <c r="G663" s="31" t="str">
        <f>Source!DI271</f>
        <v/>
      </c>
      <c r="H663" s="30"/>
      <c r="I663" s="31"/>
      <c r="J663" s="31"/>
      <c r="K663" s="30"/>
      <c r="L663" s="41">
        <f>Source!U271</f>
        <v>7.1147999999999998</v>
      </c>
    </row>
    <row r="664" spans="1:26" ht="128.25" x14ac:dyDescent="0.2">
      <c r="A664" s="47" t="str">
        <f>Source!E272</f>
        <v>65,1</v>
      </c>
      <c r="B664" s="48" t="str">
        <f>Source!F272</f>
        <v>21.1.08.01-0151</v>
      </c>
      <c r="C664" s="48" t="str">
        <f>Source!G272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664" s="35" t="str">
        <f>Source!H272</f>
        <v>1000 м</v>
      </c>
      <c r="E664" s="36">
        <f>Source!I272</f>
        <v>0.13200000000000001</v>
      </c>
      <c r="F664" s="37">
        <f>Source!AL272+Source!AM272+Source!AO272</f>
        <v>4284.0200000000004</v>
      </c>
      <c r="G664" s="42" t="s">
        <v>6</v>
      </c>
      <c r="H664" s="37">
        <f>ROUND(Source!AC272*Source!I272, 2)+ROUND(Source!AD272*Source!I272, 2)+ROUND(Source!AF272*Source!I272, 2)</f>
        <v>565.49</v>
      </c>
      <c r="I664" s="38"/>
      <c r="J664" s="38">
        <f>IF(Source!BC272&lt;&gt; 0, Source!BC272, 1)</f>
        <v>6.71</v>
      </c>
      <c r="K664" s="37">
        <f>Source!O272</f>
        <v>3794.44</v>
      </c>
      <c r="L664" s="43"/>
      <c r="S664">
        <f>ROUND((Source!FX272/100)*((ROUND(Source!AF272*Source!I272, 2)+ROUND(Source!AE272*Source!I272, 2))), 2)</f>
        <v>0</v>
      </c>
      <c r="T664">
        <f>Source!X272</f>
        <v>0</v>
      </c>
      <c r="U664">
        <f>ROUND((Source!FY272/100)*((ROUND(Source!AF272*Source!I272, 2)+ROUND(Source!AE272*Source!I272, 2))), 2)</f>
        <v>0</v>
      </c>
      <c r="V664">
        <f>Source!Y272</f>
        <v>0</v>
      </c>
      <c r="W664">
        <f>IF(Source!BI272&lt;=1,H664, 0)</f>
        <v>0</v>
      </c>
      <c r="X664">
        <f>IF(Source!BI272=2,H664, 0)</f>
        <v>565.49</v>
      </c>
      <c r="Y664">
        <f>IF(Source!BI272=3,H664, 0)</f>
        <v>0</v>
      </c>
      <c r="Z664">
        <f>IF(Source!BI272=4,H664, 0)</f>
        <v>0</v>
      </c>
    </row>
    <row r="665" spans="1:26" ht="15" x14ac:dyDescent="0.25">
      <c r="G665" s="72">
        <f>H657+H658+H660+H661+H662+SUM(H664:H664)</f>
        <v>764.23</v>
      </c>
      <c r="H665" s="72"/>
      <c r="J665" s="72">
        <f>K657+K658+K660+K661+K662+SUM(K664:K664)</f>
        <v>5128.07</v>
      </c>
      <c r="K665" s="72"/>
      <c r="L665" s="40">
        <f>Source!U271</f>
        <v>7.1147999999999998</v>
      </c>
      <c r="O665" s="24">
        <f>G665</f>
        <v>764.23</v>
      </c>
      <c r="P665" s="24">
        <f>J665</f>
        <v>5128.07</v>
      </c>
      <c r="Q665" s="24">
        <f>L665</f>
        <v>7.1147999999999998</v>
      </c>
      <c r="W665">
        <f>IF(Source!BI271&lt;=1,H657+H658+H660+H661+H662, 0)</f>
        <v>0</v>
      </c>
      <c r="X665">
        <f>IF(Source!BI271=2,H657+H658+H660+H661+H662, 0)</f>
        <v>198.73999999999998</v>
      </c>
      <c r="Y665">
        <f>IF(Source!BI271=3,H657+H658+H660+H661+H662, 0)</f>
        <v>0</v>
      </c>
      <c r="Z665">
        <f>IF(Source!BI271=4,H657+H658+H660+H661+H662, 0)</f>
        <v>0</v>
      </c>
    </row>
    <row r="666" spans="1:26" ht="28.5" x14ac:dyDescent="0.2">
      <c r="A666" s="45" t="str">
        <f>Source!E273</f>
        <v>66</v>
      </c>
      <c r="B666" s="46" t="str">
        <f>Source!F273</f>
        <v>м10-02-054-06</v>
      </c>
      <c r="C666" s="46" t="str">
        <f>Source!G273</f>
        <v>Электрическая проверка и настройка оборудования</v>
      </c>
      <c r="D666" s="29" t="str">
        <f>Source!H273</f>
        <v>КОМПЛ</v>
      </c>
      <c r="E666" s="11">
        <f>Source!I273</f>
        <v>1</v>
      </c>
      <c r="F666" s="30">
        <f>Source!AL273+Source!AM273+Source!AO273</f>
        <v>4.53</v>
      </c>
      <c r="G666" s="31"/>
      <c r="H666" s="30"/>
      <c r="I666" s="31" t="str">
        <f>Source!BO273</f>
        <v/>
      </c>
      <c r="J666" s="31"/>
      <c r="K666" s="30"/>
      <c r="L666" s="32"/>
      <c r="S666">
        <f>ROUND((Source!FX273/100)*((ROUND(Source!AF273*Source!I273, 2)+ROUND(Source!AE273*Source!I273, 2))), 2)</f>
        <v>3.55</v>
      </c>
      <c r="T666">
        <f>Source!X273</f>
        <v>23.83</v>
      </c>
      <c r="U666">
        <f>ROUND((Source!FY273/100)*((ROUND(Source!AF273*Source!I273, 2)+ROUND(Source!AE273*Source!I273, 2))), 2)</f>
        <v>2.66</v>
      </c>
      <c r="V666">
        <f>Source!Y273</f>
        <v>17.87</v>
      </c>
    </row>
    <row r="667" spans="1:26" ht="14.25" x14ac:dyDescent="0.2">
      <c r="A667" s="45"/>
      <c r="B667" s="46"/>
      <c r="C667" s="46" t="s">
        <v>1167</v>
      </c>
      <c r="D667" s="29"/>
      <c r="E667" s="11"/>
      <c r="F667" s="30">
        <f>Source!AO273</f>
        <v>4.4400000000000004</v>
      </c>
      <c r="G667" s="31" t="str">
        <f>Source!DG273</f>
        <v/>
      </c>
      <c r="H667" s="30">
        <f>ROUND(Source!AF273*Source!I273, 2)</f>
        <v>4.4400000000000004</v>
      </c>
      <c r="I667" s="31"/>
      <c r="J667" s="31">
        <f>IF(Source!BA273&lt;&gt; 0, Source!BA273, 1)</f>
        <v>6.71</v>
      </c>
      <c r="K667" s="30">
        <f>Source!S273</f>
        <v>29.79</v>
      </c>
      <c r="L667" s="32"/>
      <c r="R667">
        <f>H667</f>
        <v>4.4400000000000004</v>
      </c>
    </row>
    <row r="668" spans="1:26" ht="14.25" x14ac:dyDescent="0.2">
      <c r="A668" s="45"/>
      <c r="B668" s="46"/>
      <c r="C668" s="46" t="s">
        <v>1174</v>
      </c>
      <c r="D668" s="29"/>
      <c r="E668" s="11"/>
      <c r="F668" s="30">
        <f>Source!AL273</f>
        <v>0.09</v>
      </c>
      <c r="G668" s="31" t="str">
        <f>Source!DD273</f>
        <v/>
      </c>
      <c r="H668" s="30">
        <f>ROUND(Source!AC273*Source!I273, 2)</f>
        <v>0.09</v>
      </c>
      <c r="I668" s="31"/>
      <c r="J668" s="31">
        <f>IF(Source!BC273&lt;&gt; 0, Source!BC273, 1)</f>
        <v>6.71</v>
      </c>
      <c r="K668" s="30">
        <f>Source!P273</f>
        <v>0.6</v>
      </c>
      <c r="L668" s="32"/>
    </row>
    <row r="669" spans="1:26" ht="14.25" x14ac:dyDescent="0.2">
      <c r="A669" s="45"/>
      <c r="B669" s="46"/>
      <c r="C669" s="46" t="s">
        <v>1169</v>
      </c>
      <c r="D669" s="29" t="s">
        <v>1170</v>
      </c>
      <c r="E669" s="11">
        <f>Source!BZ273</f>
        <v>80</v>
      </c>
      <c r="F669" s="49"/>
      <c r="G669" s="31"/>
      <c r="H669" s="30">
        <f>SUM(S666:S671)</f>
        <v>3.55</v>
      </c>
      <c r="I669" s="34"/>
      <c r="J669" s="27">
        <f>Source!AT273</f>
        <v>80</v>
      </c>
      <c r="K669" s="30">
        <f>SUM(T666:T671)</f>
        <v>23.83</v>
      </c>
      <c r="L669" s="32"/>
    </row>
    <row r="670" spans="1:26" ht="14.25" x14ac:dyDescent="0.2">
      <c r="A670" s="45"/>
      <c r="B670" s="46"/>
      <c r="C670" s="46" t="s">
        <v>1171</v>
      </c>
      <c r="D670" s="29" t="s">
        <v>1170</v>
      </c>
      <c r="E670" s="11">
        <f>Source!CA273</f>
        <v>60</v>
      </c>
      <c r="F670" s="49"/>
      <c r="G670" s="31"/>
      <c r="H670" s="30">
        <f>SUM(U666:U671)</f>
        <v>2.66</v>
      </c>
      <c r="I670" s="34"/>
      <c r="J670" s="27">
        <f>Source!AU273</f>
        <v>60</v>
      </c>
      <c r="K670" s="30">
        <f>SUM(V666:V671)</f>
        <v>17.87</v>
      </c>
      <c r="L670" s="32"/>
    </row>
    <row r="671" spans="1:26" ht="14.25" x14ac:dyDescent="0.2">
      <c r="A671" s="47"/>
      <c r="B671" s="48"/>
      <c r="C671" s="48" t="s">
        <v>1172</v>
      </c>
      <c r="D671" s="35" t="s">
        <v>1173</v>
      </c>
      <c r="E671" s="36">
        <f>Source!AQ273</f>
        <v>0.4</v>
      </c>
      <c r="F671" s="37"/>
      <c r="G671" s="38" t="str">
        <f>Source!DI273</f>
        <v/>
      </c>
      <c r="H671" s="37"/>
      <c r="I671" s="38"/>
      <c r="J671" s="38"/>
      <c r="K671" s="37"/>
      <c r="L671" s="39">
        <f>Source!U273</f>
        <v>0.4</v>
      </c>
    </row>
    <row r="672" spans="1:26" ht="15" x14ac:dyDescent="0.25">
      <c r="G672" s="72">
        <f>H667+H668+H669+H670</f>
        <v>10.74</v>
      </c>
      <c r="H672" s="72"/>
      <c r="J672" s="72">
        <f>K667+K668+K669+K670</f>
        <v>72.09</v>
      </c>
      <c r="K672" s="72"/>
      <c r="L672" s="40">
        <f>Source!U273</f>
        <v>0.4</v>
      </c>
      <c r="O672" s="24">
        <f>G672</f>
        <v>10.74</v>
      </c>
      <c r="P672" s="24">
        <f>J672</f>
        <v>72.09</v>
      </c>
      <c r="Q672" s="24">
        <f>L672</f>
        <v>0.4</v>
      </c>
      <c r="W672">
        <f>IF(Source!BI273&lt;=1,H667+H668+H669+H670, 0)</f>
        <v>0</v>
      </c>
      <c r="X672">
        <f>IF(Source!BI273=2,H667+H668+H669+H670, 0)</f>
        <v>10.74</v>
      </c>
      <c r="Y672">
        <f>IF(Source!BI273=3,H667+H668+H669+H670, 0)</f>
        <v>0</v>
      </c>
      <c r="Z672">
        <f>IF(Source!BI273=4,H667+H668+H669+H670, 0)</f>
        <v>0</v>
      </c>
    </row>
    <row r="674" spans="1:26" ht="15" x14ac:dyDescent="0.25">
      <c r="A674" s="70" t="str">
        <f>CONCATENATE("Итого по разделу: ",IF(Source!G275&lt;&gt;"Новый раздел", Source!G275, ""))</f>
        <v>Итого по разделу: 4 АПС</v>
      </c>
      <c r="B674" s="70"/>
      <c r="C674" s="70"/>
      <c r="D674" s="70"/>
      <c r="E674" s="70"/>
      <c r="F674" s="70"/>
      <c r="G674" s="71">
        <f>SUM(O622:O673)</f>
        <v>3047.98</v>
      </c>
      <c r="H674" s="71"/>
      <c r="I674" s="26"/>
      <c r="J674" s="71">
        <f>SUM(P622:P673)</f>
        <v>20452.009999999998</v>
      </c>
      <c r="K674" s="71"/>
      <c r="L674" s="40">
        <f>SUM(Q622:Q673)</f>
        <v>48.866800000000005</v>
      </c>
    </row>
    <row r="678" spans="1:26" ht="16.5" x14ac:dyDescent="0.25">
      <c r="A678" s="73" t="str">
        <f>CONCATENATE("Раздел: ",IF(Source!G304&lt;&gt;"Новый раздел", Source!G304, ""))</f>
        <v>Раздел: Сети СКС</v>
      </c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</row>
    <row r="679" spans="1:26" ht="28.5" x14ac:dyDescent="0.2">
      <c r="A679" s="45" t="str">
        <f>Source!E308</f>
        <v>67</v>
      </c>
      <c r="B679" s="46" t="str">
        <f>Source!F308</f>
        <v>м08-10-010-01</v>
      </c>
      <c r="C679" s="46" t="str">
        <f>Source!G308</f>
        <v>Прокладка труб гофрированных ПВХ для защиты проводов и кабелей</v>
      </c>
      <c r="D679" s="29" t="str">
        <f>Source!H308</f>
        <v>100 м</v>
      </c>
      <c r="E679" s="11">
        <f>Source!I308</f>
        <v>0.6</v>
      </c>
      <c r="F679" s="30">
        <f>Source!AL308+Source!AM308+Source!AO308</f>
        <v>156.32999999999998</v>
      </c>
      <c r="G679" s="31"/>
      <c r="H679" s="30"/>
      <c r="I679" s="31" t="str">
        <f>Source!BO308</f>
        <v/>
      </c>
      <c r="J679" s="31"/>
      <c r="K679" s="30"/>
      <c r="L679" s="32"/>
      <c r="S679">
        <f>ROUND((Source!FX308/100)*((ROUND(Source!AF308*Source!I308, 2)+ROUND(Source!AE308*Source!I308, 2))), 2)</f>
        <v>79.53</v>
      </c>
      <c r="T679">
        <f>Source!X308</f>
        <v>533.70000000000005</v>
      </c>
      <c r="U679">
        <f>ROUND((Source!FY308/100)*((ROUND(Source!AF308*Source!I308, 2)+ROUND(Source!AE308*Source!I308, 2))), 2)</f>
        <v>54.42</v>
      </c>
      <c r="V679">
        <f>Source!Y308</f>
        <v>365.16</v>
      </c>
    </row>
    <row r="680" spans="1:26" x14ac:dyDescent="0.2">
      <c r="C680" s="23" t="str">
        <f>"Объем: "&amp;Source!I308&amp;"=60/"&amp;"100"</f>
        <v>Объем: 0,6=60/100</v>
      </c>
    </row>
    <row r="681" spans="1:26" ht="14.25" x14ac:dyDescent="0.2">
      <c r="A681" s="45"/>
      <c r="B681" s="46"/>
      <c r="C681" s="46" t="s">
        <v>1167</v>
      </c>
      <c r="D681" s="29"/>
      <c r="E681" s="11"/>
      <c r="F681" s="30">
        <f>Source!AO308</f>
        <v>139.54</v>
      </c>
      <c r="G681" s="31" t="str">
        <f>Source!DG308</f>
        <v/>
      </c>
      <c r="H681" s="30">
        <f>ROUND(Source!AF308*Source!I308, 2)</f>
        <v>83.72</v>
      </c>
      <c r="I681" s="31"/>
      <c r="J681" s="31">
        <f>IF(Source!BA308&lt;&gt; 0, Source!BA308, 1)</f>
        <v>6.71</v>
      </c>
      <c r="K681" s="30">
        <f>Source!S308</f>
        <v>561.79</v>
      </c>
      <c r="L681" s="32"/>
      <c r="R681">
        <f>H681</f>
        <v>83.72</v>
      </c>
    </row>
    <row r="682" spans="1:26" ht="14.25" x14ac:dyDescent="0.2">
      <c r="A682" s="45"/>
      <c r="B682" s="46"/>
      <c r="C682" s="46" t="s">
        <v>1174</v>
      </c>
      <c r="D682" s="29"/>
      <c r="E682" s="11"/>
      <c r="F682" s="30">
        <f>Source!AL308</f>
        <v>16.79</v>
      </c>
      <c r="G682" s="31" t="str">
        <f>Source!DD308</f>
        <v/>
      </c>
      <c r="H682" s="30">
        <f>ROUND(Source!AC308*Source!I308, 2)</f>
        <v>10.07</v>
      </c>
      <c r="I682" s="31"/>
      <c r="J682" s="31">
        <f>IF(Source!BC308&lt;&gt; 0, Source!BC308, 1)</f>
        <v>6.71</v>
      </c>
      <c r="K682" s="30">
        <f>Source!P308</f>
        <v>67.599999999999994</v>
      </c>
      <c r="L682" s="32"/>
    </row>
    <row r="683" spans="1:26" ht="14.25" x14ac:dyDescent="0.2">
      <c r="A683" s="45"/>
      <c r="B683" s="46"/>
      <c r="C683" s="46" t="s">
        <v>1169</v>
      </c>
      <c r="D683" s="29" t="s">
        <v>1170</v>
      </c>
      <c r="E683" s="11">
        <f>Source!BZ308</f>
        <v>95</v>
      </c>
      <c r="F683" s="49"/>
      <c r="G683" s="31"/>
      <c r="H683" s="30">
        <f>SUM(S679:S686)</f>
        <v>79.53</v>
      </c>
      <c r="I683" s="34"/>
      <c r="J683" s="27">
        <f>Source!AT308</f>
        <v>95</v>
      </c>
      <c r="K683" s="30">
        <f>SUM(T679:T686)</f>
        <v>533.70000000000005</v>
      </c>
      <c r="L683" s="32"/>
    </row>
    <row r="684" spans="1:26" ht="14.25" x14ac:dyDescent="0.2">
      <c r="A684" s="45"/>
      <c r="B684" s="46"/>
      <c r="C684" s="46" t="s">
        <v>1171</v>
      </c>
      <c r="D684" s="29" t="s">
        <v>1170</v>
      </c>
      <c r="E684" s="11">
        <f>Source!CA308</f>
        <v>65</v>
      </c>
      <c r="F684" s="49"/>
      <c r="G684" s="31"/>
      <c r="H684" s="30">
        <f>SUM(U679:U686)</f>
        <v>54.42</v>
      </c>
      <c r="I684" s="34"/>
      <c r="J684" s="27">
        <f>Source!AU308</f>
        <v>65</v>
      </c>
      <c r="K684" s="30">
        <f>SUM(V679:V686)</f>
        <v>365.16</v>
      </c>
      <c r="L684" s="32"/>
    </row>
    <row r="685" spans="1:26" ht="14.25" x14ac:dyDescent="0.2">
      <c r="A685" s="45"/>
      <c r="B685" s="46"/>
      <c r="C685" s="46" t="s">
        <v>1172</v>
      </c>
      <c r="D685" s="29" t="s">
        <v>1173</v>
      </c>
      <c r="E685" s="11">
        <f>Source!AQ308</f>
        <v>15.2</v>
      </c>
      <c r="F685" s="30"/>
      <c r="G685" s="31" t="str">
        <f>Source!DI308</f>
        <v/>
      </c>
      <c r="H685" s="30"/>
      <c r="I685" s="31"/>
      <c r="J685" s="31"/>
      <c r="K685" s="30"/>
      <c r="L685" s="41">
        <f>Source!U308</f>
        <v>9.1199999999999992</v>
      </c>
    </row>
    <row r="686" spans="1:26" ht="42.75" x14ac:dyDescent="0.2">
      <c r="A686" s="47" t="str">
        <f>Source!E309</f>
        <v>67,1</v>
      </c>
      <c r="B686" s="48" t="str">
        <f>Source!F309</f>
        <v>24.3.03.05-0015</v>
      </c>
      <c r="C686" s="48" t="str">
        <f>Source!G309</f>
        <v>Трубы гибкие гофрированные легкие из ПНД, серии BL, с зондом, диаметром 40 мм</v>
      </c>
      <c r="D686" s="35" t="str">
        <f>Source!H309</f>
        <v>10 м</v>
      </c>
      <c r="E686" s="36">
        <f>Source!I309</f>
        <v>6</v>
      </c>
      <c r="F686" s="37">
        <f>Source!AL309+Source!AM309+Source!AO309</f>
        <v>96.9</v>
      </c>
      <c r="G686" s="42" t="s">
        <v>6</v>
      </c>
      <c r="H686" s="37">
        <f>ROUND(Source!AC309*Source!I309, 2)+ROUND(Source!AD309*Source!I309, 2)+ROUND(Source!AF309*Source!I309, 2)</f>
        <v>581.4</v>
      </c>
      <c r="I686" s="38"/>
      <c r="J686" s="38">
        <f>IF(Source!BC309&lt;&gt; 0, Source!BC309, 1)</f>
        <v>6.71</v>
      </c>
      <c r="K686" s="37">
        <f>Source!O309</f>
        <v>3901.19</v>
      </c>
      <c r="L686" s="43"/>
      <c r="S686">
        <f>ROUND((Source!FX309/100)*((ROUND(Source!AF309*Source!I309, 2)+ROUND(Source!AE309*Source!I309, 2))), 2)</f>
        <v>0</v>
      </c>
      <c r="T686">
        <f>Source!X309</f>
        <v>0</v>
      </c>
      <c r="U686">
        <f>ROUND((Source!FY309/100)*((ROUND(Source!AF309*Source!I309, 2)+ROUND(Source!AE309*Source!I309, 2))), 2)</f>
        <v>0</v>
      </c>
      <c r="V686">
        <f>Source!Y309</f>
        <v>0</v>
      </c>
      <c r="W686">
        <f>IF(Source!BI309&lt;=1,H686, 0)</f>
        <v>0</v>
      </c>
      <c r="X686">
        <f>IF(Source!BI309=2,H686, 0)</f>
        <v>581.4</v>
      </c>
      <c r="Y686">
        <f>IF(Source!BI309=3,H686, 0)</f>
        <v>0</v>
      </c>
      <c r="Z686">
        <f>IF(Source!BI309=4,H686, 0)</f>
        <v>0</v>
      </c>
    </row>
    <row r="687" spans="1:26" ht="15" x14ac:dyDescent="0.25">
      <c r="G687" s="72">
        <f>H681+H682+H683+H684+SUM(H686:H686)</f>
        <v>809.14</v>
      </c>
      <c r="H687" s="72"/>
      <c r="J687" s="72">
        <f>K681+K682+K683+K684+SUM(K686:K686)</f>
        <v>5429.4400000000005</v>
      </c>
      <c r="K687" s="72"/>
      <c r="L687" s="40">
        <f>Source!U308</f>
        <v>9.1199999999999992</v>
      </c>
      <c r="O687" s="24">
        <f>G687</f>
        <v>809.14</v>
      </c>
      <c r="P687" s="24">
        <f>J687</f>
        <v>5429.4400000000005</v>
      </c>
      <c r="Q687" s="24">
        <f>L687</f>
        <v>9.1199999999999992</v>
      </c>
      <c r="W687">
        <f>IF(Source!BI308&lt;=1,H681+H682+H683+H684, 0)</f>
        <v>0</v>
      </c>
      <c r="X687">
        <f>IF(Source!BI308=2,H681+H682+H683+H684, 0)</f>
        <v>227.74</v>
      </c>
      <c r="Y687">
        <f>IF(Source!BI308=3,H681+H682+H683+H684, 0)</f>
        <v>0</v>
      </c>
      <c r="Z687">
        <f>IF(Source!BI308=4,H681+H682+H683+H684, 0)</f>
        <v>0</v>
      </c>
    </row>
    <row r="688" spans="1:26" ht="71.25" x14ac:dyDescent="0.2">
      <c r="A688" s="45" t="str">
        <f>Source!E310</f>
        <v>68</v>
      </c>
      <c r="B688" s="46" t="str">
        <f>Source!F310</f>
        <v>м08-02-412-02</v>
      </c>
      <c r="C688" s="46" t="str">
        <f>Source!G310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688" s="29" t="str">
        <f>Source!H310</f>
        <v>100 м</v>
      </c>
      <c r="E688" s="11">
        <f>Source!I310</f>
        <v>19.72</v>
      </c>
      <c r="F688" s="30">
        <f>Source!AL310+Source!AM310+Source!AO310</f>
        <v>68.7</v>
      </c>
      <c r="G688" s="31"/>
      <c r="H688" s="30"/>
      <c r="I688" s="31" t="str">
        <f>Source!BO310</f>
        <v/>
      </c>
      <c r="J688" s="31"/>
      <c r="K688" s="30"/>
      <c r="L688" s="32"/>
      <c r="S688">
        <f>ROUND((Source!FX310/100)*((ROUND(Source!AF310*Source!I310, 2)+ROUND(Source!AE310*Source!I310, 2))), 2)</f>
        <v>958.62</v>
      </c>
      <c r="T688">
        <f>Source!X310</f>
        <v>6432.34</v>
      </c>
      <c r="U688">
        <f>ROUND((Source!FY310/100)*((ROUND(Source!AF310*Source!I310, 2)+ROUND(Source!AE310*Source!I310, 2))), 2)</f>
        <v>655.9</v>
      </c>
      <c r="V688">
        <f>Source!Y310</f>
        <v>4401.07</v>
      </c>
    </row>
    <row r="689" spans="1:26" x14ac:dyDescent="0.2">
      <c r="C689" s="23" t="str">
        <f>"Объем: "&amp;Source!I310&amp;"=1972/"&amp;"100"</f>
        <v>Объем: 19,72=1972/100</v>
      </c>
    </row>
    <row r="690" spans="1:26" ht="14.25" x14ac:dyDescent="0.2">
      <c r="A690" s="45"/>
      <c r="B690" s="46"/>
      <c r="C690" s="46" t="s">
        <v>1167</v>
      </c>
      <c r="D690" s="29"/>
      <c r="E690" s="11"/>
      <c r="F690" s="30">
        <f>Source!AO310</f>
        <v>50.67</v>
      </c>
      <c r="G690" s="31" t="str">
        <f>Source!DG310</f>
        <v/>
      </c>
      <c r="H690" s="30">
        <f>ROUND(Source!AF310*Source!I310, 2)</f>
        <v>999.21</v>
      </c>
      <c r="I690" s="31"/>
      <c r="J690" s="31">
        <f>IF(Source!BA310&lt;&gt; 0, Source!BA310, 1)</f>
        <v>6.71</v>
      </c>
      <c r="K690" s="30">
        <f>Source!S310</f>
        <v>6704.72</v>
      </c>
      <c r="L690" s="32"/>
      <c r="R690">
        <f>H690</f>
        <v>999.21</v>
      </c>
    </row>
    <row r="691" spans="1:26" ht="14.25" x14ac:dyDescent="0.2">
      <c r="A691" s="45"/>
      <c r="B691" s="46"/>
      <c r="C691" s="46" t="s">
        <v>382</v>
      </c>
      <c r="D691" s="29"/>
      <c r="E691" s="11"/>
      <c r="F691" s="30">
        <f>Source!AM310</f>
        <v>3.55</v>
      </c>
      <c r="G691" s="31" t="str">
        <f>Source!DE310</f>
        <v/>
      </c>
      <c r="H691" s="30">
        <f>ROUND(Source!AD310*Source!I310, 2)</f>
        <v>70.010000000000005</v>
      </c>
      <c r="I691" s="31"/>
      <c r="J691" s="31">
        <f>IF(Source!BB310&lt;&gt; 0, Source!BB310, 1)</f>
        <v>6.71</v>
      </c>
      <c r="K691" s="30">
        <f>Source!Q310</f>
        <v>469.74</v>
      </c>
      <c r="L691" s="32"/>
    </row>
    <row r="692" spans="1:26" ht="14.25" x14ac:dyDescent="0.2">
      <c r="A692" s="45"/>
      <c r="B692" s="46"/>
      <c r="C692" s="46" t="s">
        <v>1168</v>
      </c>
      <c r="D692" s="29"/>
      <c r="E692" s="11"/>
      <c r="F692" s="30">
        <f>Source!AN310</f>
        <v>0.5</v>
      </c>
      <c r="G692" s="31" t="str">
        <f>Source!DF310</f>
        <v/>
      </c>
      <c r="H692" s="33">
        <f>ROUND(Source!AE310*Source!I310, 2)</f>
        <v>9.86</v>
      </c>
      <c r="I692" s="31"/>
      <c r="J692" s="31">
        <f>IF(Source!BS310&lt;&gt; 0, Source!BS310, 1)</f>
        <v>6.71</v>
      </c>
      <c r="K692" s="33">
        <f>Source!R310</f>
        <v>66.16</v>
      </c>
      <c r="L692" s="32"/>
      <c r="R692">
        <f>H692</f>
        <v>9.86</v>
      </c>
    </row>
    <row r="693" spans="1:26" ht="14.25" x14ac:dyDescent="0.2">
      <c r="A693" s="45"/>
      <c r="B693" s="46"/>
      <c r="C693" s="46" t="s">
        <v>1174</v>
      </c>
      <c r="D693" s="29"/>
      <c r="E693" s="11"/>
      <c r="F693" s="30">
        <f>Source!AL310</f>
        <v>14.48</v>
      </c>
      <c r="G693" s="31" t="str">
        <f>Source!DD310</f>
        <v/>
      </c>
      <c r="H693" s="30">
        <f>ROUND(Source!AC310*Source!I310, 2)</f>
        <v>285.55</v>
      </c>
      <c r="I693" s="31"/>
      <c r="J693" s="31">
        <f>IF(Source!BC310&lt;&gt; 0, Source!BC310, 1)</f>
        <v>6.71</v>
      </c>
      <c r="K693" s="30">
        <f>Source!P310</f>
        <v>1916.01</v>
      </c>
      <c r="L693" s="32"/>
    </row>
    <row r="694" spans="1:26" ht="14.25" x14ac:dyDescent="0.2">
      <c r="A694" s="45"/>
      <c r="B694" s="46"/>
      <c r="C694" s="46" t="s">
        <v>1169</v>
      </c>
      <c r="D694" s="29" t="s">
        <v>1170</v>
      </c>
      <c r="E694" s="11">
        <f>Source!BZ310</f>
        <v>95</v>
      </c>
      <c r="F694" s="49"/>
      <c r="G694" s="31"/>
      <c r="H694" s="30">
        <f>SUM(S688:S698)</f>
        <v>958.62</v>
      </c>
      <c r="I694" s="34"/>
      <c r="J694" s="27">
        <f>Source!AT310</f>
        <v>95</v>
      </c>
      <c r="K694" s="30">
        <f>SUM(T688:T698)</f>
        <v>6432.34</v>
      </c>
      <c r="L694" s="32"/>
    </row>
    <row r="695" spans="1:26" ht="14.25" x14ac:dyDescent="0.2">
      <c r="A695" s="45"/>
      <c r="B695" s="46"/>
      <c r="C695" s="46" t="s">
        <v>1171</v>
      </c>
      <c r="D695" s="29" t="s">
        <v>1170</v>
      </c>
      <c r="E695" s="11">
        <f>Source!CA310</f>
        <v>65</v>
      </c>
      <c r="F695" s="49"/>
      <c r="G695" s="31"/>
      <c r="H695" s="30">
        <f>SUM(U688:U698)</f>
        <v>655.9</v>
      </c>
      <c r="I695" s="34"/>
      <c r="J695" s="27">
        <f>Source!AU310</f>
        <v>65</v>
      </c>
      <c r="K695" s="30">
        <f>SUM(V688:V698)</f>
        <v>4401.07</v>
      </c>
      <c r="L695" s="32"/>
    </row>
    <row r="696" spans="1:26" ht="14.25" x14ac:dyDescent="0.2">
      <c r="A696" s="45"/>
      <c r="B696" s="46"/>
      <c r="C696" s="46" t="s">
        <v>1172</v>
      </c>
      <c r="D696" s="29" t="s">
        <v>1173</v>
      </c>
      <c r="E696" s="11">
        <f>Source!AQ310</f>
        <v>5.39</v>
      </c>
      <c r="F696" s="30"/>
      <c r="G696" s="31" t="str">
        <f>Source!DI310</f>
        <v/>
      </c>
      <c r="H696" s="30"/>
      <c r="I696" s="31"/>
      <c r="J696" s="31"/>
      <c r="K696" s="30"/>
      <c r="L696" s="41">
        <f>Source!U310</f>
        <v>106.29079999999999</v>
      </c>
    </row>
    <row r="697" spans="1:26" ht="28.5" x14ac:dyDescent="0.2">
      <c r="A697" s="45" t="str">
        <f>Source!E311</f>
        <v>68,1</v>
      </c>
      <c r="B697" s="46" t="str">
        <f>Source!F311</f>
        <v>21.1.04.01-0004</v>
      </c>
      <c r="C697" s="46" t="str">
        <f>Source!G311</f>
        <v>Кабель (витая пара) UTP 4x2x0,52 категория 5е</v>
      </c>
      <c r="D697" s="29" t="str">
        <f>Source!H311</f>
        <v>1000 м</v>
      </c>
      <c r="E697" s="11">
        <f>Source!I311</f>
        <v>1.972</v>
      </c>
      <c r="F697" s="30">
        <f>Source!AL311+Source!AM311+Source!AO311</f>
        <v>1150.19</v>
      </c>
      <c r="G697" s="44" t="s">
        <v>6</v>
      </c>
      <c r="H697" s="30">
        <f>ROUND(Source!AC311*Source!I311, 2)+ROUND(Source!AD311*Source!I311, 2)+ROUND(Source!AF311*Source!I311, 2)</f>
        <v>2268.17</v>
      </c>
      <c r="I697" s="31"/>
      <c r="J697" s="31">
        <f>IF(Source!BC311&lt;&gt; 0, Source!BC311, 1)</f>
        <v>6.71</v>
      </c>
      <c r="K697" s="30">
        <f>Source!O311</f>
        <v>15219.45</v>
      </c>
      <c r="L697" s="32"/>
      <c r="S697">
        <f>ROUND((Source!FX311/100)*((ROUND(Source!AF311*Source!I311, 2)+ROUND(Source!AE311*Source!I311, 2))), 2)</f>
        <v>0</v>
      </c>
      <c r="T697">
        <f>Source!X311</f>
        <v>0</v>
      </c>
      <c r="U697">
        <f>ROUND((Source!FY311/100)*((ROUND(Source!AF311*Source!I311, 2)+ROUND(Source!AE311*Source!I311, 2))), 2)</f>
        <v>0</v>
      </c>
      <c r="V697">
        <f>Source!Y311</f>
        <v>0</v>
      </c>
      <c r="W697">
        <f>IF(Source!BI311&lt;=1,H697, 0)</f>
        <v>0</v>
      </c>
      <c r="X697">
        <f>IF(Source!BI311=2,H697, 0)</f>
        <v>2268.17</v>
      </c>
      <c r="Y697">
        <f>IF(Source!BI311=3,H697, 0)</f>
        <v>0</v>
      </c>
      <c r="Z697">
        <f>IF(Source!BI311=4,H697, 0)</f>
        <v>0</v>
      </c>
    </row>
    <row r="698" spans="1:26" ht="128.25" x14ac:dyDescent="0.2">
      <c r="A698" s="47" t="str">
        <f>Source!E312</f>
        <v>68,2</v>
      </c>
      <c r="B698" s="48" t="str">
        <f>Source!F312</f>
        <v>21.1.08.01-0151</v>
      </c>
      <c r="C698" s="48" t="str">
        <f>Source!G312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698" s="35" t="str">
        <f>Source!H312</f>
        <v>1000 м</v>
      </c>
      <c r="E698" s="36">
        <f>Source!I312</f>
        <v>1.972</v>
      </c>
      <c r="F698" s="37">
        <f>Source!AL312+Source!AM312+Source!AO312</f>
        <v>4284.0200000000004</v>
      </c>
      <c r="G698" s="42" t="s">
        <v>6</v>
      </c>
      <c r="H698" s="37">
        <f>ROUND(Source!AC312*Source!I312, 2)+ROUND(Source!AD312*Source!I312, 2)+ROUND(Source!AF312*Source!I312, 2)</f>
        <v>8448.09</v>
      </c>
      <c r="I698" s="38"/>
      <c r="J698" s="38">
        <f>IF(Source!BC312&lt;&gt; 0, Source!BC312, 1)</f>
        <v>6.71</v>
      </c>
      <c r="K698" s="37">
        <f>Source!O312</f>
        <v>56686.67</v>
      </c>
      <c r="L698" s="43"/>
      <c r="S698">
        <f>ROUND((Source!FX312/100)*((ROUND(Source!AF312*Source!I312, 2)+ROUND(Source!AE312*Source!I312, 2))), 2)</f>
        <v>0</v>
      </c>
      <c r="T698">
        <f>Source!X312</f>
        <v>0</v>
      </c>
      <c r="U698">
        <f>ROUND((Source!FY312/100)*((ROUND(Source!AF312*Source!I312, 2)+ROUND(Source!AE312*Source!I312, 2))), 2)</f>
        <v>0</v>
      </c>
      <c r="V698">
        <f>Source!Y312</f>
        <v>0</v>
      </c>
      <c r="W698">
        <f>IF(Source!BI312&lt;=1,H698, 0)</f>
        <v>0</v>
      </c>
      <c r="X698">
        <f>IF(Source!BI312=2,H698, 0)</f>
        <v>8448.09</v>
      </c>
      <c r="Y698">
        <f>IF(Source!BI312=3,H698, 0)</f>
        <v>0</v>
      </c>
      <c r="Z698">
        <f>IF(Source!BI312=4,H698, 0)</f>
        <v>0</v>
      </c>
    </row>
    <row r="699" spans="1:26" ht="15" x14ac:dyDescent="0.25">
      <c r="G699" s="72">
        <f>H690+H691+H693+H694+H695+SUM(H697:H698)</f>
        <v>13685.55</v>
      </c>
      <c r="H699" s="72"/>
      <c r="J699" s="72">
        <f>K690+K691+K693+K694+K695+SUM(K697:K698)</f>
        <v>91830</v>
      </c>
      <c r="K699" s="72"/>
      <c r="L699" s="40">
        <f>Source!U310</f>
        <v>106.29079999999999</v>
      </c>
      <c r="O699" s="24">
        <f>G699</f>
        <v>13685.55</v>
      </c>
      <c r="P699" s="24">
        <f>J699</f>
        <v>91830</v>
      </c>
      <c r="Q699" s="24">
        <f>L699</f>
        <v>106.29079999999999</v>
      </c>
      <c r="W699">
        <f>IF(Source!BI310&lt;=1,H690+H691+H693+H694+H695, 0)</f>
        <v>0</v>
      </c>
      <c r="X699">
        <f>IF(Source!BI310=2,H690+H691+H693+H694+H695, 0)</f>
        <v>2969.29</v>
      </c>
      <c r="Y699">
        <f>IF(Source!BI310=3,H690+H691+H693+H694+H695, 0)</f>
        <v>0</v>
      </c>
      <c r="Z699">
        <f>IF(Source!BI310=4,H690+H691+H693+H694+H695, 0)</f>
        <v>0</v>
      </c>
    </row>
    <row r="700" spans="1:26" ht="42.75" x14ac:dyDescent="0.2">
      <c r="A700" s="45" t="str">
        <f>Source!E313</f>
        <v>69</v>
      </c>
      <c r="B700" s="46" t="str">
        <f>Source!F313</f>
        <v>69-1-2</v>
      </c>
      <c r="C700" s="46" t="str">
        <f>Source!G313</f>
        <v>Пробивка отверстий в кирпичных стенах для  вручную при толщине стен в 1 кирпич</v>
      </c>
      <c r="D700" s="29" t="str">
        <f>Source!H313</f>
        <v>100 ШТ</v>
      </c>
      <c r="E700" s="11">
        <f>Source!I313</f>
        <v>0.04</v>
      </c>
      <c r="F700" s="30">
        <f>Source!AL313+Source!AM313+Source!AO313</f>
        <v>666.9</v>
      </c>
      <c r="G700" s="31"/>
      <c r="H700" s="30"/>
      <c r="I700" s="31" t="str">
        <f>Source!BO313</f>
        <v/>
      </c>
      <c r="J700" s="31"/>
      <c r="K700" s="30"/>
      <c r="L700" s="32"/>
      <c r="S700">
        <f>ROUND((Source!FX313/100)*((ROUND(Source!AF313*Source!I313, 2)+ROUND(Source!AE313*Source!I313, 2))), 2)</f>
        <v>20.81</v>
      </c>
      <c r="T700">
        <f>Source!X313</f>
        <v>139.62</v>
      </c>
      <c r="U700">
        <f>ROUND((Source!FY313/100)*((ROUND(Source!AF313*Source!I313, 2)+ROUND(Source!AE313*Source!I313, 2))), 2)</f>
        <v>13.34</v>
      </c>
      <c r="V700">
        <f>Source!Y313</f>
        <v>89.5</v>
      </c>
    </row>
    <row r="701" spans="1:26" x14ac:dyDescent="0.2">
      <c r="C701" s="23" t="str">
        <f>"Объем: "&amp;Source!I313&amp;"=4/"&amp;"100"</f>
        <v>Объем: 0,04=4/100</v>
      </c>
    </row>
    <row r="702" spans="1:26" ht="14.25" x14ac:dyDescent="0.2">
      <c r="A702" s="45"/>
      <c r="B702" s="46"/>
      <c r="C702" s="46" t="s">
        <v>1167</v>
      </c>
      <c r="D702" s="29"/>
      <c r="E702" s="11"/>
      <c r="F702" s="30">
        <f>Source!AO313</f>
        <v>666.9</v>
      </c>
      <c r="G702" s="31" t="str">
        <f>Source!DG313</f>
        <v/>
      </c>
      <c r="H702" s="30">
        <f>ROUND(Source!AF313*Source!I313, 2)</f>
        <v>26.68</v>
      </c>
      <c r="I702" s="31"/>
      <c r="J702" s="31">
        <f>IF(Source!BA313&lt;&gt; 0, Source!BA313, 1)</f>
        <v>6.71</v>
      </c>
      <c r="K702" s="30">
        <f>Source!S313</f>
        <v>179</v>
      </c>
      <c r="L702" s="32"/>
      <c r="R702">
        <f>H702</f>
        <v>26.68</v>
      </c>
    </row>
    <row r="703" spans="1:26" ht="14.25" x14ac:dyDescent="0.2">
      <c r="A703" s="45"/>
      <c r="B703" s="46"/>
      <c r="C703" s="46" t="s">
        <v>1169</v>
      </c>
      <c r="D703" s="29" t="s">
        <v>1170</v>
      </c>
      <c r="E703" s="11">
        <f>Source!BZ313</f>
        <v>78</v>
      </c>
      <c r="F703" s="49"/>
      <c r="G703" s="31"/>
      <c r="H703" s="30">
        <f>SUM(S700:S705)</f>
        <v>20.81</v>
      </c>
      <c r="I703" s="34"/>
      <c r="J703" s="27">
        <f>Source!AT313</f>
        <v>78</v>
      </c>
      <c r="K703" s="30">
        <f>SUM(T700:T705)</f>
        <v>139.62</v>
      </c>
      <c r="L703" s="32"/>
    </row>
    <row r="704" spans="1:26" ht="14.25" x14ac:dyDescent="0.2">
      <c r="A704" s="45"/>
      <c r="B704" s="46"/>
      <c r="C704" s="46" t="s">
        <v>1171</v>
      </c>
      <c r="D704" s="29" t="s">
        <v>1170</v>
      </c>
      <c r="E704" s="11">
        <f>Source!CA313</f>
        <v>50</v>
      </c>
      <c r="F704" s="49"/>
      <c r="G704" s="31"/>
      <c r="H704" s="30">
        <f>SUM(U700:U705)</f>
        <v>13.34</v>
      </c>
      <c r="I704" s="34"/>
      <c r="J704" s="27">
        <f>Source!AU313</f>
        <v>50</v>
      </c>
      <c r="K704" s="30">
        <f>SUM(V700:V705)</f>
        <v>89.5</v>
      </c>
      <c r="L704" s="32"/>
    </row>
    <row r="705" spans="1:26" ht="14.25" x14ac:dyDescent="0.2">
      <c r="A705" s="47"/>
      <c r="B705" s="48"/>
      <c r="C705" s="48" t="s">
        <v>1172</v>
      </c>
      <c r="D705" s="35" t="s">
        <v>1173</v>
      </c>
      <c r="E705" s="36">
        <f>Source!AQ313</f>
        <v>85.5</v>
      </c>
      <c r="F705" s="37"/>
      <c r="G705" s="38" t="str">
        <f>Source!DI313</f>
        <v/>
      </c>
      <c r="H705" s="37"/>
      <c r="I705" s="38"/>
      <c r="J705" s="38"/>
      <c r="K705" s="37"/>
      <c r="L705" s="39">
        <f>Source!U313</f>
        <v>3.42</v>
      </c>
    </row>
    <row r="706" spans="1:26" ht="15" x14ac:dyDescent="0.25">
      <c r="G706" s="72">
        <f>H702+H703+H704</f>
        <v>60.83</v>
      </c>
      <c r="H706" s="72"/>
      <c r="J706" s="72">
        <f>K702+K703+K704</f>
        <v>408.12</v>
      </c>
      <c r="K706" s="72"/>
      <c r="L706" s="40">
        <f>Source!U313</f>
        <v>3.42</v>
      </c>
      <c r="O706" s="24">
        <f>G706</f>
        <v>60.83</v>
      </c>
      <c r="P706" s="24">
        <f>J706</f>
        <v>408.12</v>
      </c>
      <c r="Q706" s="24">
        <f>L706</f>
        <v>3.42</v>
      </c>
      <c r="W706">
        <f>IF(Source!BI313&lt;=1,H702+H703+H704, 0)</f>
        <v>60.83</v>
      </c>
      <c r="X706">
        <f>IF(Source!BI313=2,H702+H703+H704, 0)</f>
        <v>0</v>
      </c>
      <c r="Y706">
        <f>IF(Source!BI313=3,H702+H703+H704, 0)</f>
        <v>0</v>
      </c>
      <c r="Z706">
        <f>IF(Source!BI313=4,H702+H703+H704, 0)</f>
        <v>0</v>
      </c>
    </row>
    <row r="707" spans="1:26" ht="42.75" x14ac:dyDescent="0.2">
      <c r="A707" s="45" t="str">
        <f>Source!E314</f>
        <v>70</v>
      </c>
      <c r="B707" s="46" t="str">
        <f>Source!F314</f>
        <v>м08-02-410-02 прим.</v>
      </c>
      <c r="C707" s="46" t="str">
        <f>Source!G314</f>
        <v>Труба полиэтиленовая по основанию пола, диаметр до 50 мм (гильзы)</v>
      </c>
      <c r="D707" s="29" t="str">
        <f>Source!H314</f>
        <v>100 м</v>
      </c>
      <c r="E707" s="11">
        <f>Source!I314</f>
        <v>0.04</v>
      </c>
      <c r="F707" s="30">
        <f>Source!AL314+Source!AM314+Source!AO314</f>
        <v>250.92</v>
      </c>
      <c r="G707" s="31"/>
      <c r="H707" s="30"/>
      <c r="I707" s="31" t="str">
        <f>Source!BO314</f>
        <v/>
      </c>
      <c r="J707" s="31"/>
      <c r="K707" s="30"/>
      <c r="L707" s="32"/>
      <c r="S707">
        <f>ROUND((Source!FX314/100)*((ROUND(Source!AF314*Source!I314, 2)+ROUND(Source!AE314*Source!I314, 2))), 2)</f>
        <v>5.57</v>
      </c>
      <c r="T707">
        <f>Source!X314</f>
        <v>37.33</v>
      </c>
      <c r="U707">
        <f>ROUND((Source!FY314/100)*((ROUND(Source!AF314*Source!I314, 2)+ROUND(Source!AE314*Source!I314, 2))), 2)</f>
        <v>3.81</v>
      </c>
      <c r="V707">
        <f>Source!Y314</f>
        <v>25.54</v>
      </c>
    </row>
    <row r="708" spans="1:26" x14ac:dyDescent="0.2">
      <c r="C708" s="23" t="str">
        <f>"Объем: "&amp;Source!I314&amp;"=4/"&amp;"100"</f>
        <v>Объем: 0,04=4/100</v>
      </c>
    </row>
    <row r="709" spans="1:26" ht="14.25" x14ac:dyDescent="0.2">
      <c r="A709" s="45"/>
      <c r="B709" s="46"/>
      <c r="C709" s="46" t="s">
        <v>1167</v>
      </c>
      <c r="D709" s="29"/>
      <c r="E709" s="11"/>
      <c r="F709" s="30">
        <f>Source!AO314</f>
        <v>143.63</v>
      </c>
      <c r="G709" s="31" t="str">
        <f>Source!DG314</f>
        <v/>
      </c>
      <c r="H709" s="30">
        <f>ROUND(Source!AF314*Source!I314, 2)</f>
        <v>5.75</v>
      </c>
      <c r="I709" s="31"/>
      <c r="J709" s="31">
        <f>IF(Source!BA314&lt;&gt; 0, Source!BA314, 1)</f>
        <v>6.71</v>
      </c>
      <c r="K709" s="30">
        <f>Source!S314</f>
        <v>38.549999999999997</v>
      </c>
      <c r="L709" s="32"/>
      <c r="R709">
        <f>H709</f>
        <v>5.75</v>
      </c>
    </row>
    <row r="710" spans="1:26" ht="14.25" x14ac:dyDescent="0.2">
      <c r="A710" s="45"/>
      <c r="B710" s="46"/>
      <c r="C710" s="46" t="s">
        <v>382</v>
      </c>
      <c r="D710" s="29"/>
      <c r="E710" s="11"/>
      <c r="F710" s="30">
        <f>Source!AM314</f>
        <v>19.55</v>
      </c>
      <c r="G710" s="31" t="str">
        <f>Source!DE314</f>
        <v/>
      </c>
      <c r="H710" s="30">
        <f>ROUND(Source!AD314*Source!I314, 2)</f>
        <v>0.78</v>
      </c>
      <c r="I710" s="31"/>
      <c r="J710" s="31">
        <f>IF(Source!BB314&lt;&gt; 0, Source!BB314, 1)</f>
        <v>6.71</v>
      </c>
      <c r="K710" s="30">
        <f>Source!Q314</f>
        <v>5.25</v>
      </c>
      <c r="L710" s="32"/>
    </row>
    <row r="711" spans="1:26" ht="14.25" x14ac:dyDescent="0.2">
      <c r="A711" s="45"/>
      <c r="B711" s="46"/>
      <c r="C711" s="46" t="s">
        <v>1168</v>
      </c>
      <c r="D711" s="29"/>
      <c r="E711" s="11"/>
      <c r="F711" s="30">
        <f>Source!AN314</f>
        <v>2.77</v>
      </c>
      <c r="G711" s="31" t="str">
        <f>Source!DF314</f>
        <v/>
      </c>
      <c r="H711" s="33">
        <f>ROUND(Source!AE314*Source!I314, 2)</f>
        <v>0.11</v>
      </c>
      <c r="I711" s="31"/>
      <c r="J711" s="31">
        <f>IF(Source!BS314&lt;&gt; 0, Source!BS314, 1)</f>
        <v>6.71</v>
      </c>
      <c r="K711" s="33">
        <f>Source!R314</f>
        <v>0.74</v>
      </c>
      <c r="L711" s="32"/>
      <c r="R711">
        <f>H711</f>
        <v>0.11</v>
      </c>
    </row>
    <row r="712" spans="1:26" ht="14.25" x14ac:dyDescent="0.2">
      <c r="A712" s="45"/>
      <c r="B712" s="46"/>
      <c r="C712" s="46" t="s">
        <v>1174</v>
      </c>
      <c r="D712" s="29"/>
      <c r="E712" s="11"/>
      <c r="F712" s="30">
        <f>Source!AL314</f>
        <v>87.74</v>
      </c>
      <c r="G712" s="31" t="str">
        <f>Source!DD314</f>
        <v/>
      </c>
      <c r="H712" s="30">
        <f>ROUND(Source!AC314*Source!I314, 2)</f>
        <v>3.51</v>
      </c>
      <c r="I712" s="31"/>
      <c r="J712" s="31">
        <f>IF(Source!BC314&lt;&gt; 0, Source!BC314, 1)</f>
        <v>6.71</v>
      </c>
      <c r="K712" s="30">
        <f>Source!P314</f>
        <v>23.55</v>
      </c>
      <c r="L712" s="32"/>
    </row>
    <row r="713" spans="1:26" ht="14.25" x14ac:dyDescent="0.2">
      <c r="A713" s="45"/>
      <c r="B713" s="46"/>
      <c r="C713" s="46" t="s">
        <v>1169</v>
      </c>
      <c r="D713" s="29" t="s">
        <v>1170</v>
      </c>
      <c r="E713" s="11">
        <f>Source!BZ314</f>
        <v>95</v>
      </c>
      <c r="F713" s="49"/>
      <c r="G713" s="31"/>
      <c r="H713" s="30">
        <f>SUM(S707:S716)</f>
        <v>5.57</v>
      </c>
      <c r="I713" s="34"/>
      <c r="J713" s="27">
        <f>Source!AT314</f>
        <v>95</v>
      </c>
      <c r="K713" s="30">
        <f>SUM(T707:T716)</f>
        <v>37.33</v>
      </c>
      <c r="L713" s="32"/>
    </row>
    <row r="714" spans="1:26" ht="14.25" x14ac:dyDescent="0.2">
      <c r="A714" s="45"/>
      <c r="B714" s="46"/>
      <c r="C714" s="46" t="s">
        <v>1171</v>
      </c>
      <c r="D714" s="29" t="s">
        <v>1170</v>
      </c>
      <c r="E714" s="11">
        <f>Source!CA314</f>
        <v>65</v>
      </c>
      <c r="F714" s="49"/>
      <c r="G714" s="31"/>
      <c r="H714" s="30">
        <f>SUM(U707:U716)</f>
        <v>3.81</v>
      </c>
      <c r="I714" s="34"/>
      <c r="J714" s="27">
        <f>Source!AU314</f>
        <v>65</v>
      </c>
      <c r="K714" s="30">
        <f>SUM(V707:V716)</f>
        <v>25.54</v>
      </c>
      <c r="L714" s="32"/>
    </row>
    <row r="715" spans="1:26" ht="14.25" x14ac:dyDescent="0.2">
      <c r="A715" s="45"/>
      <c r="B715" s="46"/>
      <c r="C715" s="46" t="s">
        <v>1172</v>
      </c>
      <c r="D715" s="29" t="s">
        <v>1173</v>
      </c>
      <c r="E715" s="11">
        <f>Source!AQ314</f>
        <v>15.28</v>
      </c>
      <c r="F715" s="30"/>
      <c r="G715" s="31" t="str">
        <f>Source!DI314</f>
        <v/>
      </c>
      <c r="H715" s="30"/>
      <c r="I715" s="31"/>
      <c r="J715" s="31"/>
      <c r="K715" s="30"/>
      <c r="L715" s="41">
        <f>Source!U314</f>
        <v>0.61119999999999997</v>
      </c>
    </row>
    <row r="716" spans="1:26" ht="28.5" x14ac:dyDescent="0.2">
      <c r="A716" s="47" t="str">
        <f>Source!E315</f>
        <v>70,1</v>
      </c>
      <c r="B716" s="48" t="str">
        <f>Source!F315</f>
        <v>24.3.03.13-0304</v>
      </c>
      <c r="C716" s="48" t="str">
        <f>Source!G315</f>
        <v>Трубы гладкие одностенные легкие из ПНД, диаметром 32 мм</v>
      </c>
      <c r="D716" s="35" t="str">
        <f>Source!H315</f>
        <v>10 м</v>
      </c>
      <c r="E716" s="36">
        <f>Source!I315</f>
        <v>0.4</v>
      </c>
      <c r="F716" s="37">
        <f>Source!AL315+Source!AM315+Source!AO315</f>
        <v>99.42</v>
      </c>
      <c r="G716" s="42" t="s">
        <v>6</v>
      </c>
      <c r="H716" s="37">
        <f>ROUND(Source!AC315*Source!I315, 2)+ROUND(Source!AD315*Source!I315, 2)+ROUND(Source!AF315*Source!I315, 2)</f>
        <v>39.770000000000003</v>
      </c>
      <c r="I716" s="38"/>
      <c r="J716" s="38">
        <f>IF(Source!BC315&lt;&gt; 0, Source!BC315, 1)</f>
        <v>6.71</v>
      </c>
      <c r="K716" s="37">
        <f>Source!O315</f>
        <v>266.83999999999997</v>
      </c>
      <c r="L716" s="43"/>
      <c r="S716">
        <f>ROUND((Source!FX315/100)*((ROUND(Source!AF315*Source!I315, 2)+ROUND(Source!AE315*Source!I315, 2))), 2)</f>
        <v>0</v>
      </c>
      <c r="T716">
        <f>Source!X315</f>
        <v>0</v>
      </c>
      <c r="U716">
        <f>ROUND((Source!FY315/100)*((ROUND(Source!AF315*Source!I315, 2)+ROUND(Source!AE315*Source!I315, 2))), 2)</f>
        <v>0</v>
      </c>
      <c r="V716">
        <f>Source!Y315</f>
        <v>0</v>
      </c>
      <c r="W716">
        <f>IF(Source!BI315&lt;=1,H716, 0)</f>
        <v>0</v>
      </c>
      <c r="X716">
        <f>IF(Source!BI315=2,H716, 0)</f>
        <v>39.770000000000003</v>
      </c>
      <c r="Y716">
        <f>IF(Source!BI315=3,H716, 0)</f>
        <v>0</v>
      </c>
      <c r="Z716">
        <f>IF(Source!BI315=4,H716, 0)</f>
        <v>0</v>
      </c>
    </row>
    <row r="717" spans="1:26" ht="15" x14ac:dyDescent="0.25">
      <c r="G717" s="72">
        <f>H709+H710+H712+H713+H714+SUM(H716:H716)</f>
        <v>59.19</v>
      </c>
      <c r="H717" s="72"/>
      <c r="J717" s="72">
        <f>K709+K710+K712+K713+K714+SUM(K716:K716)</f>
        <v>397.05999999999995</v>
      </c>
      <c r="K717" s="72"/>
      <c r="L717" s="40">
        <f>Source!U314</f>
        <v>0.61119999999999997</v>
      </c>
      <c r="O717" s="24">
        <f>G717</f>
        <v>59.19</v>
      </c>
      <c r="P717" s="24">
        <f>J717</f>
        <v>397.05999999999995</v>
      </c>
      <c r="Q717" s="24">
        <f>L717</f>
        <v>0.61119999999999997</v>
      </c>
      <c r="W717">
        <f>IF(Source!BI314&lt;=1,H709+H710+H712+H713+H714, 0)</f>
        <v>0</v>
      </c>
      <c r="X717">
        <f>IF(Source!BI314=2,H709+H710+H712+H713+H714, 0)</f>
        <v>19.419999999999998</v>
      </c>
      <c r="Y717">
        <f>IF(Source!BI314=3,H709+H710+H712+H713+H714, 0)</f>
        <v>0</v>
      </c>
      <c r="Z717">
        <f>IF(Source!BI314=4,H709+H710+H712+H713+H714, 0)</f>
        <v>0</v>
      </c>
    </row>
    <row r="718" spans="1:26" ht="28.5" x14ac:dyDescent="0.2">
      <c r="A718" s="45" t="str">
        <f>Source!E316</f>
        <v>71</v>
      </c>
      <c r="B718" s="46" t="str">
        <f>Source!F316</f>
        <v>м08-03-591-08</v>
      </c>
      <c r="C718" s="46" t="str">
        <f>Source!G316</f>
        <v>Розетка штепсельная неутопленного типа при открытой проводке</v>
      </c>
      <c r="D718" s="29" t="str">
        <f>Source!H316</f>
        <v>100 ШТ</v>
      </c>
      <c r="E718" s="11">
        <f>Source!I316</f>
        <v>0.4</v>
      </c>
      <c r="F718" s="30">
        <f>Source!AL316+Source!AM316+Source!AO316</f>
        <v>453.92999999999995</v>
      </c>
      <c r="G718" s="31"/>
      <c r="H718" s="30"/>
      <c r="I718" s="31" t="str">
        <f>Source!BO316</f>
        <v/>
      </c>
      <c r="J718" s="31"/>
      <c r="K718" s="30"/>
      <c r="L718" s="32"/>
      <c r="S718">
        <f>ROUND((Source!FX316/100)*((ROUND(Source!AF316*Source!I316, 2)+ROUND(Source!AE316*Source!I316, 2))), 2)</f>
        <v>130.53</v>
      </c>
      <c r="T718">
        <f>Source!X316</f>
        <v>875.81</v>
      </c>
      <c r="U718">
        <f>ROUND((Source!FY316/100)*((ROUND(Source!AF316*Source!I316, 2)+ROUND(Source!AE316*Source!I316, 2))), 2)</f>
        <v>89.31</v>
      </c>
      <c r="V718">
        <f>Source!Y316</f>
        <v>599.24</v>
      </c>
    </row>
    <row r="719" spans="1:26" x14ac:dyDescent="0.2">
      <c r="C719" s="23" t="str">
        <f>"Объем: "&amp;Source!I316&amp;"=40/"&amp;"100"</f>
        <v>Объем: 0,4=40/100</v>
      </c>
    </row>
    <row r="720" spans="1:26" ht="14.25" x14ac:dyDescent="0.2">
      <c r="A720" s="45"/>
      <c r="B720" s="46"/>
      <c r="C720" s="46" t="s">
        <v>1167</v>
      </c>
      <c r="D720" s="29"/>
      <c r="E720" s="11"/>
      <c r="F720" s="30">
        <f>Source!AO316</f>
        <v>342.84</v>
      </c>
      <c r="G720" s="31" t="str">
        <f>Source!DG316</f>
        <v/>
      </c>
      <c r="H720" s="30">
        <f>ROUND(Source!AF316*Source!I316, 2)</f>
        <v>137.13999999999999</v>
      </c>
      <c r="I720" s="31"/>
      <c r="J720" s="31">
        <f>IF(Source!BA316&lt;&gt; 0, Source!BA316, 1)</f>
        <v>6.71</v>
      </c>
      <c r="K720" s="30">
        <f>Source!S316</f>
        <v>920.18</v>
      </c>
      <c r="L720" s="32"/>
      <c r="R720">
        <f>H720</f>
        <v>137.13999999999999</v>
      </c>
    </row>
    <row r="721" spans="1:26" ht="14.25" x14ac:dyDescent="0.2">
      <c r="A721" s="45"/>
      <c r="B721" s="46"/>
      <c r="C721" s="46" t="s">
        <v>382</v>
      </c>
      <c r="D721" s="29"/>
      <c r="E721" s="11"/>
      <c r="F721" s="30">
        <f>Source!AM316</f>
        <v>4.67</v>
      </c>
      <c r="G721" s="31" t="str">
        <f>Source!DE316</f>
        <v/>
      </c>
      <c r="H721" s="30">
        <f>ROUND(Source!AD316*Source!I316, 2)</f>
        <v>1.87</v>
      </c>
      <c r="I721" s="31"/>
      <c r="J721" s="31">
        <f>IF(Source!BB316&lt;&gt; 0, Source!BB316, 1)</f>
        <v>6.71</v>
      </c>
      <c r="K721" s="30">
        <f>Source!Q316</f>
        <v>12.53</v>
      </c>
      <c r="L721" s="32"/>
    </row>
    <row r="722" spans="1:26" ht="14.25" x14ac:dyDescent="0.2">
      <c r="A722" s="45"/>
      <c r="B722" s="46"/>
      <c r="C722" s="46" t="s">
        <v>1168</v>
      </c>
      <c r="D722" s="29"/>
      <c r="E722" s="11"/>
      <c r="F722" s="30">
        <f>Source!AN316</f>
        <v>0.64</v>
      </c>
      <c r="G722" s="31" t="str">
        <f>Source!DF316</f>
        <v/>
      </c>
      <c r="H722" s="33">
        <f>ROUND(Source!AE316*Source!I316, 2)</f>
        <v>0.26</v>
      </c>
      <c r="I722" s="31"/>
      <c r="J722" s="31">
        <f>IF(Source!BS316&lt;&gt; 0, Source!BS316, 1)</f>
        <v>6.71</v>
      </c>
      <c r="K722" s="33">
        <f>Source!R316</f>
        <v>1.72</v>
      </c>
      <c r="L722" s="32"/>
      <c r="R722">
        <f>H722</f>
        <v>0.26</v>
      </c>
    </row>
    <row r="723" spans="1:26" ht="14.25" x14ac:dyDescent="0.2">
      <c r="A723" s="45"/>
      <c r="B723" s="46"/>
      <c r="C723" s="46" t="s">
        <v>1174</v>
      </c>
      <c r="D723" s="29"/>
      <c r="E723" s="11"/>
      <c r="F723" s="30">
        <f>Source!AL316</f>
        <v>106.42</v>
      </c>
      <c r="G723" s="31" t="str">
        <f>Source!DD316</f>
        <v/>
      </c>
      <c r="H723" s="30">
        <f>ROUND(Source!AC316*Source!I316, 2)</f>
        <v>42.57</v>
      </c>
      <c r="I723" s="31"/>
      <c r="J723" s="31">
        <f>IF(Source!BC316&lt;&gt; 0, Source!BC316, 1)</f>
        <v>6.71</v>
      </c>
      <c r="K723" s="30">
        <f>Source!P316</f>
        <v>285.63</v>
      </c>
      <c r="L723" s="32"/>
    </row>
    <row r="724" spans="1:26" ht="14.25" x14ac:dyDescent="0.2">
      <c r="A724" s="45"/>
      <c r="B724" s="46"/>
      <c r="C724" s="46" t="s">
        <v>1169</v>
      </c>
      <c r="D724" s="29" t="s">
        <v>1170</v>
      </c>
      <c r="E724" s="11">
        <f>Source!BZ316</f>
        <v>95</v>
      </c>
      <c r="F724" s="49"/>
      <c r="G724" s="31"/>
      <c r="H724" s="30">
        <f>SUM(S718:S727)</f>
        <v>130.53</v>
      </c>
      <c r="I724" s="34"/>
      <c r="J724" s="27">
        <f>Source!AT316</f>
        <v>95</v>
      </c>
      <c r="K724" s="30">
        <f>SUM(T718:T727)</f>
        <v>875.81</v>
      </c>
      <c r="L724" s="32"/>
    </row>
    <row r="725" spans="1:26" ht="14.25" x14ac:dyDescent="0.2">
      <c r="A725" s="45"/>
      <c r="B725" s="46"/>
      <c r="C725" s="46" t="s">
        <v>1171</v>
      </c>
      <c r="D725" s="29" t="s">
        <v>1170</v>
      </c>
      <c r="E725" s="11">
        <f>Source!CA316</f>
        <v>65</v>
      </c>
      <c r="F725" s="49"/>
      <c r="G725" s="31"/>
      <c r="H725" s="30">
        <f>SUM(U718:U727)</f>
        <v>89.31</v>
      </c>
      <c r="I725" s="34"/>
      <c r="J725" s="27">
        <f>Source!AU316</f>
        <v>65</v>
      </c>
      <c r="K725" s="30">
        <f>SUM(V718:V727)</f>
        <v>599.24</v>
      </c>
      <c r="L725" s="32"/>
    </row>
    <row r="726" spans="1:26" ht="14.25" x14ac:dyDescent="0.2">
      <c r="A726" s="45"/>
      <c r="B726" s="46"/>
      <c r="C726" s="46" t="s">
        <v>1172</v>
      </c>
      <c r="D726" s="29" t="s">
        <v>1173</v>
      </c>
      <c r="E726" s="11">
        <f>Source!AQ316</f>
        <v>34.56</v>
      </c>
      <c r="F726" s="30"/>
      <c r="G726" s="31" t="str">
        <f>Source!DI316</f>
        <v/>
      </c>
      <c r="H726" s="30"/>
      <c r="I726" s="31"/>
      <c r="J726" s="31"/>
      <c r="K726" s="30"/>
      <c r="L726" s="41">
        <f>Source!U316</f>
        <v>13.824000000000002</v>
      </c>
    </row>
    <row r="727" spans="1:26" ht="28.5" x14ac:dyDescent="0.2">
      <c r="A727" s="47" t="str">
        <f>Source!E317</f>
        <v>71,1</v>
      </c>
      <c r="B727" s="48" t="str">
        <f>Source!F317</f>
        <v>20.4.03.05-0005</v>
      </c>
      <c r="C727" s="48" t="str">
        <f>Source!G317</f>
        <v>Розетка  для открытой проводки (согласно тех.задания)</v>
      </c>
      <c r="D727" s="35" t="str">
        <f>Source!H317</f>
        <v>100 шт.</v>
      </c>
      <c r="E727" s="36">
        <f>Source!I317</f>
        <v>0.4</v>
      </c>
      <c r="F727" s="37">
        <f>Source!AL317+Source!AM317+Source!AO317</f>
        <v>734</v>
      </c>
      <c r="G727" s="42" t="s">
        <v>6</v>
      </c>
      <c r="H727" s="37">
        <f>ROUND(Source!AC317*Source!I317, 2)+ROUND(Source!AD317*Source!I317, 2)+ROUND(Source!AF317*Source!I317, 2)</f>
        <v>293.60000000000002</v>
      </c>
      <c r="I727" s="38"/>
      <c r="J727" s="38">
        <f>IF(Source!BC317&lt;&gt; 0, Source!BC317, 1)</f>
        <v>6.71</v>
      </c>
      <c r="K727" s="37">
        <f>Source!O317</f>
        <v>1970.06</v>
      </c>
      <c r="L727" s="43"/>
      <c r="S727">
        <f>ROUND((Source!FX317/100)*((ROUND(Source!AF317*Source!I317, 2)+ROUND(Source!AE317*Source!I317, 2))), 2)</f>
        <v>0</v>
      </c>
      <c r="T727">
        <f>Source!X317</f>
        <v>0</v>
      </c>
      <c r="U727">
        <f>ROUND((Source!FY317/100)*((ROUND(Source!AF317*Source!I317, 2)+ROUND(Source!AE317*Source!I317, 2))), 2)</f>
        <v>0</v>
      </c>
      <c r="V727">
        <f>Source!Y317</f>
        <v>0</v>
      </c>
      <c r="W727">
        <f>IF(Source!BI317&lt;=1,H727, 0)</f>
        <v>0</v>
      </c>
      <c r="X727">
        <f>IF(Source!BI317=2,H727, 0)</f>
        <v>293.60000000000002</v>
      </c>
      <c r="Y727">
        <f>IF(Source!BI317=3,H727, 0)</f>
        <v>0</v>
      </c>
      <c r="Z727">
        <f>IF(Source!BI317=4,H727, 0)</f>
        <v>0</v>
      </c>
    </row>
    <row r="728" spans="1:26" ht="15" x14ac:dyDescent="0.25">
      <c r="G728" s="72">
        <f>H720+H721+H723+H724+H725+SUM(H727:H727)</f>
        <v>695.02</v>
      </c>
      <c r="H728" s="72"/>
      <c r="J728" s="72">
        <f>K720+K721+K723+K724+K725+SUM(K727:K727)</f>
        <v>4663.4499999999989</v>
      </c>
      <c r="K728" s="72"/>
      <c r="L728" s="40">
        <f>Source!U316</f>
        <v>13.824000000000002</v>
      </c>
      <c r="O728" s="24">
        <f>G728</f>
        <v>695.02</v>
      </c>
      <c r="P728" s="24">
        <f>J728</f>
        <v>4663.4499999999989</v>
      </c>
      <c r="Q728" s="24">
        <f>L728</f>
        <v>13.824000000000002</v>
      </c>
      <c r="W728">
        <f>IF(Source!BI316&lt;=1,H720+H721+H723+H724+H725, 0)</f>
        <v>0</v>
      </c>
      <c r="X728">
        <f>IF(Source!BI316=2,H720+H721+H723+H724+H725, 0)</f>
        <v>401.42</v>
      </c>
      <c r="Y728">
        <f>IF(Source!BI316=3,H720+H721+H723+H724+H725, 0)</f>
        <v>0</v>
      </c>
      <c r="Z728">
        <f>IF(Source!BI316=4,H720+H721+H723+H724+H725, 0)</f>
        <v>0</v>
      </c>
    </row>
    <row r="730" spans="1:26" ht="15" x14ac:dyDescent="0.25">
      <c r="A730" s="70" t="str">
        <f>CONCATENATE("Итого по разделу: ",IF(Source!G319&lt;&gt;"Новый раздел", Source!G319, ""))</f>
        <v>Итого по разделу: Сети СКС</v>
      </c>
      <c r="B730" s="70"/>
      <c r="C730" s="70"/>
      <c r="D730" s="70"/>
      <c r="E730" s="70"/>
      <c r="F730" s="70"/>
      <c r="G730" s="71">
        <f>SUM(O678:O729)</f>
        <v>15309.73</v>
      </c>
      <c r="H730" s="71"/>
      <c r="I730" s="26"/>
      <c r="J730" s="71">
        <f>SUM(P678:P729)</f>
        <v>102728.06999999999</v>
      </c>
      <c r="K730" s="71"/>
      <c r="L730" s="40">
        <f>SUM(Q678:Q729)</f>
        <v>133.26599999999999</v>
      </c>
    </row>
    <row r="731" spans="1:26" ht="15" x14ac:dyDescent="0.25">
      <c r="A731" s="70" t="str">
        <f>CONCATENATE("Итого по локальной смете: ",IF(Source!G348&lt;&gt;"Новая локальная смета", Source!G348, ""))</f>
        <v xml:space="preserve">Итого по локальной смете: </v>
      </c>
      <c r="B731" s="70"/>
      <c r="C731" s="70"/>
      <c r="D731" s="70"/>
      <c r="E731" s="70"/>
      <c r="F731" s="70"/>
      <c r="G731" s="71">
        <f>SUM(O27:O730)</f>
        <v>278078.89000000013</v>
      </c>
      <c r="H731" s="71"/>
      <c r="I731" s="26"/>
      <c r="J731" s="71">
        <f>SUM(P27:P730)</f>
        <v>1901641.9900000007</v>
      </c>
      <c r="K731" s="71"/>
      <c r="L731" s="40">
        <f>SUM(Q27:Q730)</f>
        <v>1678.3632344</v>
      </c>
    </row>
    <row r="733" spans="1:26" x14ac:dyDescent="0.2">
      <c r="B733" s="69"/>
      <c r="C733" s="69"/>
      <c r="D733" s="69"/>
      <c r="E733" s="69"/>
      <c r="F733" s="69"/>
      <c r="G733" s="69"/>
      <c r="H733" s="69"/>
      <c r="I733" s="69"/>
      <c r="J733" s="69"/>
      <c r="K733" s="69"/>
    </row>
    <row r="734" spans="1:26" ht="15" x14ac:dyDescent="0.25">
      <c r="B734" s="69"/>
      <c r="C734" s="70" t="str">
        <f>Source!H376</f>
        <v>Итого</v>
      </c>
      <c r="D734" s="70"/>
      <c r="E734" s="70"/>
      <c r="F734" s="70"/>
      <c r="G734" s="70"/>
      <c r="H734" s="70"/>
      <c r="I734" s="70"/>
      <c r="J734" s="71">
        <f>IF(Source!F376=0, "", Source!F376)</f>
        <v>1901641.99</v>
      </c>
      <c r="K734" s="71"/>
    </row>
    <row r="735" spans="1:26" ht="15" x14ac:dyDescent="0.25">
      <c r="B735" s="69"/>
      <c r="C735" s="70" t="str">
        <f>Source!H377</f>
        <v>НДС 18%</v>
      </c>
      <c r="D735" s="70"/>
      <c r="E735" s="70"/>
      <c r="F735" s="70"/>
      <c r="G735" s="70"/>
      <c r="H735" s="70"/>
      <c r="I735" s="70"/>
      <c r="J735" s="71">
        <f>IF(Source!F377=0, "", Source!F377)</f>
        <v>342295.56</v>
      </c>
      <c r="K735" s="71"/>
    </row>
    <row r="736" spans="1:26" ht="15" x14ac:dyDescent="0.25">
      <c r="B736" s="69"/>
      <c r="C736" s="70" t="str">
        <f>Source!H378</f>
        <v>Всего</v>
      </c>
      <c r="D736" s="70"/>
      <c r="E736" s="70"/>
      <c r="F736" s="70"/>
      <c r="G736" s="70"/>
      <c r="H736" s="70"/>
      <c r="I736" s="70"/>
      <c r="J736" s="71">
        <f>IF(Source!F378=0, "", Source!F378)</f>
        <v>2243937.5499999998</v>
      </c>
      <c r="K736" s="71"/>
    </row>
  </sheetData>
  <mergeCells count="259">
    <mergeCell ref="C16:F16"/>
    <mergeCell ref="G16:H16"/>
    <mergeCell ref="I16:J16"/>
    <mergeCell ref="K16:L16"/>
    <mergeCell ref="C17:F17"/>
    <mergeCell ref="G17:H17"/>
    <mergeCell ref="I17:J17"/>
    <mergeCell ref="K17:L17"/>
    <mergeCell ref="B5:K5"/>
    <mergeCell ref="B7:K7"/>
    <mergeCell ref="B9:K9"/>
    <mergeCell ref="B10:K10"/>
    <mergeCell ref="A12:L12"/>
    <mergeCell ref="G15:H15"/>
    <mergeCell ref="I15:J15"/>
    <mergeCell ref="C20:F20"/>
    <mergeCell ref="G20:H20"/>
    <mergeCell ref="I20:J20"/>
    <mergeCell ref="K20:L20"/>
    <mergeCell ref="C21:F21"/>
    <mergeCell ref="G21:H21"/>
    <mergeCell ref="I21:J21"/>
    <mergeCell ref="K21:L21"/>
    <mergeCell ref="C18:F18"/>
    <mergeCell ref="G18:H18"/>
    <mergeCell ref="I18:J18"/>
    <mergeCell ref="K18:L18"/>
    <mergeCell ref="C19:F19"/>
    <mergeCell ref="G19:H19"/>
    <mergeCell ref="I19:J19"/>
    <mergeCell ref="K19:L19"/>
    <mergeCell ref="C734:I734"/>
    <mergeCell ref="J734:K734"/>
    <mergeCell ref="J687:K687"/>
    <mergeCell ref="G687:H687"/>
    <mergeCell ref="A678:L678"/>
    <mergeCell ref="G674:H674"/>
    <mergeCell ref="C22:F22"/>
    <mergeCell ref="G22:H22"/>
    <mergeCell ref="I22:J22"/>
    <mergeCell ref="K22:L22"/>
    <mergeCell ref="A24:L24"/>
    <mergeCell ref="F95:G95"/>
    <mergeCell ref="F94:G94"/>
    <mergeCell ref="J88:K88"/>
    <mergeCell ref="F85:G85"/>
    <mergeCell ref="J81:K81"/>
    <mergeCell ref="G81:H81"/>
    <mergeCell ref="J70:K70"/>
    <mergeCell ref="G70:H70"/>
    <mergeCell ref="C735:I735"/>
    <mergeCell ref="J735:K735"/>
    <mergeCell ref="C736:I736"/>
    <mergeCell ref="J736:K736"/>
    <mergeCell ref="F35:G35"/>
    <mergeCell ref="F34:G34"/>
    <mergeCell ref="A28:L28"/>
    <mergeCell ref="G146:H146"/>
    <mergeCell ref="F142:G142"/>
    <mergeCell ref="F141:G141"/>
    <mergeCell ref="J134:K134"/>
    <mergeCell ref="G134:H134"/>
    <mergeCell ref="F129:G129"/>
    <mergeCell ref="F128:G128"/>
    <mergeCell ref="J45:K45"/>
    <mergeCell ref="G45:H45"/>
    <mergeCell ref="F43:G43"/>
    <mergeCell ref="F42:G42"/>
    <mergeCell ref="J37:K37"/>
    <mergeCell ref="G37:H37"/>
    <mergeCell ref="F68:G68"/>
    <mergeCell ref="F67:G67"/>
    <mergeCell ref="J61:K61"/>
    <mergeCell ref="G61:H61"/>
    <mergeCell ref="J52:K52"/>
    <mergeCell ref="G52:H52"/>
    <mergeCell ref="G88:H88"/>
    <mergeCell ref="F86:G86"/>
    <mergeCell ref="J97:K97"/>
    <mergeCell ref="G97:H97"/>
    <mergeCell ref="F217:G217"/>
    <mergeCell ref="F216:G216"/>
    <mergeCell ref="J211:K211"/>
    <mergeCell ref="G211:H211"/>
    <mergeCell ref="F197:G197"/>
    <mergeCell ref="F196:G196"/>
    <mergeCell ref="J189:K189"/>
    <mergeCell ref="G189:H189"/>
    <mergeCell ref="F111:G111"/>
    <mergeCell ref="F110:G110"/>
    <mergeCell ref="J106:K106"/>
    <mergeCell ref="G106:H106"/>
    <mergeCell ref="F104:G104"/>
    <mergeCell ref="F103:G103"/>
    <mergeCell ref="J122:K122"/>
    <mergeCell ref="G122:H122"/>
    <mergeCell ref="F119:G119"/>
    <mergeCell ref="F118:G118"/>
    <mergeCell ref="J113:K113"/>
    <mergeCell ref="G113:H113"/>
    <mergeCell ref="J146:K146"/>
    <mergeCell ref="F292:G292"/>
    <mergeCell ref="J285:K285"/>
    <mergeCell ref="G285:H285"/>
    <mergeCell ref="F281:G281"/>
    <mergeCell ref="F280:G280"/>
    <mergeCell ref="J273:K273"/>
    <mergeCell ref="G273:H273"/>
    <mergeCell ref="F269:G269"/>
    <mergeCell ref="F268:G268"/>
    <mergeCell ref="J167:K167"/>
    <mergeCell ref="G167:H167"/>
    <mergeCell ref="F165:G165"/>
    <mergeCell ref="F164:G164"/>
    <mergeCell ref="J157:K157"/>
    <mergeCell ref="G157:H157"/>
    <mergeCell ref="F185:G185"/>
    <mergeCell ref="F184:G184"/>
    <mergeCell ref="J177:K177"/>
    <mergeCell ref="G177:H177"/>
    <mergeCell ref="F175:G175"/>
    <mergeCell ref="F174:G174"/>
    <mergeCell ref="J346:K346"/>
    <mergeCell ref="G346:H346"/>
    <mergeCell ref="J339:K339"/>
    <mergeCell ref="G339:H339"/>
    <mergeCell ref="J232:K232"/>
    <mergeCell ref="G232:H232"/>
    <mergeCell ref="F230:G230"/>
    <mergeCell ref="F229:G229"/>
    <mergeCell ref="J222:K222"/>
    <mergeCell ref="G222:H222"/>
    <mergeCell ref="J261:K261"/>
    <mergeCell ref="G261:H261"/>
    <mergeCell ref="J249:K249"/>
    <mergeCell ref="G249:H249"/>
    <mergeCell ref="F239:G239"/>
    <mergeCell ref="F238:G238"/>
    <mergeCell ref="J297:K297"/>
    <mergeCell ref="G297:H297"/>
    <mergeCell ref="F293:G293"/>
    <mergeCell ref="G403:H403"/>
    <mergeCell ref="J396:K396"/>
    <mergeCell ref="G396:H396"/>
    <mergeCell ref="F392:G392"/>
    <mergeCell ref="F391:G391"/>
    <mergeCell ref="J384:K384"/>
    <mergeCell ref="G384:H384"/>
    <mergeCell ref="F314:G314"/>
    <mergeCell ref="F313:G313"/>
    <mergeCell ref="J306:K306"/>
    <mergeCell ref="G306:H306"/>
    <mergeCell ref="F302:G302"/>
    <mergeCell ref="F301:G301"/>
    <mergeCell ref="J328:K328"/>
    <mergeCell ref="G328:H328"/>
    <mergeCell ref="F326:G326"/>
    <mergeCell ref="F325:G325"/>
    <mergeCell ref="J318:K318"/>
    <mergeCell ref="G318:H318"/>
    <mergeCell ref="J348:K348"/>
    <mergeCell ref="G348:H348"/>
    <mergeCell ref="J350:K350"/>
    <mergeCell ref="G350:H350"/>
    <mergeCell ref="G473:H473"/>
    <mergeCell ref="J462:K462"/>
    <mergeCell ref="G462:H462"/>
    <mergeCell ref="J455:K455"/>
    <mergeCell ref="G455:H455"/>
    <mergeCell ref="J448:K448"/>
    <mergeCell ref="G448:H448"/>
    <mergeCell ref="J440:K440"/>
    <mergeCell ref="J362:K362"/>
    <mergeCell ref="G362:H362"/>
    <mergeCell ref="A353:L353"/>
    <mergeCell ref="G352:H352"/>
    <mergeCell ref="J352:K352"/>
    <mergeCell ref="A352:F352"/>
    <mergeCell ref="F381:G381"/>
    <mergeCell ref="F380:G380"/>
    <mergeCell ref="J374:K374"/>
    <mergeCell ref="G374:H374"/>
    <mergeCell ref="F370:G370"/>
    <mergeCell ref="F369:G369"/>
    <mergeCell ref="A406:L406"/>
    <mergeCell ref="G405:H405"/>
    <mergeCell ref="J405:K405"/>
    <mergeCell ref="A405:F405"/>
    <mergeCell ref="J403:K403"/>
    <mergeCell ref="J567:K567"/>
    <mergeCell ref="G567:H567"/>
    <mergeCell ref="J557:K557"/>
    <mergeCell ref="G557:H557"/>
    <mergeCell ref="J545:K545"/>
    <mergeCell ref="G440:H440"/>
    <mergeCell ref="J433:K433"/>
    <mergeCell ref="G433:H433"/>
    <mergeCell ref="J424:K424"/>
    <mergeCell ref="G424:H424"/>
    <mergeCell ref="J415:K415"/>
    <mergeCell ref="G415:H415"/>
    <mergeCell ref="J473:K473"/>
    <mergeCell ref="J636:K636"/>
    <mergeCell ref="G636:H636"/>
    <mergeCell ref="J628:K628"/>
    <mergeCell ref="G628:H628"/>
    <mergeCell ref="A622:L622"/>
    <mergeCell ref="G620:H620"/>
    <mergeCell ref="J620:K620"/>
    <mergeCell ref="A620:F620"/>
    <mergeCell ref="J618:K618"/>
    <mergeCell ref="J501:K501"/>
    <mergeCell ref="G501:H501"/>
    <mergeCell ref="J492:K492"/>
    <mergeCell ref="G492:H492"/>
    <mergeCell ref="J481:K481"/>
    <mergeCell ref="G481:H481"/>
    <mergeCell ref="G545:H545"/>
    <mergeCell ref="J534:K534"/>
    <mergeCell ref="G534:H534"/>
    <mergeCell ref="J523:K523"/>
    <mergeCell ref="G523:H523"/>
    <mergeCell ref="J512:K512"/>
    <mergeCell ref="G512:H512"/>
    <mergeCell ref="J593:K593"/>
    <mergeCell ref="G593:H593"/>
    <mergeCell ref="J582:K582"/>
    <mergeCell ref="G582:H582"/>
    <mergeCell ref="J717:K717"/>
    <mergeCell ref="G717:H717"/>
    <mergeCell ref="J706:K706"/>
    <mergeCell ref="G706:H706"/>
    <mergeCell ref="J699:K699"/>
    <mergeCell ref="G699:H699"/>
    <mergeCell ref="G618:H618"/>
    <mergeCell ref="J612:K612"/>
    <mergeCell ref="G612:H612"/>
    <mergeCell ref="J606:K606"/>
    <mergeCell ref="G606:H606"/>
    <mergeCell ref="J599:K599"/>
    <mergeCell ref="G599:H599"/>
    <mergeCell ref="A731:F731"/>
    <mergeCell ref="G730:H730"/>
    <mergeCell ref="J730:K730"/>
    <mergeCell ref="A730:F730"/>
    <mergeCell ref="J728:K728"/>
    <mergeCell ref="G728:H728"/>
    <mergeCell ref="J654:K654"/>
    <mergeCell ref="G654:H654"/>
    <mergeCell ref="J645:K645"/>
    <mergeCell ref="G645:H645"/>
    <mergeCell ref="G731:H731"/>
    <mergeCell ref="J731:K731"/>
    <mergeCell ref="J674:K674"/>
    <mergeCell ref="A674:F674"/>
    <mergeCell ref="J672:K672"/>
    <mergeCell ref="G672:H672"/>
    <mergeCell ref="J665:K665"/>
    <mergeCell ref="G665:H665"/>
  </mergeCells>
  <pageMargins left="0.4" right="0.2" top="0.4" bottom="0.4" header="0.2" footer="0.2"/>
  <pageSetup paperSize="9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018"/>
  <sheetViews>
    <sheetView zoomScaleNormal="100" workbookViewId="0"/>
  </sheetViews>
  <sheetFormatPr defaultRowHeight="12.75" x14ac:dyDescent="0.2"/>
  <cols>
    <col min="1" max="2" width="5.7109375" customWidth="1"/>
    <col min="3" max="3" width="40.7109375" customWidth="1"/>
    <col min="4" max="8" width="12.7109375" customWidth="1"/>
    <col min="20" max="30" width="0" hidden="1" customWidth="1"/>
    <col min="31" max="31" width="64.7109375" hidden="1" customWidth="1"/>
    <col min="32" max="32" width="0" hidden="1" customWidth="1"/>
    <col min="33" max="33" width="76.7109375" hidden="1" customWidth="1"/>
    <col min="34" max="37" width="0" hidden="1" customWidth="1"/>
  </cols>
  <sheetData>
    <row r="1" spans="1:31" x14ac:dyDescent="0.2">
      <c r="A1" s="10" t="str">
        <f>Source!B1</f>
        <v>Smeta.RU  (495) 974-1589</v>
      </c>
    </row>
    <row r="2" spans="1:31" ht="15" x14ac:dyDescent="0.25">
      <c r="A2" s="26"/>
      <c r="B2" s="26"/>
      <c r="C2" s="26"/>
      <c r="D2" s="26"/>
      <c r="E2" s="111" t="s">
        <v>1175</v>
      </c>
      <c r="F2" s="111"/>
      <c r="G2" s="111"/>
      <c r="H2" s="111"/>
    </row>
    <row r="3" spans="1:31" ht="14.25" x14ac:dyDescent="0.2">
      <c r="A3" s="12"/>
      <c r="B3" s="12"/>
      <c r="C3" s="12"/>
      <c r="D3" s="12"/>
      <c r="E3" s="111" t="s">
        <v>1176</v>
      </c>
      <c r="F3" s="111"/>
      <c r="G3" s="111"/>
      <c r="H3" s="111"/>
    </row>
    <row r="4" spans="1:31" ht="14.25" x14ac:dyDescent="0.2">
      <c r="A4" s="12"/>
      <c r="B4" s="12"/>
      <c r="C4" s="12"/>
      <c r="D4" s="12"/>
      <c r="E4" s="111" t="s">
        <v>1177</v>
      </c>
      <c r="F4" s="111"/>
      <c r="G4" s="111"/>
      <c r="H4" s="111"/>
    </row>
    <row r="5" spans="1:31" ht="14.25" x14ac:dyDescent="0.2">
      <c r="A5" s="12"/>
      <c r="B5" s="12"/>
      <c r="C5" s="12"/>
      <c r="D5" s="12"/>
      <c r="E5" s="12"/>
      <c r="F5" s="12"/>
      <c r="G5" s="12"/>
      <c r="H5" s="12"/>
    </row>
    <row r="6" spans="1:31" ht="14.25" x14ac:dyDescent="0.2">
      <c r="A6" s="12"/>
      <c r="B6" s="12"/>
      <c r="C6" s="12"/>
      <c r="D6" s="12"/>
      <c r="E6" s="12"/>
      <c r="F6" s="12"/>
      <c r="G6" s="102" t="s">
        <v>1178</v>
      </c>
      <c r="H6" s="103"/>
    </row>
    <row r="7" spans="1:31" ht="14.25" x14ac:dyDescent="0.2">
      <c r="A7" s="12"/>
      <c r="B7" s="12"/>
      <c r="C7" s="12"/>
      <c r="D7" s="12"/>
      <c r="E7" s="12"/>
      <c r="F7" s="11" t="s">
        <v>1179</v>
      </c>
      <c r="G7" s="112" t="s">
        <v>1180</v>
      </c>
      <c r="H7" s="103"/>
    </row>
    <row r="8" spans="1:31" ht="14.25" x14ac:dyDescent="0.2">
      <c r="A8" s="12"/>
      <c r="B8" s="12"/>
      <c r="C8" s="12"/>
      <c r="D8" s="12"/>
      <c r="E8" s="12"/>
      <c r="F8" s="12"/>
      <c r="G8" s="102" t="str">
        <f>IF(Source!AT15 &lt;&gt; "", Source!AT15, "")</f>
        <v/>
      </c>
      <c r="H8" s="103"/>
    </row>
    <row r="9" spans="1:31" ht="14.25" x14ac:dyDescent="0.2">
      <c r="A9" s="12" t="s">
        <v>1181</v>
      </c>
      <c r="B9" s="12"/>
      <c r="C9" s="108" t="str">
        <f>IF(Source!BA15 &lt;&gt; "", Source!BA15, IF(Source!AU15 &lt;&gt; "", Source!AU15, ""))</f>
        <v/>
      </c>
      <c r="D9" s="108"/>
      <c r="E9" s="108"/>
      <c r="F9" s="11" t="s">
        <v>1182</v>
      </c>
      <c r="G9" s="106"/>
      <c r="H9" s="107"/>
    </row>
    <row r="10" spans="1:31" ht="14.25" x14ac:dyDescent="0.2">
      <c r="A10" s="12"/>
      <c r="B10" s="12"/>
      <c r="C10" s="100" t="s">
        <v>1183</v>
      </c>
      <c r="D10" s="100"/>
      <c r="E10" s="100"/>
      <c r="F10" s="12"/>
      <c r="G10" s="102" t="str">
        <f>IF(Source!AK15 &lt;&gt; "", Source!AK15, "")</f>
        <v/>
      </c>
      <c r="H10" s="103"/>
    </row>
    <row r="11" spans="1:31" ht="14.25" x14ac:dyDescent="0.2">
      <c r="A11" s="12" t="s">
        <v>1184</v>
      </c>
      <c r="B11" s="12"/>
      <c r="C11" s="108" t="str">
        <f>IF(Source!AX12&lt;&gt; "", Source!AX12, IF(Source!AJ12 &lt;&gt; "", Source!AJ12, ""))</f>
        <v/>
      </c>
      <c r="D11" s="108"/>
      <c r="E11" s="108"/>
      <c r="F11" s="11" t="s">
        <v>1182</v>
      </c>
      <c r="G11" s="106"/>
      <c r="H11" s="107"/>
    </row>
    <row r="12" spans="1:31" ht="14.25" x14ac:dyDescent="0.2">
      <c r="A12" s="12"/>
      <c r="B12" s="12"/>
      <c r="C12" s="100" t="s">
        <v>1183</v>
      </c>
      <c r="D12" s="100"/>
      <c r="E12" s="100"/>
      <c r="F12" s="12"/>
      <c r="G12" s="102" t="str">
        <f>IF(Source!AO15 &lt;&gt; "", Source!AO15, "")</f>
        <v/>
      </c>
      <c r="H12" s="103"/>
    </row>
    <row r="13" spans="1:31" ht="14.25" x14ac:dyDescent="0.2">
      <c r="A13" s="12" t="s">
        <v>1185</v>
      </c>
      <c r="B13" s="12"/>
      <c r="C13" s="108" t="str">
        <f>IF(Source!AY12&lt;&gt; "", Source!AY12, IF(Source!AN12 &lt;&gt; "", Source!AN12, ""))</f>
        <v/>
      </c>
      <c r="D13" s="108"/>
      <c r="E13" s="108"/>
      <c r="F13" s="11" t="s">
        <v>1182</v>
      </c>
      <c r="G13" s="106"/>
      <c r="H13" s="107"/>
    </row>
    <row r="14" spans="1:31" ht="14.25" x14ac:dyDescent="0.2">
      <c r="A14" s="12"/>
      <c r="B14" s="12"/>
      <c r="C14" s="100" t="s">
        <v>1183</v>
      </c>
      <c r="D14" s="100"/>
      <c r="E14" s="100"/>
      <c r="F14" s="12"/>
      <c r="G14" s="102" t="str">
        <f>IF(Source!CO15 &lt;&gt; "", Source!CO15, "")</f>
        <v/>
      </c>
      <c r="H14" s="103"/>
    </row>
    <row r="15" spans="1:31" ht="42.75" x14ac:dyDescent="0.2">
      <c r="A15" s="12" t="s">
        <v>1186</v>
      </c>
      <c r="B15" s="12"/>
      <c r="C15" s="108" t="s">
        <v>5</v>
      </c>
      <c r="D15" s="108"/>
      <c r="E15" s="108"/>
      <c r="F15" s="12"/>
      <c r="G15" s="106"/>
      <c r="H15" s="107"/>
      <c r="AE15" s="28" t="s">
        <v>5</v>
      </c>
    </row>
    <row r="16" spans="1:31" ht="14.25" x14ac:dyDescent="0.2">
      <c r="A16" s="12"/>
      <c r="B16" s="12"/>
      <c r="C16" s="100" t="s">
        <v>1187</v>
      </c>
      <c r="D16" s="100"/>
      <c r="E16" s="100"/>
      <c r="F16" s="12"/>
      <c r="G16" s="102" t="str">
        <f>IF(Source!CP15 &lt;&gt; "", Source!CP15, "")</f>
        <v/>
      </c>
      <c r="H16" s="103"/>
    </row>
    <row r="17" spans="1:31" ht="57" x14ac:dyDescent="0.2">
      <c r="A17" s="12" t="s">
        <v>1188</v>
      </c>
      <c r="B17" s="12"/>
      <c r="C17" s="108" t="str">
        <f>IF(Source!G12&lt;&gt;"Новый объект", Source!G12, "")</f>
        <v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  <c r="D17" s="108"/>
      <c r="E17" s="108"/>
      <c r="F17" s="12"/>
      <c r="G17" s="109"/>
      <c r="H17" s="110"/>
      <c r="AE17" s="28" t="str">
        <f>IF(Source!G12&lt;&gt;"Новый объект", Source!G12, "")</f>
        <v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</row>
    <row r="18" spans="1:31" ht="14.25" x14ac:dyDescent="0.2">
      <c r="A18" s="12"/>
      <c r="B18" s="12"/>
      <c r="C18" s="100" t="s">
        <v>1189</v>
      </c>
      <c r="D18" s="100"/>
      <c r="E18" s="100"/>
      <c r="F18" s="12"/>
      <c r="G18" s="12"/>
      <c r="H18" s="12"/>
    </row>
    <row r="19" spans="1:31" ht="14.25" x14ac:dyDescent="0.2">
      <c r="A19" s="12"/>
      <c r="B19" s="12"/>
      <c r="C19" s="12"/>
      <c r="D19" s="80" t="s">
        <v>1190</v>
      </c>
      <c r="E19" s="80"/>
      <c r="F19" s="101"/>
      <c r="G19" s="102" t="str">
        <f>IF(Source!CQ15 &lt;&gt; "", Source!CQ15, "")</f>
        <v/>
      </c>
      <c r="H19" s="103"/>
    </row>
    <row r="20" spans="1:31" ht="14.25" x14ac:dyDescent="0.2">
      <c r="A20" s="12"/>
      <c r="B20" s="12"/>
      <c r="C20" s="12"/>
      <c r="D20" s="80" t="s">
        <v>1191</v>
      </c>
      <c r="E20" s="101"/>
      <c r="F20" s="51" t="s">
        <v>1192</v>
      </c>
      <c r="G20" s="102" t="str">
        <f>IF(Source!CR15 &lt;&gt; "", Source!CR15, "")</f>
        <v/>
      </c>
      <c r="H20" s="103"/>
    </row>
    <row r="21" spans="1:31" ht="14.25" x14ac:dyDescent="0.2">
      <c r="A21" s="12"/>
      <c r="B21" s="12"/>
      <c r="C21" s="12"/>
      <c r="D21" s="12"/>
      <c r="E21" s="12"/>
      <c r="F21" s="20" t="s">
        <v>1193</v>
      </c>
      <c r="G21" s="104" t="str">
        <f>IF(Source!CS15 &lt;&gt; 0, Source!CS15, "")</f>
        <v/>
      </c>
      <c r="H21" s="105"/>
    </row>
    <row r="22" spans="1:31" ht="14.25" x14ac:dyDescent="0.2">
      <c r="A22" s="12"/>
      <c r="B22" s="12"/>
      <c r="C22" s="12"/>
      <c r="D22" s="12"/>
      <c r="E22" s="12"/>
      <c r="F22" s="11" t="s">
        <v>1194</v>
      </c>
      <c r="G22" s="92" t="str">
        <f>IF(Source!CT15 &lt;&gt; "", Source!CT15, "")</f>
        <v/>
      </c>
      <c r="H22" s="93"/>
    </row>
    <row r="23" spans="1:31" ht="14.25" x14ac:dyDescent="0.2">
      <c r="A23" s="12"/>
      <c r="B23" s="12"/>
      <c r="C23" s="12"/>
      <c r="D23" s="12"/>
      <c r="E23" s="12"/>
      <c r="F23" s="12"/>
      <c r="G23" s="12"/>
      <c r="H23" s="12"/>
    </row>
    <row r="24" spans="1:31" ht="14.25" x14ac:dyDescent="0.2">
      <c r="A24" s="12"/>
      <c r="B24" s="12"/>
      <c r="C24" s="12"/>
      <c r="D24" s="94" t="s">
        <v>1195</v>
      </c>
      <c r="E24" s="96" t="s">
        <v>1196</v>
      </c>
      <c r="F24" s="96" t="s">
        <v>1197</v>
      </c>
      <c r="G24" s="98"/>
      <c r="H24" s="12"/>
    </row>
    <row r="25" spans="1:31" ht="14.25" x14ac:dyDescent="0.2">
      <c r="A25" s="12"/>
      <c r="B25" s="12"/>
      <c r="C25" s="12"/>
      <c r="D25" s="95"/>
      <c r="E25" s="97"/>
      <c r="F25" s="52" t="s">
        <v>1198</v>
      </c>
      <c r="G25" s="53" t="s">
        <v>1199</v>
      </c>
      <c r="H25" s="12"/>
    </row>
    <row r="26" spans="1:31" ht="14.25" x14ac:dyDescent="0.2">
      <c r="A26" s="12"/>
      <c r="B26" s="12"/>
      <c r="C26" s="12"/>
      <c r="D26" s="54" t="str">
        <f>IF(Source!CN15 &lt;&gt; "", Source!CN15, "")</f>
        <v/>
      </c>
      <c r="E26" s="55">
        <v>43389.433240740742</v>
      </c>
      <c r="F26" s="54"/>
      <c r="G26" s="56"/>
      <c r="H26" s="12"/>
    </row>
    <row r="27" spans="1:31" ht="14.25" x14ac:dyDescent="0.2">
      <c r="A27" s="12"/>
      <c r="B27" s="12"/>
      <c r="C27" s="12"/>
      <c r="D27" s="12"/>
      <c r="E27" s="12"/>
      <c r="F27" s="12"/>
      <c r="G27" s="12"/>
      <c r="H27" s="12"/>
    </row>
    <row r="28" spans="1:31" ht="18" x14ac:dyDescent="0.25">
      <c r="A28" s="99" t="s">
        <v>1200</v>
      </c>
      <c r="B28" s="99"/>
      <c r="C28" s="99"/>
      <c r="D28" s="99"/>
      <c r="E28" s="99"/>
      <c r="F28" s="99"/>
      <c r="G28" s="99"/>
      <c r="H28" s="99"/>
    </row>
    <row r="29" spans="1:31" ht="18" x14ac:dyDescent="0.25">
      <c r="A29" s="99" t="s">
        <v>1201</v>
      </c>
      <c r="B29" s="99"/>
      <c r="C29" s="99"/>
      <c r="D29" s="99"/>
      <c r="E29" s="99"/>
      <c r="F29" s="99"/>
      <c r="G29" s="99"/>
      <c r="H29" s="99"/>
    </row>
    <row r="30" spans="1:31" ht="14.25" x14ac:dyDescent="0.2">
      <c r="A30" s="12"/>
      <c r="B30" s="12"/>
      <c r="C30" s="12"/>
      <c r="D30" s="12"/>
      <c r="E30" s="12"/>
      <c r="F30" s="12"/>
      <c r="G30" s="12"/>
      <c r="H30" s="12"/>
    </row>
    <row r="31" spans="1:31" ht="15" x14ac:dyDescent="0.25">
      <c r="A31" s="9" t="s">
        <v>1202</v>
      </c>
      <c r="B31" s="12"/>
      <c r="C31" s="12"/>
      <c r="D31" s="12"/>
      <c r="E31" s="12"/>
      <c r="F31" s="90">
        <f>(Source!F407/1000)</f>
        <v>1901.6419900000001</v>
      </c>
      <c r="G31" s="90"/>
      <c r="H31" s="12" t="s">
        <v>1203</v>
      </c>
    </row>
    <row r="32" spans="1:31" ht="14.25" x14ac:dyDescent="0.2">
      <c r="A32" s="12"/>
      <c r="B32" s="12"/>
      <c r="C32" s="12"/>
      <c r="D32" s="12"/>
      <c r="E32" s="12"/>
      <c r="F32" s="12"/>
      <c r="G32" s="12"/>
      <c r="H32" s="12"/>
    </row>
    <row r="33" spans="1:28" ht="14.25" x14ac:dyDescent="0.2">
      <c r="A33" s="91" t="s">
        <v>1204</v>
      </c>
      <c r="B33" s="91"/>
      <c r="C33" s="91" t="s">
        <v>1205</v>
      </c>
      <c r="D33" s="91" t="s">
        <v>1206</v>
      </c>
      <c r="E33" s="91" t="s">
        <v>1207</v>
      </c>
      <c r="F33" s="91" t="s">
        <v>1208</v>
      </c>
      <c r="G33" s="91"/>
      <c r="H33" s="91"/>
    </row>
    <row r="34" spans="1:28" ht="57" x14ac:dyDescent="0.2">
      <c r="A34" s="19" t="s">
        <v>1209</v>
      </c>
      <c r="B34" s="19" t="s">
        <v>1210</v>
      </c>
      <c r="C34" s="91"/>
      <c r="D34" s="91"/>
      <c r="E34" s="91"/>
      <c r="F34" s="19" t="s">
        <v>1211</v>
      </c>
      <c r="G34" s="19" t="s">
        <v>1212</v>
      </c>
      <c r="H34" s="19" t="s">
        <v>1213</v>
      </c>
    </row>
    <row r="35" spans="1:28" ht="14.25" x14ac:dyDescent="0.2">
      <c r="A35" s="19">
        <v>1</v>
      </c>
      <c r="B35" s="19">
        <v>2</v>
      </c>
      <c r="C35" s="19">
        <v>3</v>
      </c>
      <c r="D35" s="19">
        <v>4</v>
      </c>
      <c r="E35" s="19">
        <v>5</v>
      </c>
      <c r="F35" s="19">
        <v>6</v>
      </c>
      <c r="G35" s="19">
        <v>7</v>
      </c>
      <c r="H35" s="19">
        <v>8</v>
      </c>
    </row>
    <row r="37" spans="1:28" ht="16.5" x14ac:dyDescent="0.25">
      <c r="A37" s="73" t="str">
        <f>CONCATENATE("Локальная смета: ",IF(Source!G20&lt;&gt;"Новая локальная смета", Source!G20, ""))</f>
        <v xml:space="preserve">Локальная смета: </v>
      </c>
      <c r="B37" s="73"/>
      <c r="C37" s="73"/>
      <c r="D37" s="73"/>
      <c r="E37" s="73"/>
      <c r="F37" s="73"/>
      <c r="G37" s="73"/>
      <c r="H37" s="73"/>
    </row>
    <row r="39" spans="1:28" ht="16.5" x14ac:dyDescent="0.25">
      <c r="A39" s="73" t="str">
        <f>CONCATENATE("Раздел: ",IF(Source!G24&lt;&gt;"Новый раздел", Source!G24, ""))</f>
        <v>Раздел: 1 Общестроительные работы</v>
      </c>
      <c r="B39" s="73"/>
      <c r="C39" s="73"/>
      <c r="D39" s="73"/>
      <c r="E39" s="73"/>
      <c r="F39" s="73"/>
      <c r="G39" s="73"/>
      <c r="H39" s="73"/>
    </row>
    <row r="40" spans="1:28" ht="57" x14ac:dyDescent="0.2">
      <c r="A40" s="46">
        <v>1</v>
      </c>
      <c r="B40" s="46" t="str">
        <f>Source!E28</f>
        <v>1</v>
      </c>
      <c r="C40" s="46" t="str">
        <f>Source!G28</f>
        <v>Разборка деревянных заполнений проемов дверных и воротных (отбивка штукатурки откосов 24,86м2 входит в состав работ)</v>
      </c>
      <c r="D40" s="46" t="str">
        <f>Source!F28</f>
        <v>46-04-012-03</v>
      </c>
      <c r="E40" s="31" t="str">
        <f>Source!H28</f>
        <v>100 м2</v>
      </c>
      <c r="F40" s="12">
        <f>Source!I28</f>
        <v>9.3600000000000003E-2</v>
      </c>
      <c r="G40" s="22">
        <f>Source!AB28</f>
        <v>1082.58</v>
      </c>
      <c r="H40" s="22">
        <f>Source!O28</f>
        <v>679.92</v>
      </c>
      <c r="T40">
        <f>Source!O28+Source!X28+Source!Y28</f>
        <v>1623.7199999999998</v>
      </c>
      <c r="U40">
        <f>Source!P28</f>
        <v>0</v>
      </c>
      <c r="V40">
        <f>Source!S28</f>
        <v>527.96</v>
      </c>
      <c r="W40">
        <f>Source!Q28</f>
        <v>151.96</v>
      </c>
      <c r="X40">
        <f>Source!R28</f>
        <v>65.63</v>
      </c>
      <c r="Y40">
        <f>Source!U28</f>
        <v>9.7259759999999993</v>
      </c>
      <c r="Z40">
        <f>Source!V28</f>
        <v>0.724464</v>
      </c>
      <c r="AA40">
        <f>Source!X28</f>
        <v>587.65</v>
      </c>
      <c r="AB40">
        <f>Source!Y28</f>
        <v>356.15</v>
      </c>
    </row>
    <row r="41" spans="1:28" ht="14.25" x14ac:dyDescent="0.2">
      <c r="C41" s="23" t="str">
        <f>"Объем: "&amp;Source!I28&amp;"=9,36/"&amp;"100"</f>
        <v>Объем: 0,0936=9,36/100</v>
      </c>
      <c r="F41" s="12"/>
      <c r="G41" s="12"/>
      <c r="H41" s="12"/>
    </row>
    <row r="42" spans="1:28" x14ac:dyDescent="0.2">
      <c r="C42" s="23" t="s">
        <v>1214</v>
      </c>
      <c r="D42" s="23">
        <f>Source!BA28</f>
        <v>6.71</v>
      </c>
    </row>
    <row r="43" spans="1:28" x14ac:dyDescent="0.2">
      <c r="C43" s="23" t="s">
        <v>1215</v>
      </c>
      <c r="D43" s="23">
        <f>Source!BB28</f>
        <v>6.71</v>
      </c>
    </row>
    <row r="44" spans="1:28" x14ac:dyDescent="0.2">
      <c r="C44" s="23" t="s">
        <v>1216</v>
      </c>
      <c r="D44" s="23">
        <f>Source!BC28</f>
        <v>6.71</v>
      </c>
    </row>
    <row r="45" spans="1:28" x14ac:dyDescent="0.2">
      <c r="C45" s="23" t="s">
        <v>1217</v>
      </c>
      <c r="D45" s="23">
        <f>Source!BS28</f>
        <v>6.71</v>
      </c>
    </row>
    <row r="46" spans="1:28" x14ac:dyDescent="0.2">
      <c r="C46" s="9" t="s">
        <v>1218</v>
      </c>
      <c r="D46" s="34"/>
      <c r="E46" s="34"/>
      <c r="F46" s="34">
        <f>Source!BZ28</f>
        <v>110</v>
      </c>
      <c r="G46" s="57">
        <f>(Source!AF28+Source!AE28)*Source!FX28/100</f>
        <v>935.66880000000003</v>
      </c>
      <c r="H46" s="57">
        <f>Source!X28</f>
        <v>587.65</v>
      </c>
    </row>
    <row r="47" spans="1:28" x14ac:dyDescent="0.2">
      <c r="C47" s="9" t="s">
        <v>1219</v>
      </c>
      <c r="D47" s="34"/>
      <c r="E47" s="34"/>
      <c r="F47" s="34"/>
      <c r="G47" s="34" t="str">
        <f>CONCATENATE(Source!DL28,Source!FT28, "=", Source!FX28, "%")</f>
        <v>*0,9=99%</v>
      </c>
      <c r="H47" s="34" t="str">
        <f>CONCATENATE(Source!AT28)</f>
        <v>99</v>
      </c>
    </row>
    <row r="48" spans="1:28" x14ac:dyDescent="0.2">
      <c r="C48" s="9" t="s">
        <v>1220</v>
      </c>
      <c r="D48" s="34"/>
      <c r="E48" s="34"/>
      <c r="F48" s="34">
        <f>Source!CA28</f>
        <v>70</v>
      </c>
      <c r="G48" s="57">
        <f>(Source!AF28+Source!AE28)*Source!FY28/100</f>
        <v>562.34640000000002</v>
      </c>
      <c r="H48" s="57">
        <f>Source!Y28</f>
        <v>356.15</v>
      </c>
    </row>
    <row r="49" spans="1:28" x14ac:dyDescent="0.2">
      <c r="C49" s="9" t="s">
        <v>1221</v>
      </c>
      <c r="D49" s="34"/>
      <c r="E49" s="34"/>
      <c r="F49" s="34"/>
      <c r="G49" s="34" t="str">
        <f>CONCATENATE(Source!DM28,Source!FU28, "=", Source!FY28, "%")</f>
        <v>*0,85=59,5%</v>
      </c>
      <c r="H49" s="34" t="str">
        <f>CONCATENATE(Source!AU28)</f>
        <v>60</v>
      </c>
    </row>
    <row r="50" spans="1:28" x14ac:dyDescent="0.2">
      <c r="C50" s="9" t="s">
        <v>1222</v>
      </c>
      <c r="D50" s="34"/>
      <c r="E50" s="34"/>
      <c r="F50" s="34"/>
      <c r="G50" s="57">
        <f>((Source!AF28+Source!AE28)*Source!FX28/100)+((Source!AF28+Source!AE28)*Source!FY28/100)+Source!AB28</f>
        <v>2580.5951999999997</v>
      </c>
      <c r="H50" s="57">
        <f>Source!O28+Source!X28+Source!Y28</f>
        <v>1623.7199999999998</v>
      </c>
    </row>
    <row r="51" spans="1:28" ht="28.5" x14ac:dyDescent="0.2">
      <c r="A51" s="46">
        <v>2</v>
      </c>
      <c r="B51" s="46" t="str">
        <f>Source!E29</f>
        <v>2</v>
      </c>
      <c r="C51" s="46" t="str">
        <f>Source!G29</f>
        <v>Демонтаж: Установка металлических дверных блоков в готовые проемы</v>
      </c>
      <c r="D51" s="46" t="str">
        <f>Source!F29</f>
        <v>09-04-012-01</v>
      </c>
      <c r="E51" s="31" t="str">
        <f>Source!H29</f>
        <v>м2</v>
      </c>
      <c r="F51" s="12">
        <f>Source!I29</f>
        <v>8.74</v>
      </c>
      <c r="G51" s="22">
        <f>Source!AB29</f>
        <v>26.76</v>
      </c>
      <c r="H51" s="22">
        <f>Source!O29</f>
        <v>1569.35</v>
      </c>
      <c r="T51">
        <f>Source!O29+Source!X29+Source!Y29</f>
        <v>3188.9399999999996</v>
      </c>
      <c r="U51">
        <f>Source!P29</f>
        <v>0</v>
      </c>
      <c r="V51">
        <f>Source!S29</f>
        <v>977.62</v>
      </c>
      <c r="W51">
        <f>Source!Q29</f>
        <v>591.73</v>
      </c>
      <c r="X51">
        <f>Source!R29</f>
        <v>80.930000000000007</v>
      </c>
      <c r="Y51">
        <f>Source!U29</f>
        <v>14.683199999999999</v>
      </c>
      <c r="Z51">
        <f>Source!V29</f>
        <v>1.04006</v>
      </c>
      <c r="AA51">
        <f>Source!X29</f>
        <v>857.43</v>
      </c>
      <c r="AB51">
        <f>Source!Y29</f>
        <v>762.16</v>
      </c>
    </row>
    <row r="52" spans="1:28" ht="14.25" x14ac:dyDescent="0.2">
      <c r="C52" s="23" t="s">
        <v>1214</v>
      </c>
      <c r="D52" s="23">
        <f>Source!BA29</f>
        <v>6.71</v>
      </c>
      <c r="F52" s="12"/>
      <c r="G52" s="12"/>
      <c r="H52" s="12"/>
    </row>
    <row r="53" spans="1:28" x14ac:dyDescent="0.2">
      <c r="C53" s="23" t="s">
        <v>1215</v>
      </c>
      <c r="D53" s="23">
        <f>Source!BB29</f>
        <v>6.71</v>
      </c>
    </row>
    <row r="54" spans="1:28" x14ac:dyDescent="0.2">
      <c r="C54" s="23" t="s">
        <v>1216</v>
      </c>
      <c r="D54" s="23">
        <f>Source!BC29</f>
        <v>6.71</v>
      </c>
    </row>
    <row r="55" spans="1:28" x14ac:dyDescent="0.2">
      <c r="C55" s="23" t="s">
        <v>1217</v>
      </c>
      <c r="D55" s="23">
        <f>Source!BS29</f>
        <v>6.71</v>
      </c>
    </row>
    <row r="56" spans="1:28" x14ac:dyDescent="0.2">
      <c r="C56" s="23" t="s">
        <v>1223</v>
      </c>
      <c r="D56" s="89" t="s">
        <v>31</v>
      </c>
      <c r="E56" s="89"/>
      <c r="F56" s="89"/>
      <c r="G56" s="89"/>
      <c r="H56" s="89"/>
    </row>
    <row r="57" spans="1:28" x14ac:dyDescent="0.2">
      <c r="C57" s="23" t="s">
        <v>1224</v>
      </c>
      <c r="D57" s="89" t="s">
        <v>32</v>
      </c>
      <c r="E57" s="89"/>
      <c r="F57" s="89"/>
      <c r="G57" s="89"/>
      <c r="H57" s="89"/>
    </row>
    <row r="58" spans="1:28" x14ac:dyDescent="0.2">
      <c r="C58" s="23" t="s">
        <v>1225</v>
      </c>
      <c r="D58" s="89" t="s">
        <v>32</v>
      </c>
      <c r="E58" s="89"/>
      <c r="F58" s="89"/>
      <c r="G58" s="89"/>
      <c r="H58" s="89"/>
    </row>
    <row r="59" spans="1:28" x14ac:dyDescent="0.2">
      <c r="C59" s="23" t="s">
        <v>1226</v>
      </c>
      <c r="D59" s="89" t="s">
        <v>32</v>
      </c>
      <c r="E59" s="89"/>
      <c r="F59" s="89"/>
      <c r="G59" s="89"/>
      <c r="H59" s="89"/>
    </row>
    <row r="60" spans="1:28" x14ac:dyDescent="0.2">
      <c r="C60" s="23" t="s">
        <v>1227</v>
      </c>
      <c r="D60" s="89" t="s">
        <v>32</v>
      </c>
      <c r="E60" s="89"/>
      <c r="F60" s="89"/>
      <c r="G60" s="89"/>
      <c r="H60" s="89"/>
    </row>
    <row r="61" spans="1:28" x14ac:dyDescent="0.2">
      <c r="C61" s="23" t="s">
        <v>1228</v>
      </c>
      <c r="D61" s="89" t="s">
        <v>32</v>
      </c>
      <c r="E61" s="89"/>
      <c r="F61" s="89"/>
      <c r="G61" s="89"/>
      <c r="H61" s="89"/>
    </row>
    <row r="62" spans="1:28" x14ac:dyDescent="0.2">
      <c r="C62" s="9" t="s">
        <v>1218</v>
      </c>
      <c r="D62" s="34"/>
      <c r="E62" s="34"/>
      <c r="F62" s="34">
        <f>Source!BZ29</f>
        <v>90</v>
      </c>
      <c r="G62" s="57">
        <f>(Source!AF29+Source!AE29)*Source!FX29/100</f>
        <v>14.6205</v>
      </c>
      <c r="H62" s="57">
        <f>Source!X29</f>
        <v>857.43</v>
      </c>
    </row>
    <row r="63" spans="1:28" x14ac:dyDescent="0.2">
      <c r="C63" s="9" t="s">
        <v>1219</v>
      </c>
      <c r="D63" s="34"/>
      <c r="E63" s="34"/>
      <c r="F63" s="34"/>
      <c r="G63" s="34" t="str">
        <f>CONCATENATE(Source!DL29,Source!FT29, "=", Source!FX29, "%")</f>
        <v>*0,9=81%</v>
      </c>
      <c r="H63" s="34" t="str">
        <f>CONCATENATE(Source!AT29)</f>
        <v>81</v>
      </c>
    </row>
    <row r="64" spans="1:28" x14ac:dyDescent="0.2">
      <c r="C64" s="9" t="s">
        <v>1220</v>
      </c>
      <c r="D64" s="34"/>
      <c r="E64" s="34"/>
      <c r="F64" s="34">
        <f>Source!CA29</f>
        <v>85</v>
      </c>
      <c r="G64" s="57">
        <f>(Source!AF29+Source!AE29)*Source!FY29/100</f>
        <v>13.041124999999999</v>
      </c>
      <c r="H64" s="57">
        <f>Source!Y29</f>
        <v>762.16</v>
      </c>
    </row>
    <row r="65" spans="1:28" x14ac:dyDescent="0.2">
      <c r="C65" s="9" t="s">
        <v>1221</v>
      </c>
      <c r="D65" s="34"/>
      <c r="E65" s="34"/>
      <c r="F65" s="34"/>
      <c r="G65" s="34" t="str">
        <f>CONCATENATE(Source!DM29,Source!FU29, "=", Source!FY29, "%")</f>
        <v>*0,85=72,25%</v>
      </c>
      <c r="H65" s="34" t="str">
        <f>CONCATENATE(Source!AU29)</f>
        <v>72</v>
      </c>
    </row>
    <row r="66" spans="1:28" x14ac:dyDescent="0.2">
      <c r="C66" s="9" t="s">
        <v>1222</v>
      </c>
      <c r="D66" s="34"/>
      <c r="E66" s="34"/>
      <c r="F66" s="34"/>
      <c r="G66" s="57">
        <f>((Source!AF29+Source!AE29)*Source!FX29/100)+((Source!AF29+Source!AE29)*Source!FY29/100)+Source!AB29</f>
        <v>54.421625000000006</v>
      </c>
      <c r="H66" s="57">
        <f>Source!O29+Source!X29+Source!Y29</f>
        <v>3188.9399999999996</v>
      </c>
    </row>
    <row r="67" spans="1:28" ht="28.5" x14ac:dyDescent="0.2">
      <c r="A67" s="46">
        <v>3</v>
      </c>
      <c r="B67" s="46" t="str">
        <f>Source!E30</f>
        <v>3</v>
      </c>
      <c r="C67" s="46" t="str">
        <f>Source!G30</f>
        <v>Разборка плинтусов деревянных и из пластмассовых материалов</v>
      </c>
      <c r="D67" s="46" t="str">
        <f>Source!F30</f>
        <v>57-3-1</v>
      </c>
      <c r="E67" s="31" t="str">
        <f>Source!H30</f>
        <v>100 м</v>
      </c>
      <c r="F67" s="12">
        <f>Source!I30</f>
        <v>0.95599999999999996</v>
      </c>
      <c r="G67" s="22">
        <f>Source!AB30</f>
        <v>29.41</v>
      </c>
      <c r="H67" s="22">
        <f>Source!O30</f>
        <v>188.66</v>
      </c>
      <c r="T67">
        <f>Source!O30+Source!X30+Source!Y30</f>
        <v>467.88</v>
      </c>
      <c r="U67">
        <f>Source!P30</f>
        <v>0</v>
      </c>
      <c r="V67">
        <f>Source!S30</f>
        <v>188.66</v>
      </c>
      <c r="W67">
        <f>Source!Q30</f>
        <v>0</v>
      </c>
      <c r="X67">
        <f>Source!R30</f>
        <v>0</v>
      </c>
      <c r="Y67">
        <f>Source!U30</f>
        <v>3.60412</v>
      </c>
      <c r="Z67">
        <f>Source!V30</f>
        <v>0</v>
      </c>
      <c r="AA67">
        <f>Source!X30</f>
        <v>150.93</v>
      </c>
      <c r="AB67">
        <f>Source!Y30</f>
        <v>128.29</v>
      </c>
    </row>
    <row r="68" spans="1:28" ht="14.25" x14ac:dyDescent="0.2">
      <c r="C68" s="23" t="str">
        <f>"Объем: "&amp;Source!I30&amp;"=95,6/"&amp;"100"</f>
        <v>Объем: 0,956=95,6/100</v>
      </c>
      <c r="F68" s="12"/>
      <c r="G68" s="12"/>
      <c r="H68" s="12"/>
    </row>
    <row r="69" spans="1:28" x14ac:dyDescent="0.2">
      <c r="C69" s="23" t="s">
        <v>1214</v>
      </c>
      <c r="D69" s="23">
        <f>Source!BA30</f>
        <v>6.71</v>
      </c>
    </row>
    <row r="70" spans="1:28" x14ac:dyDescent="0.2">
      <c r="C70" s="23" t="s">
        <v>1215</v>
      </c>
      <c r="D70" s="23">
        <f>Source!BB30</f>
        <v>6.71</v>
      </c>
    </row>
    <row r="71" spans="1:28" x14ac:dyDescent="0.2">
      <c r="C71" s="23" t="s">
        <v>1216</v>
      </c>
      <c r="D71" s="23">
        <f>Source!BC30</f>
        <v>6.71</v>
      </c>
    </row>
    <row r="72" spans="1:28" x14ac:dyDescent="0.2">
      <c r="C72" s="23" t="s">
        <v>1217</v>
      </c>
      <c r="D72" s="23">
        <f>Source!BS30</f>
        <v>6.71</v>
      </c>
    </row>
    <row r="73" spans="1:28" x14ac:dyDescent="0.2">
      <c r="C73" s="9" t="s">
        <v>1218</v>
      </c>
      <c r="D73" s="34"/>
      <c r="E73" s="34"/>
      <c r="F73" s="34">
        <f>Source!BZ30</f>
        <v>80</v>
      </c>
      <c r="G73" s="57">
        <f>(Source!AF30+Source!AE30)*Source!FX30/100</f>
        <v>23.528000000000002</v>
      </c>
      <c r="H73" s="57">
        <f>Source!X30</f>
        <v>150.93</v>
      </c>
    </row>
    <row r="74" spans="1:28" x14ac:dyDescent="0.2">
      <c r="C74" s="9" t="s">
        <v>1220</v>
      </c>
      <c r="D74" s="34"/>
      <c r="E74" s="34"/>
      <c r="F74" s="34">
        <f>Source!CA30</f>
        <v>68</v>
      </c>
      <c r="G74" s="57">
        <f>(Source!AF30+Source!AE30)*Source!FY30/100</f>
        <v>19.998800000000003</v>
      </c>
      <c r="H74" s="57">
        <f>Source!Y30</f>
        <v>128.29</v>
      </c>
    </row>
    <row r="75" spans="1:28" x14ac:dyDescent="0.2">
      <c r="C75" s="9" t="s">
        <v>1222</v>
      </c>
      <c r="D75" s="34"/>
      <c r="E75" s="34"/>
      <c r="F75" s="34"/>
      <c r="G75" s="57">
        <f>((Source!AF30+Source!AE30)*Source!FX30/100)+((Source!AF30+Source!AE30)*Source!FY30/100)+Source!AB30</f>
        <v>72.936800000000005</v>
      </c>
      <c r="H75" s="57">
        <f>Source!O30+Source!X30+Source!Y30</f>
        <v>467.88</v>
      </c>
    </row>
    <row r="76" spans="1:28" ht="28.5" x14ac:dyDescent="0.2">
      <c r="A76" s="46">
        <v>4</v>
      </c>
      <c r="B76" s="46" t="str">
        <f>Source!E31</f>
        <v>4</v>
      </c>
      <c r="C76" s="46" t="str">
        <f>Source!G31</f>
        <v>Разборка покрытий полов из линолеума и релина</v>
      </c>
      <c r="D76" s="46" t="str">
        <f>Source!F31</f>
        <v>57-2-1</v>
      </c>
      <c r="E76" s="31" t="str">
        <f>Source!H31</f>
        <v>100 м2</v>
      </c>
      <c r="F76" s="12">
        <f>Source!I31</f>
        <v>1.3315999999999999</v>
      </c>
      <c r="G76" s="22">
        <f>Source!AB31</f>
        <v>92.9</v>
      </c>
      <c r="H76" s="22">
        <f>Source!O31</f>
        <v>830.07</v>
      </c>
      <c r="T76">
        <f>Source!O31+Source!X31+Source!Y31</f>
        <v>2028.16</v>
      </c>
      <c r="U76">
        <f>Source!P31</f>
        <v>0</v>
      </c>
      <c r="V76">
        <f>Source!S31</f>
        <v>793.79</v>
      </c>
      <c r="W76">
        <f>Source!Q31</f>
        <v>36.28</v>
      </c>
      <c r="X76">
        <f>Source!R31</f>
        <v>15.73</v>
      </c>
      <c r="Y76">
        <f>Source!U31</f>
        <v>15.166924</v>
      </c>
      <c r="Z76">
        <f>Source!V31</f>
        <v>0.17310799999999998</v>
      </c>
      <c r="AA76">
        <f>Source!X31</f>
        <v>647.62</v>
      </c>
      <c r="AB76">
        <f>Source!Y31</f>
        <v>550.47</v>
      </c>
    </row>
    <row r="77" spans="1:28" ht="14.25" x14ac:dyDescent="0.2">
      <c r="C77" s="23" t="str">
        <f>"Объем: "&amp;Source!I31&amp;"=133,16/"&amp;"100"</f>
        <v>Объем: 1,3316=133,16/100</v>
      </c>
      <c r="F77" s="12"/>
      <c r="G77" s="12"/>
      <c r="H77" s="12"/>
    </row>
    <row r="78" spans="1:28" x14ac:dyDescent="0.2">
      <c r="C78" s="23" t="s">
        <v>1214</v>
      </c>
      <c r="D78" s="23">
        <f>Source!BA31</f>
        <v>6.71</v>
      </c>
    </row>
    <row r="79" spans="1:28" x14ac:dyDescent="0.2">
      <c r="C79" s="23" t="s">
        <v>1215</v>
      </c>
      <c r="D79" s="23">
        <f>Source!BB31</f>
        <v>6.71</v>
      </c>
    </row>
    <row r="80" spans="1:28" x14ac:dyDescent="0.2">
      <c r="C80" s="23" t="s">
        <v>1216</v>
      </c>
      <c r="D80" s="23">
        <f>Source!BC31</f>
        <v>6.71</v>
      </c>
    </row>
    <row r="81" spans="1:28" x14ac:dyDescent="0.2">
      <c r="C81" s="23" t="s">
        <v>1217</v>
      </c>
      <c r="D81" s="23">
        <f>Source!BS31</f>
        <v>6.71</v>
      </c>
    </row>
    <row r="82" spans="1:28" x14ac:dyDescent="0.2">
      <c r="C82" s="9" t="s">
        <v>1218</v>
      </c>
      <c r="D82" s="34"/>
      <c r="E82" s="34"/>
      <c r="F82" s="34">
        <f>Source!BZ31</f>
        <v>80</v>
      </c>
      <c r="G82" s="57">
        <f>(Source!AF31+Source!AE31)*Source!FX31/100</f>
        <v>72.48</v>
      </c>
      <c r="H82" s="57">
        <f>Source!X31</f>
        <v>647.62</v>
      </c>
    </row>
    <row r="83" spans="1:28" x14ac:dyDescent="0.2">
      <c r="C83" s="9" t="s">
        <v>1220</v>
      </c>
      <c r="D83" s="34"/>
      <c r="E83" s="34"/>
      <c r="F83" s="34">
        <f>Source!CA31</f>
        <v>68</v>
      </c>
      <c r="G83" s="57">
        <f>(Source!AF31+Source!AE31)*Source!FY31/100</f>
        <v>61.608000000000004</v>
      </c>
      <c r="H83" s="57">
        <f>Source!Y31</f>
        <v>550.47</v>
      </c>
    </row>
    <row r="84" spans="1:28" x14ac:dyDescent="0.2">
      <c r="C84" s="9" t="s">
        <v>1222</v>
      </c>
      <c r="D84" s="34"/>
      <c r="E84" s="34"/>
      <c r="F84" s="34"/>
      <c r="G84" s="57">
        <f>((Source!AF31+Source!AE31)*Source!FX31/100)+((Source!AF31+Source!AE31)*Source!FY31/100)+Source!AB31</f>
        <v>226.98800000000003</v>
      </c>
      <c r="H84" s="57">
        <f>Source!O31+Source!X31+Source!Y31</f>
        <v>2028.16</v>
      </c>
    </row>
    <row r="85" spans="1:28" ht="28.5" x14ac:dyDescent="0.2">
      <c r="A85" s="46">
        <v>5</v>
      </c>
      <c r="B85" s="46" t="str">
        <f>Source!E32</f>
        <v>5</v>
      </c>
      <c r="C85" s="46" t="str">
        <f>Source!G32</f>
        <v>Разборка покрытий полов паркетных</v>
      </c>
      <c r="D85" s="46" t="str">
        <f>Source!F32</f>
        <v>46-04-010-03</v>
      </c>
      <c r="E85" s="31" t="str">
        <f>Source!H32</f>
        <v>100 м2</v>
      </c>
      <c r="F85" s="12">
        <f>Source!I32</f>
        <v>1.26E-2</v>
      </c>
      <c r="G85" s="22">
        <f>Source!AB32</f>
        <v>413.9</v>
      </c>
      <c r="H85" s="22">
        <f>Source!O32</f>
        <v>34.99</v>
      </c>
      <c r="T85">
        <f>Source!O32+Source!X32+Source!Y32</f>
        <v>86.43</v>
      </c>
      <c r="U85">
        <f>Source!P32</f>
        <v>0</v>
      </c>
      <c r="V85">
        <f>Source!S32</f>
        <v>30.34</v>
      </c>
      <c r="W85">
        <f>Source!Q32</f>
        <v>4.6500000000000004</v>
      </c>
      <c r="X85">
        <f>Source!R32</f>
        <v>2.0099999999999998</v>
      </c>
      <c r="Y85">
        <f>Source!U32</f>
        <v>0.57972599999999996</v>
      </c>
      <c r="Z85">
        <f>Source!V32</f>
        <v>2.2176000000000001E-2</v>
      </c>
      <c r="AA85">
        <f>Source!X32</f>
        <v>32.03</v>
      </c>
      <c r="AB85">
        <f>Source!Y32</f>
        <v>19.41</v>
      </c>
    </row>
    <row r="86" spans="1:28" ht="14.25" x14ac:dyDescent="0.2">
      <c r="C86" s="23" t="str">
        <f>"Объем: "&amp;Source!I32&amp;"=1,26/"&amp;"100"</f>
        <v>Объем: 0,0126=1,26/100</v>
      </c>
      <c r="F86" s="12"/>
      <c r="G86" s="12"/>
      <c r="H86" s="12"/>
    </row>
    <row r="87" spans="1:28" x14ac:dyDescent="0.2">
      <c r="C87" s="23" t="s">
        <v>1214</v>
      </c>
      <c r="D87" s="23">
        <f>Source!BA32</f>
        <v>6.71</v>
      </c>
    </row>
    <row r="88" spans="1:28" x14ac:dyDescent="0.2">
      <c r="C88" s="23" t="s">
        <v>1215</v>
      </c>
      <c r="D88" s="23">
        <f>Source!BB32</f>
        <v>6.71</v>
      </c>
    </row>
    <row r="89" spans="1:28" x14ac:dyDescent="0.2">
      <c r="C89" s="23" t="s">
        <v>1216</v>
      </c>
      <c r="D89" s="23">
        <f>Source!BC32</f>
        <v>6.71</v>
      </c>
    </row>
    <row r="90" spans="1:28" x14ac:dyDescent="0.2">
      <c r="C90" s="23" t="s">
        <v>1217</v>
      </c>
      <c r="D90" s="23">
        <f>Source!BS32</f>
        <v>6.71</v>
      </c>
    </row>
    <row r="91" spans="1:28" x14ac:dyDescent="0.2">
      <c r="C91" s="9" t="s">
        <v>1218</v>
      </c>
      <c r="D91" s="34"/>
      <c r="E91" s="34"/>
      <c r="F91" s="34">
        <f>Source!BZ32</f>
        <v>110</v>
      </c>
      <c r="G91" s="57">
        <f>(Source!AF32+Source!AE32)*Source!FX32/100</f>
        <v>378.81360000000001</v>
      </c>
      <c r="H91" s="57">
        <f>Source!X32</f>
        <v>32.03</v>
      </c>
    </row>
    <row r="92" spans="1:28" x14ac:dyDescent="0.2">
      <c r="C92" s="9" t="s">
        <v>1219</v>
      </c>
      <c r="D92" s="34"/>
      <c r="E92" s="34"/>
      <c r="F92" s="34"/>
      <c r="G92" s="34" t="str">
        <f>CONCATENATE(Source!DL32,Source!FT32, "=", Source!FX32, "%")</f>
        <v>*0,9=99%</v>
      </c>
      <c r="H92" s="34" t="str">
        <f>CONCATENATE(Source!AT32)</f>
        <v>99</v>
      </c>
    </row>
    <row r="93" spans="1:28" x14ac:dyDescent="0.2">
      <c r="C93" s="9" t="s">
        <v>1220</v>
      </c>
      <c r="D93" s="34"/>
      <c r="E93" s="34"/>
      <c r="F93" s="34">
        <f>Source!CA32</f>
        <v>70</v>
      </c>
      <c r="G93" s="57">
        <f>(Source!AF32+Source!AE32)*Source!FY32/100</f>
        <v>227.67079999999999</v>
      </c>
      <c r="H93" s="57">
        <f>Source!Y32</f>
        <v>19.41</v>
      </c>
    </row>
    <row r="94" spans="1:28" x14ac:dyDescent="0.2">
      <c r="C94" s="9" t="s">
        <v>1221</v>
      </c>
      <c r="D94" s="34"/>
      <c r="E94" s="34"/>
      <c r="F94" s="34"/>
      <c r="G94" s="34" t="str">
        <f>CONCATENATE(Source!DM32,Source!FU32, "=", Source!FY32, "%")</f>
        <v>*0,85=59,5%</v>
      </c>
      <c r="H94" s="34" t="str">
        <f>CONCATENATE(Source!AU32)</f>
        <v>60</v>
      </c>
    </row>
    <row r="95" spans="1:28" x14ac:dyDescent="0.2">
      <c r="C95" s="9" t="s">
        <v>1222</v>
      </c>
      <c r="D95" s="34"/>
      <c r="E95" s="34"/>
      <c r="F95" s="34"/>
      <c r="G95" s="57">
        <f>((Source!AF32+Source!AE32)*Source!FX32/100)+((Source!AF32+Source!AE32)*Source!FY32/100)+Source!AB32</f>
        <v>1020.3844</v>
      </c>
      <c r="H95" s="57">
        <f>Source!O32+Source!X32+Source!Y32</f>
        <v>86.43</v>
      </c>
    </row>
    <row r="96" spans="1:28" ht="14.25" x14ac:dyDescent="0.2">
      <c r="A96" s="46">
        <v>6</v>
      </c>
      <c r="B96" s="46" t="str">
        <f>Source!E33</f>
        <v>6</v>
      </c>
      <c r="C96" s="46" t="str">
        <f>Source!G33</f>
        <v>Смена жалюзийных решеток</v>
      </c>
      <c r="D96" s="46" t="str">
        <f>Source!F33</f>
        <v>65-33-1</v>
      </c>
      <c r="E96" s="31" t="str">
        <f>Source!H33</f>
        <v>100 ШТ</v>
      </c>
      <c r="F96" s="12">
        <f>Source!I33</f>
        <v>0.08</v>
      </c>
      <c r="G96" s="22">
        <f>Source!AB33</f>
        <v>430.86</v>
      </c>
      <c r="H96" s="22">
        <f>Source!O33</f>
        <v>231.29</v>
      </c>
      <c r="T96">
        <f>Source!O33+Source!X33+Source!Y33</f>
        <v>576.17000000000007</v>
      </c>
      <c r="U96">
        <f>Source!P33</f>
        <v>19.62</v>
      </c>
      <c r="V96">
        <f>Source!S33</f>
        <v>211.5</v>
      </c>
      <c r="W96">
        <f>Source!Q33</f>
        <v>0.17</v>
      </c>
      <c r="X96">
        <f>Source!R33</f>
        <v>0.08</v>
      </c>
      <c r="Y96">
        <f>Source!U33</f>
        <v>3.6951999999999998</v>
      </c>
      <c r="Z96">
        <f>Source!V33</f>
        <v>8.0000000000000004E-4</v>
      </c>
      <c r="AA96">
        <f>Source!X33</f>
        <v>217.93</v>
      </c>
      <c r="AB96">
        <f>Source!Y33</f>
        <v>126.95</v>
      </c>
    </row>
    <row r="97" spans="1:28" ht="14.25" x14ac:dyDescent="0.2">
      <c r="C97" s="23" t="str">
        <f>"Объем: "&amp;Source!I33&amp;"=8/"&amp;"100"</f>
        <v>Объем: 0,08=8/100</v>
      </c>
      <c r="F97" s="12"/>
      <c r="G97" s="12"/>
      <c r="H97" s="12"/>
    </row>
    <row r="98" spans="1:28" x14ac:dyDescent="0.2">
      <c r="C98" s="23" t="s">
        <v>1214</v>
      </c>
      <c r="D98" s="23">
        <f>Source!BA33</f>
        <v>6.71</v>
      </c>
    </row>
    <row r="99" spans="1:28" x14ac:dyDescent="0.2">
      <c r="C99" s="23" t="s">
        <v>1215</v>
      </c>
      <c r="D99" s="23">
        <f>Source!BB33</f>
        <v>6.71</v>
      </c>
    </row>
    <row r="100" spans="1:28" x14ac:dyDescent="0.2">
      <c r="C100" s="23" t="s">
        <v>1216</v>
      </c>
      <c r="D100" s="23">
        <f>Source!BC33</f>
        <v>6.71</v>
      </c>
    </row>
    <row r="101" spans="1:28" x14ac:dyDescent="0.2">
      <c r="C101" s="23" t="s">
        <v>1217</v>
      </c>
      <c r="D101" s="23">
        <f>Source!BS33</f>
        <v>6.71</v>
      </c>
    </row>
    <row r="102" spans="1:28" x14ac:dyDescent="0.2">
      <c r="C102" s="9" t="s">
        <v>1218</v>
      </c>
      <c r="D102" s="34"/>
      <c r="E102" s="34"/>
      <c r="F102" s="34">
        <f>Source!BZ33</f>
        <v>103</v>
      </c>
      <c r="G102" s="57">
        <f>(Source!AF33+Source!AE33)*Source!FX33/100</f>
        <v>405.96420000000001</v>
      </c>
      <c r="H102" s="57">
        <f>Source!X33</f>
        <v>217.93</v>
      </c>
    </row>
    <row r="103" spans="1:28" x14ac:dyDescent="0.2">
      <c r="C103" s="9" t="s">
        <v>1220</v>
      </c>
      <c r="D103" s="34"/>
      <c r="E103" s="34"/>
      <c r="F103" s="34">
        <f>Source!CA33</f>
        <v>60</v>
      </c>
      <c r="G103" s="57">
        <f>(Source!AF33+Source!AE33)*Source!FY33/100</f>
        <v>236.48399999999998</v>
      </c>
      <c r="H103" s="57">
        <f>Source!Y33</f>
        <v>126.95</v>
      </c>
    </row>
    <row r="104" spans="1:28" x14ac:dyDescent="0.2">
      <c r="C104" s="9" t="s">
        <v>1222</v>
      </c>
      <c r="D104" s="34"/>
      <c r="E104" s="34"/>
      <c r="F104" s="34"/>
      <c r="G104" s="57">
        <f>((Source!AF33+Source!AE33)*Source!FX33/100)+((Source!AF33+Source!AE33)*Source!FY33/100)+Source!AB33</f>
        <v>1073.3081999999999</v>
      </c>
      <c r="H104" s="57">
        <f>Source!O33+Source!X33+Source!Y33</f>
        <v>576.17000000000007</v>
      </c>
    </row>
    <row r="105" spans="1:28" ht="42.75" x14ac:dyDescent="0.2">
      <c r="A105" s="46">
        <v>7</v>
      </c>
      <c r="B105" s="46" t="str">
        <f>Source!E34</f>
        <v>6,1</v>
      </c>
      <c r="C105" s="46" t="str">
        <f>Source!G34</f>
        <v>Решетки пластиковые вентиляционные прим.(согласно тех.заданию)</v>
      </c>
      <c r="D105" s="46" t="str">
        <f>Source!F34</f>
        <v>19.2.03.07-0028</v>
      </c>
      <c r="E105" s="31" t="str">
        <f>Source!H34</f>
        <v>шт.</v>
      </c>
      <c r="F105" s="12">
        <f>Source!I34</f>
        <v>8</v>
      </c>
      <c r="G105" s="22">
        <f>Source!AB34</f>
        <v>956.29</v>
      </c>
      <c r="H105" s="22">
        <f>Source!O34</f>
        <v>51333.65</v>
      </c>
      <c r="T105">
        <f>Source!O34+Source!X34+Source!Y34</f>
        <v>51333.65</v>
      </c>
      <c r="U105">
        <f>Source!P34</f>
        <v>51333.65</v>
      </c>
      <c r="V105">
        <f>Source!S34</f>
        <v>0</v>
      </c>
      <c r="W105">
        <f>Source!Q34</f>
        <v>0</v>
      </c>
      <c r="X105">
        <f>Source!R34</f>
        <v>0</v>
      </c>
      <c r="Y105">
        <f>Source!U34</f>
        <v>0</v>
      </c>
      <c r="Z105">
        <f>Source!V34</f>
        <v>0</v>
      </c>
      <c r="AA105">
        <f>Source!X34</f>
        <v>0</v>
      </c>
      <c r="AB105">
        <f>Source!Y34</f>
        <v>0</v>
      </c>
    </row>
    <row r="106" spans="1:28" ht="14.25" x14ac:dyDescent="0.2">
      <c r="C106" s="23" t="s">
        <v>1216</v>
      </c>
      <c r="D106" s="23">
        <f>Source!BC34</f>
        <v>6.71</v>
      </c>
      <c r="F106" s="12"/>
      <c r="G106" s="12"/>
      <c r="H106" s="12"/>
    </row>
    <row r="107" spans="1:28" ht="28.5" x14ac:dyDescent="0.2">
      <c r="A107" s="46">
        <v>8</v>
      </c>
      <c r="B107" s="46" t="str">
        <f>Source!E35</f>
        <v>7</v>
      </c>
      <c r="C107" s="46" t="str">
        <f>Source!G35</f>
        <v>Отбивка штукатурки с поверхностей стен</v>
      </c>
      <c r="D107" s="46" t="str">
        <f>Source!F35</f>
        <v>46-02-009-02</v>
      </c>
      <c r="E107" s="31" t="str">
        <f>Source!H35</f>
        <v>100 м2</v>
      </c>
      <c r="F107" s="12">
        <f>Source!I35</f>
        <v>1.48</v>
      </c>
      <c r="G107" s="22">
        <f>Source!AB35</f>
        <v>178</v>
      </c>
      <c r="H107" s="22">
        <f>Source!O35</f>
        <v>1767.68</v>
      </c>
      <c r="T107">
        <f>Source!O35+Source!X35+Source!Y35</f>
        <v>4578.29</v>
      </c>
      <c r="U107">
        <f>Source!P35</f>
        <v>0</v>
      </c>
      <c r="V107">
        <f>Source!S35</f>
        <v>1767.68</v>
      </c>
      <c r="W107">
        <f>Source!Q35</f>
        <v>0</v>
      </c>
      <c r="X107">
        <f>Source!R35</f>
        <v>0</v>
      </c>
      <c r="Y107">
        <f>Source!U35</f>
        <v>33.773600000000002</v>
      </c>
      <c r="Z107">
        <f>Source!V35</f>
        <v>0</v>
      </c>
      <c r="AA107">
        <f>Source!X35</f>
        <v>1750</v>
      </c>
      <c r="AB107">
        <f>Source!Y35</f>
        <v>1060.6099999999999</v>
      </c>
    </row>
    <row r="108" spans="1:28" ht="14.25" x14ac:dyDescent="0.2">
      <c r="C108" s="23" t="str">
        <f>"Объем: "&amp;Source!I35&amp;"=148/"&amp;"100"</f>
        <v>Объем: 1,48=148/100</v>
      </c>
      <c r="F108" s="12"/>
      <c r="G108" s="12"/>
      <c r="H108" s="12"/>
    </row>
    <row r="109" spans="1:28" x14ac:dyDescent="0.2">
      <c r="C109" s="23" t="s">
        <v>1214</v>
      </c>
      <c r="D109" s="23">
        <f>Source!BA35</f>
        <v>6.71</v>
      </c>
    </row>
    <row r="110" spans="1:28" x14ac:dyDescent="0.2">
      <c r="C110" s="23" t="s">
        <v>1215</v>
      </c>
      <c r="D110" s="23">
        <f>Source!BB35</f>
        <v>6.71</v>
      </c>
    </row>
    <row r="111" spans="1:28" x14ac:dyDescent="0.2">
      <c r="C111" s="23" t="s">
        <v>1216</v>
      </c>
      <c r="D111" s="23">
        <f>Source!BC35</f>
        <v>6.71</v>
      </c>
    </row>
    <row r="112" spans="1:28" x14ac:dyDescent="0.2">
      <c r="C112" s="23" t="s">
        <v>1217</v>
      </c>
      <c r="D112" s="23">
        <f>Source!BS35</f>
        <v>6.71</v>
      </c>
    </row>
    <row r="113" spans="1:28" x14ac:dyDescent="0.2">
      <c r="C113" s="9" t="s">
        <v>1218</v>
      </c>
      <c r="D113" s="34"/>
      <c r="E113" s="34"/>
      <c r="F113" s="34">
        <f>Source!BZ35</f>
        <v>110</v>
      </c>
      <c r="G113" s="57">
        <f>(Source!AF35+Source!AE35)*Source!FX35/100</f>
        <v>176.22</v>
      </c>
      <c r="H113" s="57">
        <f>Source!X35</f>
        <v>1750</v>
      </c>
    </row>
    <row r="114" spans="1:28" x14ac:dyDescent="0.2">
      <c r="C114" s="9" t="s">
        <v>1219</v>
      </c>
      <c r="D114" s="34"/>
      <c r="E114" s="34"/>
      <c r="F114" s="34"/>
      <c r="G114" s="34" t="str">
        <f>CONCATENATE(Source!DL35,Source!FT35, "=", Source!FX35, "%")</f>
        <v>*0,9=99%</v>
      </c>
      <c r="H114" s="34" t="str">
        <f>CONCATENATE(Source!AT35)</f>
        <v>99</v>
      </c>
    </row>
    <row r="115" spans="1:28" x14ac:dyDescent="0.2">
      <c r="C115" s="9" t="s">
        <v>1220</v>
      </c>
      <c r="D115" s="34"/>
      <c r="E115" s="34"/>
      <c r="F115" s="34">
        <f>Source!CA35</f>
        <v>70</v>
      </c>
      <c r="G115" s="57">
        <f>(Source!AF35+Source!AE35)*Source!FY35/100</f>
        <v>105.91</v>
      </c>
      <c r="H115" s="57">
        <f>Source!Y35</f>
        <v>1060.6099999999999</v>
      </c>
    </row>
    <row r="116" spans="1:28" x14ac:dyDescent="0.2">
      <c r="C116" s="9" t="s">
        <v>1221</v>
      </c>
      <c r="D116" s="34"/>
      <c r="E116" s="34"/>
      <c r="F116" s="34"/>
      <c r="G116" s="34" t="str">
        <f>CONCATENATE(Source!DM35,Source!FU35, "=", Source!FY35, "%")</f>
        <v>*0,85=59,5%</v>
      </c>
      <c r="H116" s="34" t="str">
        <f>CONCATENATE(Source!AU35)</f>
        <v>60</v>
      </c>
    </row>
    <row r="117" spans="1:28" x14ac:dyDescent="0.2">
      <c r="C117" s="9" t="s">
        <v>1222</v>
      </c>
      <c r="D117" s="34"/>
      <c r="E117" s="34"/>
      <c r="F117" s="34"/>
      <c r="G117" s="57">
        <f>((Source!AF35+Source!AE35)*Source!FX35/100)+((Source!AF35+Source!AE35)*Source!FY35/100)+Source!AB35</f>
        <v>460.13</v>
      </c>
      <c r="H117" s="57">
        <f>Source!O35+Source!X35+Source!Y35</f>
        <v>4578.29</v>
      </c>
    </row>
    <row r="118" spans="1:28" ht="28.5" x14ac:dyDescent="0.2">
      <c r="A118" s="46">
        <v>9</v>
      </c>
      <c r="B118" s="46" t="str">
        <f>Source!E36</f>
        <v>8</v>
      </c>
      <c r="C118" s="46" t="str">
        <f>Source!G36</f>
        <v>Демонтаж: Установка кондиционеров доводчиков эжекционных</v>
      </c>
      <c r="D118" s="46" t="str">
        <f>Source!F36</f>
        <v>20-06-001-01</v>
      </c>
      <c r="E118" s="31" t="str">
        <f>Source!H36</f>
        <v>10 ШТ</v>
      </c>
      <c r="F118" s="12">
        <f>Source!I36</f>
        <v>0.1</v>
      </c>
      <c r="G118" s="22">
        <f>Source!AB36</f>
        <v>80.650000000000006</v>
      </c>
      <c r="H118" s="22">
        <f>Source!O36</f>
        <v>54.12</v>
      </c>
      <c r="T118">
        <f>Source!O36+Source!X36+Source!Y36</f>
        <v>149.37</v>
      </c>
      <c r="U118">
        <f>Source!P36</f>
        <v>0</v>
      </c>
      <c r="V118">
        <f>Source!S36</f>
        <v>50.59</v>
      </c>
      <c r="W118">
        <f>Source!Q36</f>
        <v>3.53</v>
      </c>
      <c r="X118">
        <f>Source!R36</f>
        <v>0.62</v>
      </c>
      <c r="Y118">
        <f>Source!U36</f>
        <v>0.76000000000000012</v>
      </c>
      <c r="Z118">
        <f>Source!V36</f>
        <v>8.0000000000000019E-3</v>
      </c>
      <c r="AA118">
        <f>Source!X36</f>
        <v>58.89</v>
      </c>
      <c r="AB118">
        <f>Source!Y36</f>
        <v>36.36</v>
      </c>
    </row>
    <row r="119" spans="1:28" ht="14.25" x14ac:dyDescent="0.2">
      <c r="C119" s="23" t="str">
        <f>"Объем: "&amp;Source!I36&amp;"=1/"&amp;"10"</f>
        <v>Объем: 0,1=1/10</v>
      </c>
      <c r="F119" s="12"/>
      <c r="G119" s="12"/>
      <c r="H119" s="12"/>
    </row>
    <row r="120" spans="1:28" x14ac:dyDescent="0.2">
      <c r="C120" s="23" t="s">
        <v>1214</v>
      </c>
      <c r="D120" s="23">
        <f>Source!BA36</f>
        <v>6.71</v>
      </c>
    </row>
    <row r="121" spans="1:28" x14ac:dyDescent="0.2">
      <c r="C121" s="23" t="s">
        <v>1215</v>
      </c>
      <c r="D121" s="23">
        <f>Source!BB36</f>
        <v>6.71</v>
      </c>
    </row>
    <row r="122" spans="1:28" x14ac:dyDescent="0.2">
      <c r="C122" s="23" t="s">
        <v>1216</v>
      </c>
      <c r="D122" s="23">
        <f>Source!BC36</f>
        <v>6.71</v>
      </c>
    </row>
    <row r="123" spans="1:28" x14ac:dyDescent="0.2">
      <c r="C123" s="23" t="s">
        <v>1217</v>
      </c>
      <c r="D123" s="23">
        <f>Source!BS36</f>
        <v>6.71</v>
      </c>
    </row>
    <row r="124" spans="1:28" x14ac:dyDescent="0.2">
      <c r="C124" s="23" t="s">
        <v>1223</v>
      </c>
      <c r="D124" s="89" t="s">
        <v>31</v>
      </c>
      <c r="E124" s="89"/>
      <c r="F124" s="89"/>
      <c r="G124" s="89"/>
      <c r="H124" s="89"/>
    </row>
    <row r="125" spans="1:28" x14ac:dyDescent="0.2">
      <c r="C125" s="23" t="s">
        <v>1224</v>
      </c>
      <c r="D125" s="89" t="s">
        <v>74</v>
      </c>
      <c r="E125" s="89"/>
      <c r="F125" s="89"/>
      <c r="G125" s="89"/>
      <c r="H125" s="89"/>
    </row>
    <row r="126" spans="1:28" x14ac:dyDescent="0.2">
      <c r="C126" s="23" t="s">
        <v>1225</v>
      </c>
      <c r="D126" s="89" t="s">
        <v>74</v>
      </c>
      <c r="E126" s="89"/>
      <c r="F126" s="89"/>
      <c r="G126" s="89"/>
      <c r="H126" s="89"/>
    </row>
    <row r="127" spans="1:28" x14ac:dyDescent="0.2">
      <c r="C127" s="23" t="s">
        <v>1226</v>
      </c>
      <c r="D127" s="89" t="s">
        <v>74</v>
      </c>
      <c r="E127" s="89"/>
      <c r="F127" s="89"/>
      <c r="G127" s="89"/>
      <c r="H127" s="89"/>
    </row>
    <row r="128" spans="1:28" x14ac:dyDescent="0.2">
      <c r="C128" s="23" t="s">
        <v>1227</v>
      </c>
      <c r="D128" s="89" t="s">
        <v>74</v>
      </c>
      <c r="E128" s="89"/>
      <c r="F128" s="89"/>
      <c r="G128" s="89"/>
      <c r="H128" s="89"/>
    </row>
    <row r="129" spans="1:28" x14ac:dyDescent="0.2">
      <c r="C129" s="23" t="s">
        <v>1228</v>
      </c>
      <c r="D129" s="89" t="s">
        <v>74</v>
      </c>
      <c r="E129" s="89"/>
      <c r="F129" s="89"/>
      <c r="G129" s="89"/>
      <c r="H129" s="89"/>
    </row>
    <row r="130" spans="1:28" x14ac:dyDescent="0.2">
      <c r="C130" s="9" t="s">
        <v>1218</v>
      </c>
      <c r="D130" s="34"/>
      <c r="E130" s="34"/>
      <c r="F130" s="34">
        <f>Source!BZ36</f>
        <v>128</v>
      </c>
      <c r="G130" s="57">
        <f>(Source!AF36+Source!AE36)*Source!FX36/100</f>
        <v>87.920640000000006</v>
      </c>
      <c r="H130" s="57">
        <f>Source!X36</f>
        <v>58.89</v>
      </c>
    </row>
    <row r="131" spans="1:28" x14ac:dyDescent="0.2">
      <c r="C131" s="9" t="s">
        <v>1219</v>
      </c>
      <c r="D131" s="34"/>
      <c r="E131" s="34"/>
      <c r="F131" s="34"/>
      <c r="G131" s="34" t="str">
        <f>CONCATENATE(Source!DL36,Source!FT36, "=", Source!FX36, "%")</f>
        <v>*0,9=115,2%</v>
      </c>
      <c r="H131" s="34" t="str">
        <f>CONCATENATE(Source!AT36)</f>
        <v>115</v>
      </c>
    </row>
    <row r="132" spans="1:28" x14ac:dyDescent="0.2">
      <c r="C132" s="9" t="s">
        <v>1220</v>
      </c>
      <c r="D132" s="34"/>
      <c r="E132" s="34"/>
      <c r="F132" s="34">
        <f>Source!CA36</f>
        <v>83</v>
      </c>
      <c r="G132" s="57">
        <f>(Source!AF36+Source!AE36)*Source!FY36/100</f>
        <v>53.843760000000003</v>
      </c>
      <c r="H132" s="57">
        <f>Source!Y36</f>
        <v>36.36</v>
      </c>
    </row>
    <row r="133" spans="1:28" x14ac:dyDescent="0.2">
      <c r="C133" s="9" t="s">
        <v>1221</v>
      </c>
      <c r="D133" s="34"/>
      <c r="E133" s="34"/>
      <c r="F133" s="34"/>
      <c r="G133" s="34" t="str">
        <f>CONCATENATE(Source!DM36,Source!FU36, "=", Source!FY36, "%")</f>
        <v>*0,85=70,55%</v>
      </c>
      <c r="H133" s="34" t="str">
        <f>CONCATENATE(Source!AU36)</f>
        <v>71</v>
      </c>
    </row>
    <row r="134" spans="1:28" x14ac:dyDescent="0.2">
      <c r="C134" s="9" t="s">
        <v>1222</v>
      </c>
      <c r="D134" s="34"/>
      <c r="E134" s="34"/>
      <c r="F134" s="34"/>
      <c r="G134" s="57">
        <f>((Source!AF36+Source!AE36)*Source!FX36/100)+((Source!AF36+Source!AE36)*Source!FY36/100)+Source!AB36</f>
        <v>222.41440000000003</v>
      </c>
      <c r="H134" s="57">
        <f>Source!O36+Source!X36+Source!Y36</f>
        <v>149.37</v>
      </c>
    </row>
    <row r="135" spans="1:28" ht="57" x14ac:dyDescent="0.2">
      <c r="A135" s="46">
        <v>10</v>
      </c>
      <c r="B135" s="46" t="str">
        <f>Source!E37</f>
        <v>9</v>
      </c>
      <c r="C135" s="46" t="str">
        <f>Source!G37</f>
        <v>Демонтаж школьной доски: Облицовка стен по готовому каркасу щитами-картинами из древесностружечных плит фанерованных шпоном</v>
      </c>
      <c r="D135" s="46" t="str">
        <f>Source!F37</f>
        <v>15-01-049-04 прим</v>
      </c>
      <c r="E135" s="31" t="str">
        <f>Source!H37</f>
        <v>100 м2</v>
      </c>
      <c r="F135" s="12">
        <f>Source!I37</f>
        <v>0.15</v>
      </c>
      <c r="G135" s="22">
        <f>Source!AB37</f>
        <v>453.55</v>
      </c>
      <c r="H135" s="22">
        <f>Source!O37</f>
        <v>456.5</v>
      </c>
      <c r="T135">
        <f>Source!O37+Source!X37+Source!Y37</f>
        <v>1026.02</v>
      </c>
      <c r="U135">
        <f>Source!P37</f>
        <v>0</v>
      </c>
      <c r="V135">
        <f>Source!S37</f>
        <v>387.47</v>
      </c>
      <c r="W135">
        <f>Source!Q37</f>
        <v>69.03</v>
      </c>
      <c r="X135">
        <f>Source!R37</f>
        <v>13.6</v>
      </c>
      <c r="Y135">
        <f>Source!U37</f>
        <v>6.0720000000000001</v>
      </c>
      <c r="Z135">
        <f>Source!V37</f>
        <v>0.17039999999999997</v>
      </c>
      <c r="AA135">
        <f>Source!X37</f>
        <v>381.02</v>
      </c>
      <c r="AB135">
        <f>Source!Y37</f>
        <v>188.5</v>
      </c>
    </row>
    <row r="136" spans="1:28" ht="14.25" x14ac:dyDescent="0.2">
      <c r="C136" s="23" t="str">
        <f>"Объем: "&amp;Source!I37&amp;"=15/"&amp;"100"</f>
        <v>Объем: 0,15=15/100</v>
      </c>
      <c r="F136" s="12"/>
      <c r="G136" s="12"/>
      <c r="H136" s="12"/>
    </row>
    <row r="137" spans="1:28" x14ac:dyDescent="0.2">
      <c r="C137" s="23" t="s">
        <v>1214</v>
      </c>
      <c r="D137" s="23">
        <f>Source!BA37</f>
        <v>6.71</v>
      </c>
    </row>
    <row r="138" spans="1:28" x14ac:dyDescent="0.2">
      <c r="C138" s="23" t="s">
        <v>1215</v>
      </c>
      <c r="D138" s="23">
        <f>Source!BB37</f>
        <v>6.71</v>
      </c>
    </row>
    <row r="139" spans="1:28" x14ac:dyDescent="0.2">
      <c r="C139" s="23" t="s">
        <v>1216</v>
      </c>
      <c r="D139" s="23">
        <f>Source!BC37</f>
        <v>6.71</v>
      </c>
    </row>
    <row r="140" spans="1:28" x14ac:dyDescent="0.2">
      <c r="C140" s="23" t="s">
        <v>1217</v>
      </c>
      <c r="D140" s="23">
        <f>Source!BS37</f>
        <v>6.71</v>
      </c>
    </row>
    <row r="141" spans="1:28" x14ac:dyDescent="0.2">
      <c r="C141" s="23" t="s">
        <v>1223</v>
      </c>
      <c r="D141" s="89" t="s">
        <v>31</v>
      </c>
      <c r="E141" s="89"/>
      <c r="F141" s="89"/>
      <c r="G141" s="89"/>
      <c r="H141" s="89"/>
    </row>
    <row r="142" spans="1:28" x14ac:dyDescent="0.2">
      <c r="C142" s="23" t="s">
        <v>1224</v>
      </c>
      <c r="D142" s="89" t="s">
        <v>83</v>
      </c>
      <c r="E142" s="89"/>
      <c r="F142" s="89"/>
      <c r="G142" s="89"/>
      <c r="H142" s="89"/>
    </row>
    <row r="143" spans="1:28" x14ac:dyDescent="0.2">
      <c r="C143" s="23" t="s">
        <v>1225</v>
      </c>
      <c r="D143" s="89" t="s">
        <v>83</v>
      </c>
      <c r="E143" s="89"/>
      <c r="F143" s="89"/>
      <c r="G143" s="89"/>
      <c r="H143" s="89"/>
    </row>
    <row r="144" spans="1:28" x14ac:dyDescent="0.2">
      <c r="C144" s="23" t="s">
        <v>1226</v>
      </c>
      <c r="D144" s="89" t="s">
        <v>83</v>
      </c>
      <c r="E144" s="89"/>
      <c r="F144" s="89"/>
      <c r="G144" s="89"/>
      <c r="H144" s="89"/>
    </row>
    <row r="145" spans="1:28" x14ac:dyDescent="0.2">
      <c r="C145" s="23" t="s">
        <v>1227</v>
      </c>
      <c r="D145" s="89" t="s">
        <v>83</v>
      </c>
      <c r="E145" s="89"/>
      <c r="F145" s="89"/>
      <c r="G145" s="89"/>
      <c r="H145" s="89"/>
    </row>
    <row r="146" spans="1:28" x14ac:dyDescent="0.2">
      <c r="C146" s="23" t="s">
        <v>1228</v>
      </c>
      <c r="D146" s="89" t="s">
        <v>83</v>
      </c>
      <c r="E146" s="89"/>
      <c r="F146" s="89"/>
      <c r="G146" s="89"/>
      <c r="H146" s="89"/>
    </row>
    <row r="147" spans="1:28" x14ac:dyDescent="0.2">
      <c r="C147" s="9" t="s">
        <v>1218</v>
      </c>
      <c r="D147" s="34"/>
      <c r="E147" s="34"/>
      <c r="F147" s="34">
        <f>Source!BZ37</f>
        <v>105</v>
      </c>
      <c r="G147" s="57">
        <f>(Source!AF37+Source!AE37)*Source!FX37/100</f>
        <v>376.56360000000001</v>
      </c>
      <c r="H147" s="57">
        <f>Source!X37</f>
        <v>381.02</v>
      </c>
    </row>
    <row r="148" spans="1:28" x14ac:dyDescent="0.2">
      <c r="C148" s="9" t="s">
        <v>1219</v>
      </c>
      <c r="D148" s="34"/>
      <c r="E148" s="34"/>
      <c r="F148" s="34"/>
      <c r="G148" s="34" t="str">
        <f>CONCATENATE(Source!DL37,Source!FT37, "=", Source!FX37, "%")</f>
        <v>*0,9=94,5%</v>
      </c>
      <c r="H148" s="34" t="str">
        <f>CONCATENATE(Source!AT37)</f>
        <v>95</v>
      </c>
    </row>
    <row r="149" spans="1:28" x14ac:dyDescent="0.2">
      <c r="C149" s="9" t="s">
        <v>1220</v>
      </c>
      <c r="D149" s="34"/>
      <c r="E149" s="34"/>
      <c r="F149" s="34">
        <f>Source!CA37</f>
        <v>55</v>
      </c>
      <c r="G149" s="57">
        <f>(Source!AF37+Source!AE37)*Source!FY37/100</f>
        <v>186.28940000000003</v>
      </c>
      <c r="H149" s="57">
        <f>Source!Y37</f>
        <v>188.5</v>
      </c>
    </row>
    <row r="150" spans="1:28" x14ac:dyDescent="0.2">
      <c r="C150" s="9" t="s">
        <v>1221</v>
      </c>
      <c r="D150" s="34"/>
      <c r="E150" s="34"/>
      <c r="F150" s="34"/>
      <c r="G150" s="34" t="str">
        <f>CONCATENATE(Source!DM37,Source!FU37, "=", Source!FY37, "%")</f>
        <v>*0,85=46,75%</v>
      </c>
      <c r="H150" s="34" t="str">
        <f>CONCATENATE(Source!AU37)</f>
        <v>47</v>
      </c>
    </row>
    <row r="151" spans="1:28" x14ac:dyDescent="0.2">
      <c r="C151" s="9" t="s">
        <v>1222</v>
      </c>
      <c r="D151" s="34"/>
      <c r="E151" s="34"/>
      <c r="F151" s="34"/>
      <c r="G151" s="57">
        <f>((Source!AF37+Source!AE37)*Source!FX37/100)+((Source!AF37+Source!AE37)*Source!FY37/100)+Source!AB37</f>
        <v>1016.403</v>
      </c>
      <c r="H151" s="57">
        <f>Source!O37+Source!X37+Source!Y37</f>
        <v>1026.02</v>
      </c>
    </row>
    <row r="152" spans="1:28" ht="42.75" x14ac:dyDescent="0.2">
      <c r="A152" s="46">
        <v>11</v>
      </c>
      <c r="B152" s="46" t="str">
        <f>Source!E38</f>
        <v>10</v>
      </c>
      <c r="C152" s="46" t="str">
        <f>Source!G38</f>
        <v>Демонтаж :Установка гарнитуры туалетной: вешалок, подстаканников, поручней для ванн и т.д.</v>
      </c>
      <c r="D152" s="46" t="str">
        <f>Source!F38</f>
        <v>17-01-002-04 прим.</v>
      </c>
      <c r="E152" s="31" t="str">
        <f>Source!H38</f>
        <v>10 ШТ</v>
      </c>
      <c r="F152" s="12">
        <f>Source!I38</f>
        <v>0.1</v>
      </c>
      <c r="G152" s="22">
        <f>Source!AB38</f>
        <v>10.78</v>
      </c>
      <c r="H152" s="22">
        <f>Source!O38</f>
        <v>7.23</v>
      </c>
      <c r="T152">
        <f>Source!O38+Source!X38+Source!Y38</f>
        <v>20.67</v>
      </c>
      <c r="U152">
        <f>Source!P38</f>
        <v>0</v>
      </c>
      <c r="V152">
        <f>Source!S38</f>
        <v>7.23</v>
      </c>
      <c r="W152">
        <f>Source!Q38</f>
        <v>0</v>
      </c>
      <c r="X152">
        <f>Source!R38</f>
        <v>0</v>
      </c>
      <c r="Y152">
        <f>Source!U38</f>
        <v>0.11199999999999999</v>
      </c>
      <c r="Z152">
        <f>Source!V38</f>
        <v>0</v>
      </c>
      <c r="AA152">
        <f>Source!X38</f>
        <v>8.31</v>
      </c>
      <c r="AB152">
        <f>Source!Y38</f>
        <v>5.13</v>
      </c>
    </row>
    <row r="153" spans="1:28" ht="14.25" x14ac:dyDescent="0.2">
      <c r="C153" s="23" t="str">
        <f>"Объем: "&amp;Source!I38&amp;"=1/"&amp;"10"</f>
        <v>Объем: 0,1=1/10</v>
      </c>
      <c r="F153" s="12"/>
      <c r="G153" s="12"/>
      <c r="H153" s="12"/>
    </row>
    <row r="154" spans="1:28" x14ac:dyDescent="0.2">
      <c r="C154" s="23" t="s">
        <v>1214</v>
      </c>
      <c r="D154" s="23">
        <f>Source!BA38</f>
        <v>6.71</v>
      </c>
    </row>
    <row r="155" spans="1:28" x14ac:dyDescent="0.2">
      <c r="C155" s="23" t="s">
        <v>1215</v>
      </c>
      <c r="D155" s="23">
        <f>Source!BB38</f>
        <v>6.71</v>
      </c>
    </row>
    <row r="156" spans="1:28" x14ac:dyDescent="0.2">
      <c r="C156" s="23" t="s">
        <v>1216</v>
      </c>
      <c r="D156" s="23">
        <f>Source!BC38</f>
        <v>6.71</v>
      </c>
    </row>
    <row r="157" spans="1:28" x14ac:dyDescent="0.2">
      <c r="C157" s="23" t="s">
        <v>1217</v>
      </c>
      <c r="D157" s="23">
        <f>Source!BS38</f>
        <v>6.71</v>
      </c>
    </row>
    <row r="158" spans="1:28" x14ac:dyDescent="0.2">
      <c r="C158" s="23" t="s">
        <v>1223</v>
      </c>
      <c r="D158" s="89" t="s">
        <v>31</v>
      </c>
      <c r="E158" s="89"/>
      <c r="F158" s="89"/>
      <c r="G158" s="89"/>
      <c r="H158" s="89"/>
    </row>
    <row r="159" spans="1:28" x14ac:dyDescent="0.2">
      <c r="C159" s="23" t="s">
        <v>1224</v>
      </c>
      <c r="D159" s="89" t="s">
        <v>74</v>
      </c>
      <c r="E159" s="89"/>
      <c r="F159" s="89"/>
      <c r="G159" s="89"/>
      <c r="H159" s="89"/>
    </row>
    <row r="160" spans="1:28" x14ac:dyDescent="0.2">
      <c r="C160" s="23" t="s">
        <v>1225</v>
      </c>
      <c r="D160" s="89" t="s">
        <v>74</v>
      </c>
      <c r="E160" s="89"/>
      <c r="F160" s="89"/>
      <c r="G160" s="89"/>
      <c r="H160" s="89"/>
    </row>
    <row r="161" spans="1:28" x14ac:dyDescent="0.2">
      <c r="C161" s="23" t="s">
        <v>1226</v>
      </c>
      <c r="D161" s="89" t="s">
        <v>74</v>
      </c>
      <c r="E161" s="89"/>
      <c r="F161" s="89"/>
      <c r="G161" s="89"/>
      <c r="H161" s="89"/>
    </row>
    <row r="162" spans="1:28" x14ac:dyDescent="0.2">
      <c r="C162" s="23" t="s">
        <v>1227</v>
      </c>
      <c r="D162" s="89" t="s">
        <v>74</v>
      </c>
      <c r="E162" s="89"/>
      <c r="F162" s="89"/>
      <c r="G162" s="89"/>
      <c r="H162" s="89"/>
    </row>
    <row r="163" spans="1:28" x14ac:dyDescent="0.2">
      <c r="C163" s="23" t="s">
        <v>1228</v>
      </c>
      <c r="D163" s="89" t="s">
        <v>74</v>
      </c>
      <c r="E163" s="89"/>
      <c r="F163" s="89"/>
      <c r="G163" s="89"/>
      <c r="H163" s="89"/>
    </row>
    <row r="164" spans="1:28" x14ac:dyDescent="0.2">
      <c r="C164" s="9" t="s">
        <v>1218</v>
      </c>
      <c r="D164" s="34"/>
      <c r="E164" s="34"/>
      <c r="F164" s="34">
        <f>Source!BZ38</f>
        <v>128</v>
      </c>
      <c r="G164" s="57">
        <f>(Source!AF38+Source!AE38)*Source!FX38/100</f>
        <v>12.418559999999999</v>
      </c>
      <c r="H164" s="57">
        <f>Source!X38</f>
        <v>8.31</v>
      </c>
    </row>
    <row r="165" spans="1:28" x14ac:dyDescent="0.2">
      <c r="C165" s="9" t="s">
        <v>1219</v>
      </c>
      <c r="D165" s="34"/>
      <c r="E165" s="34"/>
      <c r="F165" s="34"/>
      <c r="G165" s="34" t="str">
        <f>CONCATENATE(Source!DL38,Source!FT38, "=", Source!FX38, "%")</f>
        <v>*0,9=115,2%</v>
      </c>
      <c r="H165" s="34" t="str">
        <f>CONCATENATE(Source!AT38)</f>
        <v>115</v>
      </c>
    </row>
    <row r="166" spans="1:28" x14ac:dyDescent="0.2">
      <c r="C166" s="9" t="s">
        <v>1220</v>
      </c>
      <c r="D166" s="34"/>
      <c r="E166" s="34"/>
      <c r="F166" s="34">
        <f>Source!CA38</f>
        <v>83</v>
      </c>
      <c r="G166" s="57">
        <f>(Source!AF38+Source!AE38)*Source!FY38/100</f>
        <v>7.6052899999999992</v>
      </c>
      <c r="H166" s="57">
        <f>Source!Y38</f>
        <v>5.13</v>
      </c>
    </row>
    <row r="167" spans="1:28" x14ac:dyDescent="0.2">
      <c r="C167" s="9" t="s">
        <v>1221</v>
      </c>
      <c r="D167" s="34"/>
      <c r="E167" s="34"/>
      <c r="F167" s="34"/>
      <c r="G167" s="34" t="str">
        <f>CONCATENATE(Source!DM38,Source!FU38, "=", Source!FY38, "%")</f>
        <v>*0,85=70,55%</v>
      </c>
      <c r="H167" s="34" t="str">
        <f>CONCATENATE(Source!AU38)</f>
        <v>71</v>
      </c>
    </row>
    <row r="168" spans="1:28" x14ac:dyDescent="0.2">
      <c r="C168" s="9" t="s">
        <v>1222</v>
      </c>
      <c r="D168" s="34"/>
      <c r="E168" s="34"/>
      <c r="F168" s="34"/>
      <c r="G168" s="57">
        <f>((Source!AF38+Source!AE38)*Source!FX38/100)+((Source!AF38+Source!AE38)*Source!FY38/100)+Source!AB38</f>
        <v>30.803849999999997</v>
      </c>
      <c r="H168" s="57">
        <f>Source!O38+Source!X38+Source!Y38</f>
        <v>20.67</v>
      </c>
    </row>
    <row r="169" spans="1:28" ht="42.75" x14ac:dyDescent="0.2">
      <c r="A169" s="46">
        <v>12</v>
      </c>
      <c r="B169" s="46" t="str">
        <f>Source!E39</f>
        <v>11</v>
      </c>
      <c r="C169" s="46" t="str">
        <f>Source!G39</f>
        <v>Установка гарнитуры туалетной: вешалок, подстаканников, поручней для ванн и т.д.</v>
      </c>
      <c r="D169" s="46" t="str">
        <f>Source!F39</f>
        <v>17-01-002-04 прим.</v>
      </c>
      <c r="E169" s="31" t="str">
        <f>Source!H39</f>
        <v>10 ШТ</v>
      </c>
      <c r="F169" s="12">
        <f>Source!I39</f>
        <v>0.2</v>
      </c>
      <c r="G169" s="22">
        <f>Source!AB39</f>
        <v>27.54</v>
      </c>
      <c r="H169" s="22">
        <f>Source!O39</f>
        <v>36.96</v>
      </c>
      <c r="T169">
        <f>Source!O39+Source!X39+Source!Y39</f>
        <v>104.2</v>
      </c>
      <c r="U169">
        <f>Source!P39</f>
        <v>0.81</v>
      </c>
      <c r="V169">
        <f>Source!S39</f>
        <v>36.15</v>
      </c>
      <c r="W169">
        <f>Source!Q39</f>
        <v>0</v>
      </c>
      <c r="X169">
        <f>Source!R39</f>
        <v>0</v>
      </c>
      <c r="Y169">
        <f>Source!U39</f>
        <v>0.55999999999999994</v>
      </c>
      <c r="Z169">
        <f>Source!V39</f>
        <v>0</v>
      </c>
      <c r="AA169">
        <f>Source!X39</f>
        <v>41.57</v>
      </c>
      <c r="AB169">
        <f>Source!Y39</f>
        <v>25.67</v>
      </c>
    </row>
    <row r="170" spans="1:28" ht="14.25" x14ac:dyDescent="0.2">
      <c r="C170" s="23" t="str">
        <f>"Объем: "&amp;Source!I39&amp;"=2/"&amp;"10"</f>
        <v>Объем: 0,2=2/10</v>
      </c>
      <c r="F170" s="12"/>
      <c r="G170" s="12"/>
      <c r="H170" s="12"/>
    </row>
    <row r="171" spans="1:28" x14ac:dyDescent="0.2">
      <c r="C171" s="23" t="s">
        <v>1214</v>
      </c>
      <c r="D171" s="23">
        <f>Source!BA39</f>
        <v>6.71</v>
      </c>
    </row>
    <row r="172" spans="1:28" x14ac:dyDescent="0.2">
      <c r="C172" s="23" t="s">
        <v>1215</v>
      </c>
      <c r="D172" s="23">
        <f>Source!BB39</f>
        <v>6.71</v>
      </c>
    </row>
    <row r="173" spans="1:28" x14ac:dyDescent="0.2">
      <c r="C173" s="23" t="s">
        <v>1216</v>
      </c>
      <c r="D173" s="23">
        <f>Source!BC39</f>
        <v>6.71</v>
      </c>
    </row>
    <row r="174" spans="1:28" x14ac:dyDescent="0.2">
      <c r="C174" s="23" t="s">
        <v>1217</v>
      </c>
      <c r="D174" s="23">
        <f>Source!BS39</f>
        <v>6.71</v>
      </c>
    </row>
    <row r="175" spans="1:28" x14ac:dyDescent="0.2">
      <c r="C175" s="9" t="s">
        <v>1218</v>
      </c>
      <c r="D175" s="34"/>
      <c r="E175" s="34"/>
      <c r="F175" s="34">
        <f>Source!BZ39</f>
        <v>128</v>
      </c>
      <c r="G175" s="57">
        <f>(Source!AF39+Source!AE39)*Source!FX39/100</f>
        <v>31.034880000000001</v>
      </c>
      <c r="H175" s="57">
        <f>Source!X39</f>
        <v>41.57</v>
      </c>
    </row>
    <row r="176" spans="1:28" x14ac:dyDescent="0.2">
      <c r="C176" s="9" t="s">
        <v>1219</v>
      </c>
      <c r="D176" s="34"/>
      <c r="E176" s="34"/>
      <c r="F176" s="34"/>
      <c r="G176" s="34" t="str">
        <f>CONCATENATE(Source!DL39,Source!FT39, "=", Source!FX39, "%")</f>
        <v>*0,9=115,2%</v>
      </c>
      <c r="H176" s="34" t="str">
        <f>CONCATENATE(Source!AT39)</f>
        <v>115</v>
      </c>
    </row>
    <row r="177" spans="1:28" x14ac:dyDescent="0.2">
      <c r="C177" s="9" t="s">
        <v>1220</v>
      </c>
      <c r="D177" s="34"/>
      <c r="E177" s="34"/>
      <c r="F177" s="34">
        <f>Source!CA39</f>
        <v>83</v>
      </c>
      <c r="G177" s="57">
        <f>(Source!AF39+Source!AE39)*Source!FY39/100</f>
        <v>19.006170000000001</v>
      </c>
      <c r="H177" s="57">
        <f>Source!Y39</f>
        <v>25.67</v>
      </c>
    </row>
    <row r="178" spans="1:28" x14ac:dyDescent="0.2">
      <c r="C178" s="9" t="s">
        <v>1221</v>
      </c>
      <c r="D178" s="34"/>
      <c r="E178" s="34"/>
      <c r="F178" s="34"/>
      <c r="G178" s="34" t="str">
        <f>CONCATENATE(Source!DM39,Source!FU39, "=", Source!FY39, "%")</f>
        <v>*0,85=70,55%</v>
      </c>
      <c r="H178" s="34" t="str">
        <f>CONCATENATE(Source!AU39)</f>
        <v>71</v>
      </c>
    </row>
    <row r="179" spans="1:28" x14ac:dyDescent="0.2">
      <c r="C179" s="9" t="s">
        <v>1222</v>
      </c>
      <c r="D179" s="34"/>
      <c r="E179" s="34"/>
      <c r="F179" s="34"/>
      <c r="G179" s="57">
        <f>((Source!AF39+Source!AE39)*Source!FX39/100)+((Source!AF39+Source!AE39)*Source!FY39/100)+Source!AB39</f>
        <v>77.581050000000005</v>
      </c>
      <c r="H179" s="57">
        <f>Source!O39+Source!X39+Source!Y39</f>
        <v>104.2</v>
      </c>
    </row>
    <row r="180" spans="1:28" ht="42.75" x14ac:dyDescent="0.2">
      <c r="A180" s="46">
        <v>13</v>
      </c>
      <c r="B180" s="46" t="str">
        <f>Source!E40</f>
        <v>11,1</v>
      </c>
      <c r="C180" s="46" t="str">
        <f>Source!G40</f>
        <v>Вешалки-крючки однорожковые В-К стальные с гальванопокрытием  20 крючков прим.</v>
      </c>
      <c r="D180" s="46" t="str">
        <f>Source!F40</f>
        <v>18.2.06.03-0001</v>
      </c>
      <c r="E180" s="31" t="str">
        <f>Source!H40</f>
        <v>шт.</v>
      </c>
      <c r="F180" s="12">
        <f>Source!I40</f>
        <v>2</v>
      </c>
      <c r="G180" s="22">
        <f>Source!AB40</f>
        <v>3.74</v>
      </c>
      <c r="H180" s="22">
        <f>Source!O40</f>
        <v>50.19</v>
      </c>
      <c r="T180">
        <f>Source!O40+Source!X40+Source!Y40</f>
        <v>50.19</v>
      </c>
      <c r="U180">
        <f>Source!P40</f>
        <v>50.19</v>
      </c>
      <c r="V180">
        <f>Source!S40</f>
        <v>0</v>
      </c>
      <c r="W180">
        <f>Source!Q40</f>
        <v>0</v>
      </c>
      <c r="X180">
        <f>Source!R40</f>
        <v>0</v>
      </c>
      <c r="Y180">
        <f>Source!U40</f>
        <v>0</v>
      </c>
      <c r="Z180">
        <f>Source!V40</f>
        <v>0</v>
      </c>
      <c r="AA180">
        <f>Source!X40</f>
        <v>0</v>
      </c>
      <c r="AB180">
        <f>Source!Y40</f>
        <v>0</v>
      </c>
    </row>
    <row r="181" spans="1:28" ht="14.25" x14ac:dyDescent="0.2">
      <c r="C181" s="23" t="s">
        <v>1216</v>
      </c>
      <c r="D181" s="23">
        <f>Source!BC40</f>
        <v>6.71</v>
      </c>
      <c r="F181" s="12"/>
      <c r="G181" s="12"/>
      <c r="H181" s="12"/>
    </row>
    <row r="182" spans="1:28" ht="28.5" x14ac:dyDescent="0.2">
      <c r="A182" s="46">
        <v>14</v>
      </c>
      <c r="B182" s="46" t="str">
        <f>Source!E41</f>
        <v>12</v>
      </c>
      <c r="C182" s="46" t="str">
        <f>Source!G41</f>
        <v>Установка металлических дверных блоков в готовые проемы</v>
      </c>
      <c r="D182" s="46" t="str">
        <f>Source!F41</f>
        <v>09-04-012-01</v>
      </c>
      <c r="E182" s="31" t="str">
        <f>Source!H41</f>
        <v>м2</v>
      </c>
      <c r="F182" s="12">
        <f>Source!I41</f>
        <v>11.43</v>
      </c>
      <c r="G182" s="22">
        <f>Source!AB41</f>
        <v>71.11</v>
      </c>
      <c r="H182" s="22">
        <f>Source!O41</f>
        <v>5453.8</v>
      </c>
      <c r="T182">
        <f>Source!O41+Source!X41+Source!Y41</f>
        <v>8955.34</v>
      </c>
      <c r="U182">
        <f>Source!P41</f>
        <v>1972.6</v>
      </c>
      <c r="V182">
        <f>Source!S41</f>
        <v>2099.92</v>
      </c>
      <c r="W182">
        <f>Source!Q41</f>
        <v>1381.28</v>
      </c>
      <c r="X182">
        <f>Source!R41</f>
        <v>188.67</v>
      </c>
      <c r="Y182">
        <f>Source!U41</f>
        <v>31.546799999999998</v>
      </c>
      <c r="Z182">
        <f>Source!V41</f>
        <v>2.4288750000000001</v>
      </c>
      <c r="AA182">
        <f>Source!X41</f>
        <v>1853.76</v>
      </c>
      <c r="AB182">
        <f>Source!Y41</f>
        <v>1647.78</v>
      </c>
    </row>
    <row r="183" spans="1:28" ht="14.25" x14ac:dyDescent="0.2">
      <c r="C183" s="23" t="s">
        <v>1214</v>
      </c>
      <c r="D183" s="23">
        <f>Source!BA41</f>
        <v>6.71</v>
      </c>
      <c r="F183" s="12"/>
      <c r="G183" s="12"/>
      <c r="H183" s="12"/>
    </row>
    <row r="184" spans="1:28" x14ac:dyDescent="0.2">
      <c r="C184" s="23" t="s">
        <v>1215</v>
      </c>
      <c r="D184" s="23">
        <f>Source!BB41</f>
        <v>6.71</v>
      </c>
    </row>
    <row r="185" spans="1:28" x14ac:dyDescent="0.2">
      <c r="C185" s="23" t="s">
        <v>1216</v>
      </c>
      <c r="D185" s="23">
        <f>Source!BC41</f>
        <v>6.71</v>
      </c>
    </row>
    <row r="186" spans="1:28" x14ac:dyDescent="0.2">
      <c r="C186" s="23" t="s">
        <v>1217</v>
      </c>
      <c r="D186" s="23">
        <f>Source!BS41</f>
        <v>6.71</v>
      </c>
    </row>
    <row r="187" spans="1:28" x14ac:dyDescent="0.2">
      <c r="C187" s="23" t="s">
        <v>1224</v>
      </c>
      <c r="D187" s="89" t="s">
        <v>103</v>
      </c>
      <c r="E187" s="89"/>
      <c r="F187" s="89"/>
      <c r="G187" s="89"/>
      <c r="H187" s="89"/>
    </row>
    <row r="188" spans="1:28" x14ac:dyDescent="0.2">
      <c r="C188" s="23" t="s">
        <v>1225</v>
      </c>
      <c r="D188" s="89" t="s">
        <v>103</v>
      </c>
      <c r="E188" s="89"/>
      <c r="F188" s="89"/>
      <c r="G188" s="89"/>
      <c r="H188" s="89"/>
    </row>
    <row r="189" spans="1:28" x14ac:dyDescent="0.2">
      <c r="C189" s="23" t="s">
        <v>1226</v>
      </c>
      <c r="D189" s="89" t="s">
        <v>104</v>
      </c>
      <c r="E189" s="89"/>
      <c r="F189" s="89"/>
      <c r="G189" s="89"/>
      <c r="H189" s="89"/>
    </row>
    <row r="190" spans="1:28" x14ac:dyDescent="0.2">
      <c r="C190" s="23" t="s">
        <v>1227</v>
      </c>
      <c r="D190" s="89" t="s">
        <v>104</v>
      </c>
      <c r="E190" s="89"/>
      <c r="F190" s="89"/>
      <c r="G190" s="89"/>
      <c r="H190" s="89"/>
    </row>
    <row r="191" spans="1:28" x14ac:dyDescent="0.2">
      <c r="C191" s="23" t="s">
        <v>1228</v>
      </c>
      <c r="D191" s="89" t="s">
        <v>103</v>
      </c>
      <c r="E191" s="89"/>
      <c r="F191" s="89"/>
      <c r="G191" s="89"/>
      <c r="H191" s="89"/>
    </row>
    <row r="192" spans="1:28" x14ac:dyDescent="0.2">
      <c r="C192" s="9" t="s">
        <v>1218</v>
      </c>
      <c r="D192" s="34"/>
      <c r="E192" s="34"/>
      <c r="F192" s="34">
        <f>Source!BZ41</f>
        <v>90</v>
      </c>
      <c r="G192" s="57">
        <f>(Source!AF41+Source!AE41)*Source!FX41/100</f>
        <v>24.170400000000001</v>
      </c>
      <c r="H192" s="57">
        <f>Source!X41</f>
        <v>1853.76</v>
      </c>
    </row>
    <row r="193" spans="1:28" x14ac:dyDescent="0.2">
      <c r="C193" s="9" t="s">
        <v>1219</v>
      </c>
      <c r="D193" s="34"/>
      <c r="E193" s="34"/>
      <c r="F193" s="34"/>
      <c r="G193" s="34" t="str">
        <f>CONCATENATE(Source!DL41,Source!FT41, "=", Source!FX41, "%")</f>
        <v>*0,9=81%</v>
      </c>
      <c r="H193" s="34" t="str">
        <f>CONCATENATE(Source!AT41)</f>
        <v>81</v>
      </c>
    </row>
    <row r="194" spans="1:28" x14ac:dyDescent="0.2">
      <c r="C194" s="9" t="s">
        <v>1220</v>
      </c>
      <c r="D194" s="34"/>
      <c r="E194" s="34"/>
      <c r="F194" s="34">
        <f>Source!CA41</f>
        <v>85</v>
      </c>
      <c r="G194" s="57">
        <f>(Source!AF41+Source!AE41)*Source!FY41/100</f>
        <v>21.5594</v>
      </c>
      <c r="H194" s="57">
        <f>Source!Y41</f>
        <v>1647.78</v>
      </c>
    </row>
    <row r="195" spans="1:28" x14ac:dyDescent="0.2">
      <c r="C195" s="9" t="s">
        <v>1221</v>
      </c>
      <c r="D195" s="34"/>
      <c r="E195" s="34"/>
      <c r="F195" s="34"/>
      <c r="G195" s="34" t="str">
        <f>CONCATENATE(Source!DM41,Source!FU41, "=", Source!FY41, "%")</f>
        <v>*0,85=72,25%</v>
      </c>
      <c r="H195" s="34" t="str">
        <f>CONCATENATE(Source!AU41)</f>
        <v>72</v>
      </c>
    </row>
    <row r="196" spans="1:28" x14ac:dyDescent="0.2">
      <c r="C196" s="9" t="s">
        <v>1222</v>
      </c>
      <c r="D196" s="34"/>
      <c r="E196" s="34"/>
      <c r="F196" s="34"/>
      <c r="G196" s="57">
        <f>((Source!AF41+Source!AE41)*Source!FX41/100)+((Source!AF41+Source!AE41)*Source!FY41/100)+Source!AB41</f>
        <v>116.8398</v>
      </c>
      <c r="H196" s="57">
        <f>Source!O41+Source!X41+Source!Y41</f>
        <v>8955.34</v>
      </c>
    </row>
    <row r="197" spans="1:28" ht="42.75" x14ac:dyDescent="0.2">
      <c r="A197" s="46">
        <v>15</v>
      </c>
      <c r="B197" s="46" t="str">
        <f>Source!E42</f>
        <v>12,1</v>
      </c>
      <c r="C197" s="46" t="str">
        <f>Source!G42</f>
        <v>Дверь противопожарная металлическая однопольная ДПМ-01/60, размером 2300х900 мм прим.</v>
      </c>
      <c r="D197" s="46" t="str">
        <f>Source!F42</f>
        <v>07.1.01.01-0020</v>
      </c>
      <c r="E197" s="31" t="str">
        <f>Source!H42</f>
        <v>шт.</v>
      </c>
      <c r="F197" s="12">
        <f>Source!I42</f>
        <v>1</v>
      </c>
      <c r="G197" s="22">
        <f>Source!AB42</f>
        <v>3104.96</v>
      </c>
      <c r="H197" s="22">
        <f>Source!O42</f>
        <v>20834.28</v>
      </c>
      <c r="T197">
        <f>Source!O42+Source!X42+Source!Y42</f>
        <v>20834.28</v>
      </c>
      <c r="U197">
        <f>Source!P42</f>
        <v>20834.28</v>
      </c>
      <c r="V197">
        <f>Source!S42</f>
        <v>0</v>
      </c>
      <c r="W197">
        <f>Source!Q42</f>
        <v>0</v>
      </c>
      <c r="X197">
        <f>Source!R42</f>
        <v>0</v>
      </c>
      <c r="Y197">
        <f>Source!U42</f>
        <v>0</v>
      </c>
      <c r="Z197">
        <f>Source!V42</f>
        <v>0</v>
      </c>
      <c r="AA197">
        <f>Source!X42</f>
        <v>0</v>
      </c>
      <c r="AB197">
        <f>Source!Y42</f>
        <v>0</v>
      </c>
    </row>
    <row r="198" spans="1:28" ht="14.25" x14ac:dyDescent="0.2">
      <c r="C198" s="23" t="s">
        <v>1216</v>
      </c>
      <c r="D198" s="23">
        <f>Source!BC42</f>
        <v>6.71</v>
      </c>
      <c r="F198" s="12"/>
      <c r="G198" s="12"/>
      <c r="H198" s="12"/>
    </row>
    <row r="199" spans="1:28" ht="57" x14ac:dyDescent="0.2">
      <c r="A199" s="46">
        <v>16</v>
      </c>
      <c r="B199" s="46" t="str">
        <f>Source!E43</f>
        <v>12,2</v>
      </c>
      <c r="C199" s="46" t="str">
        <f>Source!G43</f>
        <v>Дверь противопожарная металлическая двупольная ДПМ-02/60, размером 2400х1390 мм в комплекте прим.</v>
      </c>
      <c r="D199" s="46" t="str">
        <f>Source!F43</f>
        <v>07.1.01.01-0008</v>
      </c>
      <c r="E199" s="31" t="str">
        <f>Source!H43</f>
        <v>шт.</v>
      </c>
      <c r="F199" s="12">
        <f>Source!I43</f>
        <v>2</v>
      </c>
      <c r="G199" s="22">
        <f>Source!AB43</f>
        <v>5451.21</v>
      </c>
      <c r="H199" s="22">
        <f>Source!O43</f>
        <v>73155.240000000005</v>
      </c>
      <c r="T199">
        <f>Source!O43+Source!X43+Source!Y43</f>
        <v>73155.240000000005</v>
      </c>
      <c r="U199">
        <f>Source!P43</f>
        <v>73155.240000000005</v>
      </c>
      <c r="V199">
        <f>Source!S43</f>
        <v>0</v>
      </c>
      <c r="W199">
        <f>Source!Q43</f>
        <v>0</v>
      </c>
      <c r="X199">
        <f>Source!R43</f>
        <v>0</v>
      </c>
      <c r="Y199">
        <f>Source!U43</f>
        <v>0</v>
      </c>
      <c r="Z199">
        <f>Source!V43</f>
        <v>0</v>
      </c>
      <c r="AA199">
        <f>Source!X43</f>
        <v>0</v>
      </c>
      <c r="AB199">
        <f>Source!Y43</f>
        <v>0</v>
      </c>
    </row>
    <row r="200" spans="1:28" ht="14.25" x14ac:dyDescent="0.2">
      <c r="C200" s="23" t="s">
        <v>1216</v>
      </c>
      <c r="D200" s="23">
        <f>Source!BC43</f>
        <v>6.71</v>
      </c>
      <c r="F200" s="12"/>
      <c r="G200" s="12"/>
      <c r="H200" s="12"/>
    </row>
    <row r="201" spans="1:28" ht="57" x14ac:dyDescent="0.2">
      <c r="A201" s="46">
        <v>17</v>
      </c>
      <c r="B201" s="46" t="str">
        <f>Source!E44</f>
        <v>12,3</v>
      </c>
      <c r="C201" s="46" t="str">
        <f>Source!G44</f>
        <v>Дверь противопожарная металлическая двупольная ДПМ-02/60, размером 1280х2100 мм в комлекте прим.</v>
      </c>
      <c r="D201" s="46" t="str">
        <f>Source!F44</f>
        <v>07.1.01.01-0006</v>
      </c>
      <c r="E201" s="31" t="str">
        <f>Source!H44</f>
        <v>шт.</v>
      </c>
      <c r="F201" s="12">
        <f>Source!I44</f>
        <v>1</v>
      </c>
      <c r="G201" s="22">
        <f>Source!AB44</f>
        <v>4757.6000000000004</v>
      </c>
      <c r="H201" s="22">
        <f>Source!O44</f>
        <v>31923.5</v>
      </c>
      <c r="T201">
        <f>Source!O44+Source!X44+Source!Y44</f>
        <v>31923.5</v>
      </c>
      <c r="U201">
        <f>Source!P44</f>
        <v>31923.5</v>
      </c>
      <c r="V201">
        <f>Source!S44</f>
        <v>0</v>
      </c>
      <c r="W201">
        <f>Source!Q44</f>
        <v>0</v>
      </c>
      <c r="X201">
        <f>Source!R44</f>
        <v>0</v>
      </c>
      <c r="Y201">
        <f>Source!U44</f>
        <v>0</v>
      </c>
      <c r="Z201">
        <f>Source!V44</f>
        <v>0</v>
      </c>
      <c r="AA201">
        <f>Source!X44</f>
        <v>0</v>
      </c>
      <c r="AB201">
        <f>Source!Y44</f>
        <v>0</v>
      </c>
    </row>
    <row r="202" spans="1:28" ht="14.25" x14ac:dyDescent="0.2">
      <c r="C202" s="23" t="s">
        <v>1216</v>
      </c>
      <c r="D202" s="23">
        <f>Source!BC44</f>
        <v>6.71</v>
      </c>
      <c r="F202" s="12"/>
      <c r="G202" s="12"/>
      <c r="H202" s="12"/>
    </row>
    <row r="203" spans="1:28" ht="57" x14ac:dyDescent="0.2">
      <c r="A203" s="46">
        <v>18</v>
      </c>
      <c r="B203" s="46" t="str">
        <f>Source!E45</f>
        <v>13</v>
      </c>
      <c r="C203" s="46" t="str">
        <f>Source!G45</f>
        <v>Установка блоков в наружных и внутренних дверных проемах в каменных стенах, площадь проема более 3 м2</v>
      </c>
      <c r="D203" s="46" t="str">
        <f>Source!F45</f>
        <v>10-01-039-02</v>
      </c>
      <c r="E203" s="31" t="str">
        <f>Source!H45</f>
        <v>100 м2</v>
      </c>
      <c r="F203" s="12">
        <f>Source!I45</f>
        <v>6.6699999999999995E-2</v>
      </c>
      <c r="G203" s="22">
        <f>Source!AB45</f>
        <v>2682.2</v>
      </c>
      <c r="H203" s="22">
        <f>Source!O45</f>
        <v>1200.44</v>
      </c>
      <c r="T203">
        <f>Source!O45+Source!X45+Source!Y45</f>
        <v>1831.9099999999999</v>
      </c>
      <c r="U203">
        <f>Source!P45</f>
        <v>524.64</v>
      </c>
      <c r="V203">
        <f>Source!S45</f>
        <v>341.15</v>
      </c>
      <c r="W203">
        <f>Source!Q45</f>
        <v>334.65</v>
      </c>
      <c r="X203">
        <f>Source!R45</f>
        <v>53.52</v>
      </c>
      <c r="Y203">
        <f>Source!U45</f>
        <v>5.408703</v>
      </c>
      <c r="Z203">
        <f>Source!V45</f>
        <v>0.61030499999999999</v>
      </c>
      <c r="AA203">
        <f>Source!X45</f>
        <v>418.35</v>
      </c>
      <c r="AB203">
        <f>Source!Y45</f>
        <v>213.12</v>
      </c>
    </row>
    <row r="204" spans="1:28" ht="14.25" x14ac:dyDescent="0.2">
      <c r="C204" s="23" t="str">
        <f>"Объем: "&amp;Source!I45&amp;"=6,67/"&amp;"100"</f>
        <v>Объем: 0,0667=6,67/100</v>
      </c>
      <c r="F204" s="12"/>
      <c r="G204" s="12"/>
      <c r="H204" s="12"/>
    </row>
    <row r="205" spans="1:28" x14ac:dyDescent="0.2">
      <c r="C205" s="23" t="s">
        <v>1214</v>
      </c>
      <c r="D205" s="23">
        <f>Source!BA45</f>
        <v>6.71</v>
      </c>
    </row>
    <row r="206" spans="1:28" x14ac:dyDescent="0.2">
      <c r="C206" s="23" t="s">
        <v>1215</v>
      </c>
      <c r="D206" s="23">
        <f>Source!BB45</f>
        <v>6.71</v>
      </c>
    </row>
    <row r="207" spans="1:28" x14ac:dyDescent="0.2">
      <c r="C207" s="23" t="s">
        <v>1216</v>
      </c>
      <c r="D207" s="23">
        <f>Source!BC45</f>
        <v>6.71</v>
      </c>
    </row>
    <row r="208" spans="1:28" x14ac:dyDescent="0.2">
      <c r="C208" s="23" t="s">
        <v>1217</v>
      </c>
      <c r="D208" s="23">
        <f>Source!BS45</f>
        <v>6.71</v>
      </c>
    </row>
    <row r="209" spans="1:28" x14ac:dyDescent="0.2">
      <c r="C209" s="9" t="s">
        <v>1218</v>
      </c>
      <c r="D209" s="34"/>
      <c r="E209" s="34"/>
      <c r="F209" s="34">
        <f>Source!BZ45</f>
        <v>118</v>
      </c>
      <c r="G209" s="57">
        <f>(Source!AF45+Source!AE45)*Source!FX45/100</f>
        <v>936.51408000000015</v>
      </c>
      <c r="H209" s="57">
        <f>Source!X45</f>
        <v>418.35</v>
      </c>
    </row>
    <row r="210" spans="1:28" x14ac:dyDescent="0.2">
      <c r="C210" s="9" t="s">
        <v>1219</v>
      </c>
      <c r="D210" s="34"/>
      <c r="E210" s="34"/>
      <c r="F210" s="34"/>
      <c r="G210" s="34" t="str">
        <f>CONCATENATE(Source!DL45,Source!FT45, "=", Source!FX45, "%")</f>
        <v>*0,9=106,2%</v>
      </c>
      <c r="H210" s="34" t="str">
        <f>CONCATENATE(Source!AT45)</f>
        <v>106</v>
      </c>
    </row>
    <row r="211" spans="1:28" x14ac:dyDescent="0.2">
      <c r="C211" s="9" t="s">
        <v>1220</v>
      </c>
      <c r="D211" s="34"/>
      <c r="E211" s="34"/>
      <c r="F211" s="34">
        <f>Source!CA45</f>
        <v>63</v>
      </c>
      <c r="G211" s="57">
        <f>(Source!AF45+Source!AE45)*Source!FY45/100</f>
        <v>472.22532000000001</v>
      </c>
      <c r="H211" s="57">
        <f>Source!Y45</f>
        <v>213.12</v>
      </c>
    </row>
    <row r="212" spans="1:28" x14ac:dyDescent="0.2">
      <c r="C212" s="9" t="s">
        <v>1221</v>
      </c>
      <c r="D212" s="34"/>
      <c r="E212" s="34"/>
      <c r="F212" s="34"/>
      <c r="G212" s="34" t="str">
        <f>CONCATENATE(Source!DM45,Source!FU45, "=", Source!FY45, "%")</f>
        <v>*0,85=53,55%</v>
      </c>
      <c r="H212" s="34" t="str">
        <f>CONCATENATE(Source!AU45)</f>
        <v>54</v>
      </c>
    </row>
    <row r="213" spans="1:28" x14ac:dyDescent="0.2">
      <c r="C213" s="9" t="s">
        <v>1222</v>
      </c>
      <c r="D213" s="34"/>
      <c r="E213" s="34"/>
      <c r="F213" s="34"/>
      <c r="G213" s="57">
        <f>((Source!AF45+Source!AE45)*Source!FX45/100)+((Source!AF45+Source!AE45)*Source!FY45/100)+Source!AB45</f>
        <v>4090.9394000000002</v>
      </c>
      <c r="H213" s="57">
        <f>Source!O45+Source!X45+Source!Y45</f>
        <v>1831.9099999999999</v>
      </c>
    </row>
    <row r="214" spans="1:28" ht="42.75" x14ac:dyDescent="0.2">
      <c r="A214" s="46">
        <v>19</v>
      </c>
      <c r="B214" s="46" t="str">
        <f>Source!E46</f>
        <v>13,1</v>
      </c>
      <c r="C214" s="46" t="str">
        <f>Source!G46</f>
        <v>Скобяные изделия для блоков входных дверей в помещение двупольных</v>
      </c>
      <c r="D214" s="46" t="str">
        <f>Source!F46</f>
        <v>01.7.04.07-0002</v>
      </c>
      <c r="E214" s="31" t="str">
        <f>Source!H46</f>
        <v>компл.</v>
      </c>
      <c r="F214" s="12">
        <f>Source!I46</f>
        <v>2</v>
      </c>
      <c r="G214" s="22">
        <f>Source!AB46</f>
        <v>94.68</v>
      </c>
      <c r="H214" s="22">
        <f>Source!O46</f>
        <v>1270.6099999999999</v>
      </c>
      <c r="T214">
        <f>Source!O46+Source!X46+Source!Y46</f>
        <v>1270.6099999999999</v>
      </c>
      <c r="U214">
        <f>Source!P46</f>
        <v>1270.6099999999999</v>
      </c>
      <c r="V214">
        <f>Source!S46</f>
        <v>0</v>
      </c>
      <c r="W214">
        <f>Source!Q46</f>
        <v>0</v>
      </c>
      <c r="X214">
        <f>Source!R46</f>
        <v>0</v>
      </c>
      <c r="Y214">
        <f>Source!U46</f>
        <v>0</v>
      </c>
      <c r="Z214">
        <f>Source!V46</f>
        <v>0</v>
      </c>
      <c r="AA214">
        <f>Source!X46</f>
        <v>0</v>
      </c>
      <c r="AB214">
        <f>Source!Y46</f>
        <v>0</v>
      </c>
    </row>
    <row r="215" spans="1:28" ht="14.25" x14ac:dyDescent="0.2">
      <c r="C215" s="23" t="s">
        <v>1216</v>
      </c>
      <c r="D215" s="23">
        <f>Source!BC46</f>
        <v>6.71</v>
      </c>
      <c r="F215" s="12"/>
      <c r="G215" s="12"/>
      <c r="H215" s="12"/>
    </row>
    <row r="216" spans="1:28" ht="42.75" x14ac:dyDescent="0.2">
      <c r="A216" s="46">
        <v>20</v>
      </c>
      <c r="B216" s="46" t="str">
        <f>Source!E47</f>
        <v>13,2</v>
      </c>
      <c r="C216" s="46" t="str">
        <f>Source!G47</f>
        <v>Блоки дверные внутренние двупольные под стекло шлифованные, из массива сосны, тонированные</v>
      </c>
      <c r="D216" s="46" t="str">
        <f>Source!F47</f>
        <v>11.2.02.01-0027</v>
      </c>
      <c r="E216" s="31" t="str">
        <f>Source!H47</f>
        <v>м2</v>
      </c>
      <c r="F216" s="12">
        <f>Source!I47</f>
        <v>6.67</v>
      </c>
      <c r="G216" s="22">
        <f>Source!AB47</f>
        <v>1231.92</v>
      </c>
      <c r="H216" s="22">
        <f>Source!O47</f>
        <v>55135.44</v>
      </c>
      <c r="T216">
        <f>Source!O47+Source!X47+Source!Y47</f>
        <v>55135.44</v>
      </c>
      <c r="U216">
        <f>Source!P47</f>
        <v>55135.44</v>
      </c>
      <c r="V216">
        <f>Source!S47</f>
        <v>0</v>
      </c>
      <c r="W216">
        <f>Source!Q47</f>
        <v>0</v>
      </c>
      <c r="X216">
        <f>Source!R47</f>
        <v>0</v>
      </c>
      <c r="Y216">
        <f>Source!U47</f>
        <v>0</v>
      </c>
      <c r="Z216">
        <f>Source!V47</f>
        <v>0</v>
      </c>
      <c r="AA216">
        <f>Source!X47</f>
        <v>0</v>
      </c>
      <c r="AB216">
        <f>Source!Y47</f>
        <v>0</v>
      </c>
    </row>
    <row r="217" spans="1:28" ht="14.25" x14ac:dyDescent="0.2">
      <c r="C217" s="23" t="s">
        <v>1216</v>
      </c>
      <c r="D217" s="23">
        <f>Source!BC47</f>
        <v>6.71</v>
      </c>
      <c r="F217" s="12"/>
      <c r="G217" s="12"/>
      <c r="H217" s="12"/>
    </row>
    <row r="218" spans="1:28" ht="28.5" x14ac:dyDescent="0.2">
      <c r="A218" s="46">
        <v>21</v>
      </c>
      <c r="B218" s="46" t="str">
        <f>Source!E48</f>
        <v>14</v>
      </c>
      <c r="C218" s="46" t="str">
        <f>Source!G48</f>
        <v>Заделка выбоин в полах цементных площадью до 1,0 м2</v>
      </c>
      <c r="D218" s="46" t="str">
        <f>Source!F48</f>
        <v>57-10-3</v>
      </c>
      <c r="E218" s="31" t="str">
        <f>Source!H48</f>
        <v>100 мест</v>
      </c>
      <c r="F218" s="12">
        <f>Source!I48</f>
        <v>0.19</v>
      </c>
      <c r="G218" s="22">
        <f>Source!AB48</f>
        <v>1106.8800000000001</v>
      </c>
      <c r="H218" s="22">
        <f>Source!O48</f>
        <v>1411.17</v>
      </c>
      <c r="T218">
        <f>Source!O48+Source!X48+Source!Y48</f>
        <v>3410.63</v>
      </c>
      <c r="U218">
        <f>Source!P48</f>
        <v>0.31</v>
      </c>
      <c r="V218">
        <f>Source!S48</f>
        <v>1350.99</v>
      </c>
      <c r="W218">
        <f>Source!Q48</f>
        <v>59.87</v>
      </c>
      <c r="X218">
        <f>Source!R48</f>
        <v>0</v>
      </c>
      <c r="Y218">
        <f>Source!U48</f>
        <v>23.6037</v>
      </c>
      <c r="Z218">
        <f>Source!V48</f>
        <v>0</v>
      </c>
      <c r="AA218">
        <f>Source!X48</f>
        <v>1080.79</v>
      </c>
      <c r="AB218">
        <f>Source!Y48</f>
        <v>918.67</v>
      </c>
    </row>
    <row r="219" spans="1:28" ht="14.25" x14ac:dyDescent="0.2">
      <c r="C219" s="23" t="str">
        <f>"Объем: "&amp;Source!I48&amp;"=19/"&amp;"100"</f>
        <v>Объем: 0,19=19/100</v>
      </c>
      <c r="F219" s="12"/>
      <c r="G219" s="12"/>
      <c r="H219" s="12"/>
    </row>
    <row r="220" spans="1:28" x14ac:dyDescent="0.2">
      <c r="C220" s="23" t="s">
        <v>1214</v>
      </c>
      <c r="D220" s="23">
        <f>Source!BA48</f>
        <v>6.71</v>
      </c>
    </row>
    <row r="221" spans="1:28" x14ac:dyDescent="0.2">
      <c r="C221" s="23" t="s">
        <v>1215</v>
      </c>
      <c r="D221" s="23">
        <f>Source!BB48</f>
        <v>6.71</v>
      </c>
    </row>
    <row r="222" spans="1:28" x14ac:dyDescent="0.2">
      <c r="C222" s="23" t="s">
        <v>1216</v>
      </c>
      <c r="D222" s="23">
        <f>Source!BC48</f>
        <v>6.71</v>
      </c>
    </row>
    <row r="223" spans="1:28" x14ac:dyDescent="0.2">
      <c r="C223" s="23" t="s">
        <v>1217</v>
      </c>
      <c r="D223" s="23">
        <f>Source!BS48</f>
        <v>6.71</v>
      </c>
    </row>
    <row r="224" spans="1:28" x14ac:dyDescent="0.2">
      <c r="C224" s="9" t="s">
        <v>1218</v>
      </c>
      <c r="D224" s="34"/>
      <c r="E224" s="34"/>
      <c r="F224" s="34">
        <f>Source!BZ48</f>
        <v>80</v>
      </c>
      <c r="G224" s="57">
        <f>(Source!AF48+Source!AE48)*Source!FX48/100</f>
        <v>847.74400000000014</v>
      </c>
      <c r="H224" s="57">
        <f>Source!X48</f>
        <v>1080.79</v>
      </c>
    </row>
    <row r="225" spans="1:28" x14ac:dyDescent="0.2">
      <c r="C225" s="9" t="s">
        <v>1220</v>
      </c>
      <c r="D225" s="34"/>
      <c r="E225" s="34"/>
      <c r="F225" s="34">
        <f>Source!CA48</f>
        <v>68</v>
      </c>
      <c r="G225" s="57">
        <f>(Source!AF48+Source!AE48)*Source!FY48/100</f>
        <v>720.58240000000001</v>
      </c>
      <c r="H225" s="57">
        <f>Source!Y48</f>
        <v>918.67</v>
      </c>
    </row>
    <row r="226" spans="1:28" x14ac:dyDescent="0.2">
      <c r="C226" s="9" t="s">
        <v>1222</v>
      </c>
      <c r="D226" s="34"/>
      <c r="E226" s="34"/>
      <c r="F226" s="34"/>
      <c r="G226" s="57">
        <f>((Source!AF48+Source!AE48)*Source!FX48/100)+((Source!AF48+Source!AE48)*Source!FY48/100)+Source!AB48</f>
        <v>2675.2064</v>
      </c>
      <c r="H226" s="57">
        <f>Source!O48+Source!X48+Source!Y48</f>
        <v>3410.63</v>
      </c>
    </row>
    <row r="227" spans="1:28" ht="28.5" x14ac:dyDescent="0.2">
      <c r="A227" s="46">
        <v>22</v>
      </c>
      <c r="B227" s="46" t="str">
        <f>Source!E49</f>
        <v>14,1</v>
      </c>
      <c r="C227" s="46" t="str">
        <f>Source!G49</f>
        <v>Раствор готовый кладочный тяжелый цементный</v>
      </c>
      <c r="D227" s="46" t="str">
        <f>Source!F49</f>
        <v>04.3.01.09</v>
      </c>
      <c r="E227" s="31" t="str">
        <f>Source!H49</f>
        <v>м3</v>
      </c>
      <c r="F227" s="12">
        <f>Source!I49</f>
        <v>0.40660000000000002</v>
      </c>
      <c r="G227" s="22">
        <f>Source!AB49</f>
        <v>0</v>
      </c>
      <c r="H227" s="22">
        <f>Source!O49</f>
        <v>0</v>
      </c>
      <c r="T227">
        <f>Source!O49+Source!X49+Source!Y49</f>
        <v>0</v>
      </c>
      <c r="U227">
        <f>Source!P49</f>
        <v>0</v>
      </c>
      <c r="V227">
        <f>Source!S49</f>
        <v>0</v>
      </c>
      <c r="W227">
        <f>Source!Q49</f>
        <v>0</v>
      </c>
      <c r="X227">
        <f>Source!R49</f>
        <v>0</v>
      </c>
      <c r="Y227">
        <f>Source!U49</f>
        <v>0</v>
      </c>
      <c r="Z227">
        <f>Source!V49</f>
        <v>0</v>
      </c>
      <c r="AA227">
        <f>Source!X49</f>
        <v>0</v>
      </c>
      <c r="AB227">
        <f>Source!Y49</f>
        <v>0</v>
      </c>
    </row>
    <row r="228" spans="1:28" ht="14.25" x14ac:dyDescent="0.2">
      <c r="C228" s="23" t="s">
        <v>1216</v>
      </c>
      <c r="D228" s="23">
        <f>Source!BC49</f>
        <v>6.71</v>
      </c>
      <c r="F228" s="12"/>
      <c r="G228" s="12"/>
      <c r="H228" s="12"/>
    </row>
    <row r="229" spans="1:28" ht="42.75" x14ac:dyDescent="0.2">
      <c r="A229" s="46">
        <v>23</v>
      </c>
      <c r="B229" s="46" t="str">
        <f>Source!E50</f>
        <v>14,2</v>
      </c>
      <c r="C229" s="46" t="str">
        <f>Source!G50</f>
        <v>Смесь сухая  цементно-песчаная "БИРСС 11" (марка М150), бездобавочная</v>
      </c>
      <c r="D229" s="46" t="str">
        <f>Source!F50</f>
        <v>04.3.02.13-0103</v>
      </c>
      <c r="E229" s="31" t="str">
        <f>Source!H50</f>
        <v>т</v>
      </c>
      <c r="F229" s="12">
        <f>Source!I50</f>
        <v>0.88219199999999987</v>
      </c>
      <c r="G229" s="22">
        <f>Source!AB50</f>
        <v>728.14</v>
      </c>
      <c r="H229" s="22">
        <f>Source!O50</f>
        <v>4310.2299999999996</v>
      </c>
      <c r="T229">
        <f>Source!O50+Source!X50+Source!Y50</f>
        <v>4310.2299999999996</v>
      </c>
      <c r="U229">
        <f>Source!P50</f>
        <v>4310.2299999999996</v>
      </c>
      <c r="V229">
        <f>Source!S50</f>
        <v>0</v>
      </c>
      <c r="W229">
        <f>Source!Q50</f>
        <v>0</v>
      </c>
      <c r="X229">
        <f>Source!R50</f>
        <v>0</v>
      </c>
      <c r="Y229">
        <f>Source!U50</f>
        <v>0</v>
      </c>
      <c r="Z229">
        <f>Source!V50</f>
        <v>0</v>
      </c>
      <c r="AA229">
        <f>Source!X50</f>
        <v>0</v>
      </c>
      <c r="AB229">
        <f>Source!Y50</f>
        <v>0</v>
      </c>
    </row>
    <row r="230" spans="1:28" ht="14.25" x14ac:dyDescent="0.2">
      <c r="C230" s="23" t="s">
        <v>1216</v>
      </c>
      <c r="D230" s="23">
        <f>Source!BC50</f>
        <v>6.71</v>
      </c>
      <c r="F230" s="12"/>
      <c r="G230" s="12"/>
      <c r="H230" s="12"/>
    </row>
    <row r="231" spans="1:28" ht="42.75" x14ac:dyDescent="0.2">
      <c r="A231" s="46">
        <v>24</v>
      </c>
      <c r="B231" s="46" t="str">
        <f>Source!E51</f>
        <v>15</v>
      </c>
      <c r="C231" s="46" t="str">
        <f>Source!G51</f>
        <v>Устройство стяжек из выравнивающей смеси типа "Ветонит" 5000, толщиной 5 мм</v>
      </c>
      <c r="D231" s="46" t="str">
        <f>Source!F51</f>
        <v>11-01-011-08</v>
      </c>
      <c r="E231" s="31" t="str">
        <f>Source!H51</f>
        <v>100 м2</v>
      </c>
      <c r="F231" s="12">
        <f>Source!I51</f>
        <v>1.3442000000000001</v>
      </c>
      <c r="G231" s="22">
        <f>Source!AB51</f>
        <v>11078.65</v>
      </c>
      <c r="H231" s="22">
        <f>Source!O51</f>
        <v>99924.79</v>
      </c>
      <c r="T231">
        <f>Source!O51+Source!X51+Source!Y51</f>
        <v>105796.39</v>
      </c>
      <c r="U231">
        <f>Source!P51</f>
        <v>96521.52</v>
      </c>
      <c r="V231">
        <f>Source!S51</f>
        <v>3333.01</v>
      </c>
      <c r="W231">
        <f>Source!Q51</f>
        <v>70.260000000000005</v>
      </c>
      <c r="X231">
        <f>Source!R51</f>
        <v>22.19</v>
      </c>
      <c r="Y231">
        <f>Source!U51</f>
        <v>58.231416099999997</v>
      </c>
      <c r="Z231">
        <f>Source!V51</f>
        <v>0.28564250000000002</v>
      </c>
      <c r="AA231">
        <f>Source!X51</f>
        <v>3724.27</v>
      </c>
      <c r="AB231">
        <f>Source!Y51</f>
        <v>2147.33</v>
      </c>
    </row>
    <row r="232" spans="1:28" ht="14.25" x14ac:dyDescent="0.2">
      <c r="C232" s="23" t="str">
        <f>"Объем: "&amp;Source!I51&amp;"=134,42/"&amp;"100"</f>
        <v>Объем: 1,3442=134,42/100</v>
      </c>
      <c r="F232" s="12"/>
      <c r="G232" s="12"/>
      <c r="H232" s="12"/>
    </row>
    <row r="233" spans="1:28" x14ac:dyDescent="0.2">
      <c r="C233" s="23" t="s">
        <v>1214</v>
      </c>
      <c r="D233" s="23">
        <f>Source!BA51</f>
        <v>6.71</v>
      </c>
    </row>
    <row r="234" spans="1:28" x14ac:dyDescent="0.2">
      <c r="C234" s="23" t="s">
        <v>1215</v>
      </c>
      <c r="D234" s="23">
        <f>Source!BB51</f>
        <v>6.71</v>
      </c>
    </row>
    <row r="235" spans="1:28" x14ac:dyDescent="0.2">
      <c r="C235" s="23" t="s">
        <v>1216</v>
      </c>
      <c r="D235" s="23">
        <f>Source!BC51</f>
        <v>6.71</v>
      </c>
    </row>
    <row r="236" spans="1:28" x14ac:dyDescent="0.2">
      <c r="C236" s="23" t="s">
        <v>1217</v>
      </c>
      <c r="D236" s="23">
        <f>Source!BS51</f>
        <v>6.71</v>
      </c>
    </row>
    <row r="237" spans="1:28" x14ac:dyDescent="0.2">
      <c r="C237" s="23" t="s">
        <v>1224</v>
      </c>
      <c r="D237" s="89" t="s">
        <v>103</v>
      </c>
      <c r="E237" s="89"/>
      <c r="F237" s="89"/>
      <c r="G237" s="89"/>
      <c r="H237" s="89"/>
    </row>
    <row r="238" spans="1:28" x14ac:dyDescent="0.2">
      <c r="C238" s="23" t="s">
        <v>1225</v>
      </c>
      <c r="D238" s="89" t="s">
        <v>103</v>
      </c>
      <c r="E238" s="89"/>
      <c r="F238" s="89"/>
      <c r="G238" s="89"/>
      <c r="H238" s="89"/>
    </row>
    <row r="239" spans="1:28" x14ac:dyDescent="0.2">
      <c r="C239" s="23" t="s">
        <v>1226</v>
      </c>
      <c r="D239" s="89" t="s">
        <v>104</v>
      </c>
      <c r="E239" s="89"/>
      <c r="F239" s="89"/>
      <c r="G239" s="89"/>
      <c r="H239" s="89"/>
    </row>
    <row r="240" spans="1:28" x14ac:dyDescent="0.2">
      <c r="C240" s="23" t="s">
        <v>1227</v>
      </c>
      <c r="D240" s="89" t="s">
        <v>104</v>
      </c>
      <c r="E240" s="89"/>
      <c r="F240" s="89"/>
      <c r="G240" s="89"/>
      <c r="H240" s="89"/>
    </row>
    <row r="241" spans="1:28" x14ac:dyDescent="0.2">
      <c r="C241" s="23" t="s">
        <v>1228</v>
      </c>
      <c r="D241" s="89" t="s">
        <v>103</v>
      </c>
      <c r="E241" s="89"/>
      <c r="F241" s="89"/>
      <c r="G241" s="89"/>
      <c r="H241" s="89"/>
    </row>
    <row r="242" spans="1:28" x14ac:dyDescent="0.2">
      <c r="C242" s="9" t="s">
        <v>1218</v>
      </c>
      <c r="D242" s="34"/>
      <c r="E242" s="34"/>
      <c r="F242" s="34">
        <f>Source!BZ51</f>
        <v>123</v>
      </c>
      <c r="G242" s="57">
        <f>(Source!AF51+Source!AE51)*Source!FX51/100</f>
        <v>411.79292999999996</v>
      </c>
      <c r="H242" s="57">
        <f>Source!X51</f>
        <v>3724.27</v>
      </c>
    </row>
    <row r="243" spans="1:28" x14ac:dyDescent="0.2">
      <c r="C243" s="9" t="s">
        <v>1219</v>
      </c>
      <c r="D243" s="34"/>
      <c r="E243" s="34"/>
      <c r="F243" s="34"/>
      <c r="G243" s="34" t="str">
        <f>CONCATENATE(Source!DL51,Source!FT51, "=", Source!FX51, "%")</f>
        <v>*0,9=110,7%</v>
      </c>
      <c r="H243" s="34" t="str">
        <f>CONCATENATE(Source!AT51)</f>
        <v>111</v>
      </c>
    </row>
    <row r="244" spans="1:28" x14ac:dyDescent="0.2">
      <c r="C244" s="9" t="s">
        <v>1220</v>
      </c>
      <c r="D244" s="34"/>
      <c r="E244" s="34"/>
      <c r="F244" s="34">
        <f>Source!CA51</f>
        <v>75</v>
      </c>
      <c r="G244" s="57">
        <f>(Source!AF51+Source!AE51)*Source!FY51/100</f>
        <v>237.14362499999996</v>
      </c>
      <c r="H244" s="57">
        <f>Source!Y51</f>
        <v>2147.33</v>
      </c>
    </row>
    <row r="245" spans="1:28" x14ac:dyDescent="0.2">
      <c r="C245" s="9" t="s">
        <v>1221</v>
      </c>
      <c r="D245" s="34"/>
      <c r="E245" s="34"/>
      <c r="F245" s="34"/>
      <c r="G245" s="34" t="str">
        <f>CONCATENATE(Source!DM51,Source!FU51, "=", Source!FY51, "%")</f>
        <v>*0,85=63,75%</v>
      </c>
      <c r="H245" s="34" t="str">
        <f>CONCATENATE(Source!AU51)</f>
        <v>64</v>
      </c>
    </row>
    <row r="246" spans="1:28" x14ac:dyDescent="0.2">
      <c r="C246" s="9" t="s">
        <v>1222</v>
      </c>
      <c r="D246" s="34"/>
      <c r="E246" s="34"/>
      <c r="F246" s="34"/>
      <c r="G246" s="57">
        <f>((Source!AF51+Source!AE51)*Source!FX51/100)+((Source!AF51+Source!AE51)*Source!FY51/100)+Source!AB51</f>
        <v>11727.586555</v>
      </c>
      <c r="H246" s="57">
        <f>Source!O51+Source!X51+Source!Y51</f>
        <v>105796.39</v>
      </c>
    </row>
    <row r="247" spans="1:28" ht="42.75" x14ac:dyDescent="0.2">
      <c r="A247" s="46">
        <v>25</v>
      </c>
      <c r="B247" s="46" t="str">
        <f>Source!E52</f>
        <v>16</v>
      </c>
      <c r="C247" s="46" t="str">
        <f>Source!G52</f>
        <v>Устройство стяжек на каждый последующий слой толщиной 1 мм добавлять к расценке 11-01-011-08</v>
      </c>
      <c r="D247" s="46" t="str">
        <f>Source!F52</f>
        <v>11-01-011-10</v>
      </c>
      <c r="E247" s="31" t="str">
        <f>Source!H52</f>
        <v>100 м2</v>
      </c>
      <c r="F247" s="12">
        <f>Source!I52</f>
        <v>1.3442000000000001</v>
      </c>
      <c r="G247" s="22">
        <f>Source!AB52</f>
        <v>10370</v>
      </c>
      <c r="H247" s="22">
        <f>Source!O52</f>
        <v>93533.06</v>
      </c>
      <c r="T247">
        <f>Source!O52+Source!X52+Source!Y52</f>
        <v>95440.89</v>
      </c>
      <c r="U247">
        <f>Source!P52</f>
        <v>92394.34</v>
      </c>
      <c r="V247">
        <f>Source!S52</f>
        <v>1070.44</v>
      </c>
      <c r="W247">
        <f>Source!Q52</f>
        <v>68.28</v>
      </c>
      <c r="X247">
        <f>Source!R52</f>
        <v>19.75</v>
      </c>
      <c r="Y247">
        <f>Source!U52</f>
        <v>18.704543000000001</v>
      </c>
      <c r="Z247">
        <f>Source!V52</f>
        <v>0.25203750000000003</v>
      </c>
      <c r="AA247">
        <f>Source!X52</f>
        <v>1210.1099999999999</v>
      </c>
      <c r="AB247">
        <f>Source!Y52</f>
        <v>697.72</v>
      </c>
    </row>
    <row r="248" spans="1:28" ht="14.25" x14ac:dyDescent="0.2">
      <c r="C248" s="23" t="str">
        <f>"Объем: "&amp;Source!I52&amp;"=134,42/"&amp;"100"</f>
        <v>Объем: 1,3442=134,42/100</v>
      </c>
      <c r="F248" s="12"/>
      <c r="G248" s="12"/>
      <c r="H248" s="12"/>
    </row>
    <row r="249" spans="1:28" x14ac:dyDescent="0.2">
      <c r="C249" s="23" t="s">
        <v>1214</v>
      </c>
      <c r="D249" s="23">
        <f>Source!BA52</f>
        <v>6.71</v>
      </c>
    </row>
    <row r="250" spans="1:28" x14ac:dyDescent="0.2">
      <c r="C250" s="23" t="s">
        <v>1215</v>
      </c>
      <c r="D250" s="23">
        <f>Source!BB52</f>
        <v>6.71</v>
      </c>
    </row>
    <row r="251" spans="1:28" x14ac:dyDescent="0.2">
      <c r="C251" s="23" t="s">
        <v>1216</v>
      </c>
      <c r="D251" s="23">
        <f>Source!BC52</f>
        <v>6.71</v>
      </c>
    </row>
    <row r="252" spans="1:28" x14ac:dyDescent="0.2">
      <c r="C252" s="23" t="s">
        <v>1217</v>
      </c>
      <c r="D252" s="23">
        <f>Source!BS52</f>
        <v>6.71</v>
      </c>
    </row>
    <row r="253" spans="1:28" x14ac:dyDescent="0.2">
      <c r="C253" s="23" t="s">
        <v>1223</v>
      </c>
      <c r="D253" s="89" t="s">
        <v>156</v>
      </c>
      <c r="E253" s="89"/>
      <c r="F253" s="89"/>
      <c r="G253" s="89"/>
      <c r="H253" s="89"/>
    </row>
    <row r="254" spans="1:28" x14ac:dyDescent="0.2">
      <c r="C254" s="23" t="s">
        <v>1224</v>
      </c>
      <c r="D254" s="89" t="s">
        <v>157</v>
      </c>
      <c r="E254" s="89"/>
      <c r="F254" s="89"/>
      <c r="G254" s="89"/>
      <c r="H254" s="89"/>
    </row>
    <row r="255" spans="1:28" x14ac:dyDescent="0.2">
      <c r="C255" s="23" t="s">
        <v>1225</v>
      </c>
      <c r="D255" s="89" t="s">
        <v>157</v>
      </c>
      <c r="E255" s="89"/>
      <c r="F255" s="89"/>
      <c r="G255" s="89"/>
      <c r="H255" s="89"/>
    </row>
    <row r="256" spans="1:28" x14ac:dyDescent="0.2">
      <c r="C256" s="23" t="s">
        <v>1226</v>
      </c>
      <c r="D256" s="89" t="s">
        <v>158</v>
      </c>
      <c r="E256" s="89"/>
      <c r="F256" s="89"/>
      <c r="G256" s="89"/>
      <c r="H256" s="89"/>
    </row>
    <row r="257" spans="1:28" x14ac:dyDescent="0.2">
      <c r="C257" s="23" t="s">
        <v>1227</v>
      </c>
      <c r="D257" s="89" t="s">
        <v>158</v>
      </c>
      <c r="E257" s="89"/>
      <c r="F257" s="89"/>
      <c r="G257" s="89"/>
      <c r="H257" s="89"/>
    </row>
    <row r="258" spans="1:28" x14ac:dyDescent="0.2">
      <c r="C258" s="23" t="s">
        <v>1228</v>
      </c>
      <c r="D258" s="89" t="s">
        <v>157</v>
      </c>
      <c r="E258" s="89"/>
      <c r="F258" s="89"/>
      <c r="G258" s="89"/>
      <c r="H258" s="89"/>
    </row>
    <row r="259" spans="1:28" x14ac:dyDescent="0.2">
      <c r="C259" s="9" t="s">
        <v>1218</v>
      </c>
      <c r="D259" s="34"/>
      <c r="E259" s="34"/>
      <c r="F259" s="34">
        <f>Source!BZ52</f>
        <v>123</v>
      </c>
      <c r="G259" s="57">
        <f>(Source!AF52+Source!AE52)*Source!FX52/100</f>
        <v>133.80309</v>
      </c>
      <c r="H259" s="57">
        <f>Source!X52</f>
        <v>1210.1099999999999</v>
      </c>
    </row>
    <row r="260" spans="1:28" x14ac:dyDescent="0.2">
      <c r="C260" s="9" t="s">
        <v>1219</v>
      </c>
      <c r="D260" s="34"/>
      <c r="E260" s="34"/>
      <c r="F260" s="34"/>
      <c r="G260" s="34" t="str">
        <f>CONCATENATE(Source!DL52,Source!FT52, "=", Source!FX52, "%")</f>
        <v>*0,9=110,7%</v>
      </c>
      <c r="H260" s="34" t="str">
        <f>CONCATENATE(Source!AT52)</f>
        <v>111</v>
      </c>
    </row>
    <row r="261" spans="1:28" x14ac:dyDescent="0.2">
      <c r="C261" s="9" t="s">
        <v>1220</v>
      </c>
      <c r="D261" s="34"/>
      <c r="E261" s="34"/>
      <c r="F261" s="34">
        <f>Source!CA52</f>
        <v>75</v>
      </c>
      <c r="G261" s="57">
        <f>(Source!AF52+Source!AE52)*Source!FY52/100</f>
        <v>77.054625000000001</v>
      </c>
      <c r="H261" s="57">
        <f>Source!Y52</f>
        <v>697.72</v>
      </c>
    </row>
    <row r="262" spans="1:28" x14ac:dyDescent="0.2">
      <c r="C262" s="9" t="s">
        <v>1221</v>
      </c>
      <c r="D262" s="34"/>
      <c r="E262" s="34"/>
      <c r="F262" s="34"/>
      <c r="G262" s="34" t="str">
        <f>CONCATENATE(Source!DM52,Source!FU52, "=", Source!FY52, "%")</f>
        <v>*0,85=63,75%</v>
      </c>
      <c r="H262" s="34" t="str">
        <f>CONCATENATE(Source!AU52)</f>
        <v>64</v>
      </c>
    </row>
    <row r="263" spans="1:28" x14ac:dyDescent="0.2">
      <c r="C263" s="9" t="s">
        <v>1222</v>
      </c>
      <c r="D263" s="34"/>
      <c r="E263" s="34"/>
      <c r="F263" s="34"/>
      <c r="G263" s="57">
        <f>((Source!AF52+Source!AE52)*Source!FX52/100)+((Source!AF52+Source!AE52)*Source!FY52/100)+Source!AB52</f>
        <v>10580.857715</v>
      </c>
      <c r="H263" s="57">
        <f>Source!O52+Source!X52+Source!Y52</f>
        <v>95440.89</v>
      </c>
    </row>
    <row r="264" spans="1:28" ht="28.5" x14ac:dyDescent="0.2">
      <c r="A264" s="46">
        <v>26</v>
      </c>
      <c r="B264" s="46" t="str">
        <f>Source!E53</f>
        <v>17</v>
      </c>
      <c r="C264" s="46" t="str">
        <f>Source!G53</f>
        <v>Устройство покрытий из досок ламинированных замковым способом</v>
      </c>
      <c r="D264" s="46" t="str">
        <f>Source!F53</f>
        <v>11-01-034-04</v>
      </c>
      <c r="E264" s="31" t="str">
        <f>Source!H53</f>
        <v>100 м2</v>
      </c>
      <c r="F264" s="12">
        <f>Source!I53</f>
        <v>1.3442000000000001</v>
      </c>
      <c r="G264" s="22">
        <f>Source!AB53</f>
        <v>651.5</v>
      </c>
      <c r="H264" s="22">
        <f>Source!O53</f>
        <v>5876.26</v>
      </c>
      <c r="T264">
        <f>Source!O53+Source!X53+Source!Y53</f>
        <v>10268.870000000001</v>
      </c>
      <c r="U264">
        <f>Source!P53</f>
        <v>3305.23</v>
      </c>
      <c r="V264">
        <f>Source!S53</f>
        <v>2496.98</v>
      </c>
      <c r="W264">
        <f>Source!Q53</f>
        <v>74.05</v>
      </c>
      <c r="X264">
        <f>Source!R53</f>
        <v>13.08</v>
      </c>
      <c r="Y264">
        <f>Source!U53</f>
        <v>39.588706299999998</v>
      </c>
      <c r="Z264">
        <f>Source!V53</f>
        <v>0.16802500000000001</v>
      </c>
      <c r="AA264">
        <f>Source!X53</f>
        <v>2786.17</v>
      </c>
      <c r="AB264">
        <f>Source!Y53</f>
        <v>1606.44</v>
      </c>
    </row>
    <row r="265" spans="1:28" ht="14.25" x14ac:dyDescent="0.2">
      <c r="C265" s="23" t="str">
        <f>"Объем: "&amp;Source!I53&amp;"=134,42/"&amp;"100"</f>
        <v>Объем: 1,3442=134,42/100</v>
      </c>
      <c r="F265" s="12"/>
      <c r="G265" s="12"/>
      <c r="H265" s="12"/>
    </row>
    <row r="266" spans="1:28" x14ac:dyDescent="0.2">
      <c r="C266" s="23" t="s">
        <v>1214</v>
      </c>
      <c r="D266" s="23">
        <f>Source!BA53</f>
        <v>6.71</v>
      </c>
    </row>
    <row r="267" spans="1:28" x14ac:dyDescent="0.2">
      <c r="C267" s="23" t="s">
        <v>1215</v>
      </c>
      <c r="D267" s="23">
        <f>Source!BB53</f>
        <v>6.71</v>
      </c>
    </row>
    <row r="268" spans="1:28" x14ac:dyDescent="0.2">
      <c r="C268" s="23" t="s">
        <v>1216</v>
      </c>
      <c r="D268" s="23">
        <f>Source!BC53</f>
        <v>6.71</v>
      </c>
    </row>
    <row r="269" spans="1:28" x14ac:dyDescent="0.2">
      <c r="C269" s="23" t="s">
        <v>1217</v>
      </c>
      <c r="D269" s="23">
        <f>Source!BS53</f>
        <v>6.71</v>
      </c>
    </row>
    <row r="270" spans="1:28" x14ac:dyDescent="0.2">
      <c r="C270" s="23" t="s">
        <v>1224</v>
      </c>
      <c r="D270" s="89" t="s">
        <v>103</v>
      </c>
      <c r="E270" s="89"/>
      <c r="F270" s="89"/>
      <c r="G270" s="89"/>
      <c r="H270" s="89"/>
    </row>
    <row r="271" spans="1:28" x14ac:dyDescent="0.2">
      <c r="C271" s="23" t="s">
        <v>1225</v>
      </c>
      <c r="D271" s="89" t="s">
        <v>103</v>
      </c>
      <c r="E271" s="89"/>
      <c r="F271" s="89"/>
      <c r="G271" s="89"/>
      <c r="H271" s="89"/>
    </row>
    <row r="272" spans="1:28" x14ac:dyDescent="0.2">
      <c r="C272" s="23" t="s">
        <v>1226</v>
      </c>
      <c r="D272" s="89" t="s">
        <v>104</v>
      </c>
      <c r="E272" s="89"/>
      <c r="F272" s="89"/>
      <c r="G272" s="89"/>
      <c r="H272" s="89"/>
    </row>
    <row r="273" spans="1:28" x14ac:dyDescent="0.2">
      <c r="C273" s="23" t="s">
        <v>1227</v>
      </c>
      <c r="D273" s="89" t="s">
        <v>104</v>
      </c>
      <c r="E273" s="89"/>
      <c r="F273" s="89"/>
      <c r="G273" s="89"/>
      <c r="H273" s="89"/>
    </row>
    <row r="274" spans="1:28" x14ac:dyDescent="0.2">
      <c r="C274" s="23" t="s">
        <v>1228</v>
      </c>
      <c r="D274" s="89" t="s">
        <v>103</v>
      </c>
      <c r="E274" s="89"/>
      <c r="F274" s="89"/>
      <c r="G274" s="89"/>
      <c r="H274" s="89"/>
    </row>
    <row r="275" spans="1:28" x14ac:dyDescent="0.2">
      <c r="C275" s="9" t="s">
        <v>1218</v>
      </c>
      <c r="D275" s="34"/>
      <c r="E275" s="34"/>
      <c r="F275" s="34">
        <f>Source!BZ53</f>
        <v>123</v>
      </c>
      <c r="G275" s="57">
        <f>(Source!AF53+Source!AE53)*Source!FX53/100</f>
        <v>308.06702999999999</v>
      </c>
      <c r="H275" s="57">
        <f>Source!X53</f>
        <v>2786.17</v>
      </c>
    </row>
    <row r="276" spans="1:28" x14ac:dyDescent="0.2">
      <c r="C276" s="9" t="s">
        <v>1219</v>
      </c>
      <c r="D276" s="34"/>
      <c r="E276" s="34"/>
      <c r="F276" s="34"/>
      <c r="G276" s="34" t="str">
        <f>CONCATENATE(Source!DL53,Source!FT53, "=", Source!FX53, "%")</f>
        <v>*0,9=110,7%</v>
      </c>
      <c r="H276" s="34" t="str">
        <f>CONCATENATE(Source!AT53)</f>
        <v>111</v>
      </c>
    </row>
    <row r="277" spans="1:28" x14ac:dyDescent="0.2">
      <c r="C277" s="9" t="s">
        <v>1220</v>
      </c>
      <c r="D277" s="34"/>
      <c r="E277" s="34"/>
      <c r="F277" s="34">
        <f>Source!CA53</f>
        <v>75</v>
      </c>
      <c r="G277" s="57">
        <f>(Source!AF53+Source!AE53)*Source!FY53/100</f>
        <v>177.409875</v>
      </c>
      <c r="H277" s="57">
        <f>Source!Y53</f>
        <v>1606.44</v>
      </c>
    </row>
    <row r="278" spans="1:28" x14ac:dyDescent="0.2">
      <c r="C278" s="9" t="s">
        <v>1221</v>
      </c>
      <c r="D278" s="34"/>
      <c r="E278" s="34"/>
      <c r="F278" s="34"/>
      <c r="G278" s="34" t="str">
        <f>CONCATENATE(Source!DM53,Source!FU53, "=", Source!FY53, "%")</f>
        <v>*0,85=63,75%</v>
      </c>
      <c r="H278" s="34" t="str">
        <f>CONCATENATE(Source!AU53)</f>
        <v>64</v>
      </c>
    </row>
    <row r="279" spans="1:28" x14ac:dyDescent="0.2">
      <c r="C279" s="9" t="s">
        <v>1222</v>
      </c>
      <c r="D279" s="34"/>
      <c r="E279" s="34"/>
      <c r="F279" s="34"/>
      <c r="G279" s="57">
        <f>((Source!AF53+Source!AE53)*Source!FX53/100)+((Source!AF53+Source!AE53)*Source!FY53/100)+Source!AB53</f>
        <v>1136.976905</v>
      </c>
      <c r="H279" s="57">
        <f>Source!O53+Source!X53+Source!Y53</f>
        <v>10268.870000000001</v>
      </c>
    </row>
    <row r="280" spans="1:28" ht="28.5" x14ac:dyDescent="0.2">
      <c r="A280" s="46">
        <v>27</v>
      </c>
      <c r="B280" s="46" t="str">
        <f>Source!E54</f>
        <v>17,1</v>
      </c>
      <c r="C280" s="46" t="str">
        <f>Source!G54</f>
        <v>Покрытие напольное ламинированное (ламинат)</v>
      </c>
      <c r="D280" s="46" t="str">
        <f>Source!F54</f>
        <v>11.2.03.02</v>
      </c>
      <c r="E280" s="31" t="str">
        <f>Source!H54</f>
        <v>м2</v>
      </c>
      <c r="F280" s="12">
        <f>Source!I54</f>
        <v>137.78049999999999</v>
      </c>
      <c r="G280" s="22">
        <f>Source!AB54</f>
        <v>0</v>
      </c>
      <c r="H280" s="22">
        <f>Source!O54</f>
        <v>0</v>
      </c>
      <c r="T280">
        <f>Source!O54+Source!X54+Source!Y54</f>
        <v>0</v>
      </c>
      <c r="U280">
        <f>Source!P54</f>
        <v>0</v>
      </c>
      <c r="V280">
        <f>Source!S54</f>
        <v>0</v>
      </c>
      <c r="W280">
        <f>Source!Q54</f>
        <v>0</v>
      </c>
      <c r="X280">
        <f>Source!R54</f>
        <v>0</v>
      </c>
      <c r="Y280">
        <f>Source!U54</f>
        <v>0</v>
      </c>
      <c r="Z280">
        <f>Source!V54</f>
        <v>0</v>
      </c>
      <c r="AA280">
        <f>Source!X54</f>
        <v>0</v>
      </c>
      <c r="AB280">
        <f>Source!Y54</f>
        <v>0</v>
      </c>
    </row>
    <row r="281" spans="1:28" ht="14.25" x14ac:dyDescent="0.2">
      <c r="C281" s="23" t="s">
        <v>1216</v>
      </c>
      <c r="D281" s="23">
        <f>Source!BC54</f>
        <v>6.71</v>
      </c>
      <c r="F281" s="12"/>
      <c r="G281" s="12"/>
      <c r="H281" s="12"/>
    </row>
    <row r="282" spans="1:28" ht="42.75" x14ac:dyDescent="0.2">
      <c r="A282" s="46">
        <v>28</v>
      </c>
      <c r="B282" s="46" t="str">
        <f>Source!E55</f>
        <v>17,2</v>
      </c>
      <c r="C282" s="46" t="str">
        <f>Source!G55</f>
        <v>Покрытие напольное ламинированное марки "Quick Step", 33 класс износостойкости, толщина 9,5 мм</v>
      </c>
      <c r="D282" s="46" t="str">
        <f>Source!F55</f>
        <v>11.2.03.02-0037</v>
      </c>
      <c r="E282" s="31" t="str">
        <f>Source!H55</f>
        <v>м2</v>
      </c>
      <c r="F282" s="12">
        <f>Source!I55</f>
        <v>137.78049999999999</v>
      </c>
      <c r="G282" s="22">
        <f>Source!AB55</f>
        <v>346.78</v>
      </c>
      <c r="H282" s="22">
        <f>Source!O55</f>
        <v>320600.59000000003</v>
      </c>
      <c r="T282">
        <f>Source!O55+Source!X55+Source!Y55</f>
        <v>320600.59000000003</v>
      </c>
      <c r="U282">
        <f>Source!P55</f>
        <v>320600.59000000003</v>
      </c>
      <c r="V282">
        <f>Source!S55</f>
        <v>0</v>
      </c>
      <c r="W282">
        <f>Source!Q55</f>
        <v>0</v>
      </c>
      <c r="X282">
        <f>Source!R55</f>
        <v>0</v>
      </c>
      <c r="Y282">
        <f>Source!U55</f>
        <v>0</v>
      </c>
      <c r="Z282">
        <f>Source!V55</f>
        <v>0</v>
      </c>
      <c r="AA282">
        <f>Source!X55</f>
        <v>0</v>
      </c>
      <c r="AB282">
        <f>Source!Y55</f>
        <v>0</v>
      </c>
    </row>
    <row r="283" spans="1:28" ht="14.25" x14ac:dyDescent="0.2">
      <c r="C283" s="23" t="s">
        <v>1216</v>
      </c>
      <c r="D283" s="23">
        <f>Source!BC55</f>
        <v>6.71</v>
      </c>
      <c r="F283" s="12"/>
      <c r="G283" s="12"/>
      <c r="H283" s="12"/>
    </row>
    <row r="284" spans="1:28" ht="42.75" x14ac:dyDescent="0.2">
      <c r="A284" s="46">
        <v>29</v>
      </c>
      <c r="B284" s="46" t="str">
        <f>Source!E56</f>
        <v>18</v>
      </c>
      <c r="C284" s="46" t="str">
        <f>Source!G56</f>
        <v>Устройство плинтусов поливинилхлоридных на винтах самонарезающих</v>
      </c>
      <c r="D284" s="46" t="str">
        <f>Source!F56</f>
        <v>11-01-040-03</v>
      </c>
      <c r="E284" s="31" t="str">
        <f>Source!H56</f>
        <v>100 м</v>
      </c>
      <c r="F284" s="12">
        <f>Source!I56</f>
        <v>0.95599999999999996</v>
      </c>
      <c r="G284" s="22">
        <f>Source!AB56</f>
        <v>146.83000000000001</v>
      </c>
      <c r="H284" s="22">
        <f>Source!O56</f>
        <v>941.88</v>
      </c>
      <c r="T284">
        <f>Source!O56+Source!X56+Source!Y56</f>
        <v>1739.47</v>
      </c>
      <c r="U284">
        <f>Source!P56</f>
        <v>472.38</v>
      </c>
      <c r="V284">
        <f>Source!S56</f>
        <v>452.37</v>
      </c>
      <c r="W284">
        <f>Source!Q56</f>
        <v>17.13</v>
      </c>
      <c r="X284">
        <f>Source!R56</f>
        <v>3.4</v>
      </c>
      <c r="Y284">
        <f>Source!U56</f>
        <v>7.3439919999999992</v>
      </c>
      <c r="Z284">
        <f>Source!V56</f>
        <v>4.7800000000000002E-2</v>
      </c>
      <c r="AA284">
        <f>Source!X56</f>
        <v>505.9</v>
      </c>
      <c r="AB284">
        <f>Source!Y56</f>
        <v>291.69</v>
      </c>
    </row>
    <row r="285" spans="1:28" ht="14.25" x14ac:dyDescent="0.2">
      <c r="C285" s="23" t="str">
        <f>"Объем: "&amp;Source!I56&amp;"=95,6/"&amp;"100"</f>
        <v>Объем: 0,956=95,6/100</v>
      </c>
      <c r="F285" s="12"/>
      <c r="G285" s="12"/>
      <c r="H285" s="12"/>
    </row>
    <row r="286" spans="1:28" x14ac:dyDescent="0.2">
      <c r="C286" s="23" t="s">
        <v>1214</v>
      </c>
      <c r="D286" s="23">
        <f>Source!BA56</f>
        <v>6.71</v>
      </c>
    </row>
    <row r="287" spans="1:28" x14ac:dyDescent="0.2">
      <c r="C287" s="23" t="s">
        <v>1215</v>
      </c>
      <c r="D287" s="23">
        <f>Source!BB56</f>
        <v>6.71</v>
      </c>
    </row>
    <row r="288" spans="1:28" x14ac:dyDescent="0.2">
      <c r="C288" s="23" t="s">
        <v>1216</v>
      </c>
      <c r="D288" s="23">
        <f>Source!BC56</f>
        <v>6.71</v>
      </c>
    </row>
    <row r="289" spans="1:28" x14ac:dyDescent="0.2">
      <c r="C289" s="23" t="s">
        <v>1217</v>
      </c>
      <c r="D289" s="23">
        <f>Source!BS56</f>
        <v>6.71</v>
      </c>
    </row>
    <row r="290" spans="1:28" x14ac:dyDescent="0.2">
      <c r="C290" s="23" t="s">
        <v>1224</v>
      </c>
      <c r="D290" s="89" t="s">
        <v>103</v>
      </c>
      <c r="E290" s="89"/>
      <c r="F290" s="89"/>
      <c r="G290" s="89"/>
      <c r="H290" s="89"/>
    </row>
    <row r="291" spans="1:28" x14ac:dyDescent="0.2">
      <c r="C291" s="23" t="s">
        <v>1225</v>
      </c>
      <c r="D291" s="89" t="s">
        <v>103</v>
      </c>
      <c r="E291" s="89"/>
      <c r="F291" s="89"/>
      <c r="G291" s="89"/>
      <c r="H291" s="89"/>
    </row>
    <row r="292" spans="1:28" x14ac:dyDescent="0.2">
      <c r="C292" s="23" t="s">
        <v>1226</v>
      </c>
      <c r="D292" s="89" t="s">
        <v>104</v>
      </c>
      <c r="E292" s="89"/>
      <c r="F292" s="89"/>
      <c r="G292" s="89"/>
      <c r="H292" s="89"/>
    </row>
    <row r="293" spans="1:28" x14ac:dyDescent="0.2">
      <c r="C293" s="23" t="s">
        <v>1227</v>
      </c>
      <c r="D293" s="89" t="s">
        <v>104</v>
      </c>
      <c r="E293" s="89"/>
      <c r="F293" s="89"/>
      <c r="G293" s="89"/>
      <c r="H293" s="89"/>
    </row>
    <row r="294" spans="1:28" x14ac:dyDescent="0.2">
      <c r="C294" s="23" t="s">
        <v>1228</v>
      </c>
      <c r="D294" s="89" t="s">
        <v>103</v>
      </c>
      <c r="E294" s="89"/>
      <c r="F294" s="89"/>
      <c r="G294" s="89"/>
      <c r="H294" s="89"/>
    </row>
    <row r="295" spans="1:28" x14ac:dyDescent="0.2">
      <c r="C295" s="9" t="s">
        <v>1218</v>
      </c>
      <c r="D295" s="34"/>
      <c r="E295" s="34"/>
      <c r="F295" s="34">
        <f>Source!BZ56</f>
        <v>123</v>
      </c>
      <c r="G295" s="57">
        <f>(Source!AF56+Source!AE56)*Source!FX56/100</f>
        <v>78.652349999999998</v>
      </c>
      <c r="H295" s="57">
        <f>Source!X56</f>
        <v>505.9</v>
      </c>
    </row>
    <row r="296" spans="1:28" x14ac:dyDescent="0.2">
      <c r="C296" s="9" t="s">
        <v>1219</v>
      </c>
      <c r="D296" s="34"/>
      <c r="E296" s="34"/>
      <c r="F296" s="34"/>
      <c r="G296" s="34" t="str">
        <f>CONCATENATE(Source!DL56,Source!FT56, "=", Source!FX56, "%")</f>
        <v>*0,9=110,7%</v>
      </c>
      <c r="H296" s="34" t="str">
        <f>CONCATENATE(Source!AT56)</f>
        <v>111</v>
      </c>
    </row>
    <row r="297" spans="1:28" x14ac:dyDescent="0.2">
      <c r="C297" s="9" t="s">
        <v>1220</v>
      </c>
      <c r="D297" s="34"/>
      <c r="E297" s="34"/>
      <c r="F297" s="34">
        <f>Source!CA56</f>
        <v>75</v>
      </c>
      <c r="G297" s="57">
        <f>(Source!AF56+Source!AE56)*Source!FY56/100</f>
        <v>45.294375000000002</v>
      </c>
      <c r="H297" s="57">
        <f>Source!Y56</f>
        <v>291.69</v>
      </c>
    </row>
    <row r="298" spans="1:28" x14ac:dyDescent="0.2">
      <c r="C298" s="9" t="s">
        <v>1221</v>
      </c>
      <c r="D298" s="34"/>
      <c r="E298" s="34"/>
      <c r="F298" s="34"/>
      <c r="G298" s="34" t="str">
        <f>CONCATENATE(Source!DM56,Source!FU56, "=", Source!FY56, "%")</f>
        <v>*0,85=63,75%</v>
      </c>
      <c r="H298" s="34" t="str">
        <f>CONCATENATE(Source!AU56)</f>
        <v>64</v>
      </c>
    </row>
    <row r="299" spans="1:28" x14ac:dyDescent="0.2">
      <c r="C299" s="9" t="s">
        <v>1222</v>
      </c>
      <c r="D299" s="34"/>
      <c r="E299" s="34"/>
      <c r="F299" s="34"/>
      <c r="G299" s="57">
        <f>((Source!AF56+Source!AE56)*Source!FX56/100)+((Source!AF56+Source!AE56)*Source!FY56/100)+Source!AB56</f>
        <v>270.776725</v>
      </c>
      <c r="H299" s="57">
        <f>Source!O56+Source!X56+Source!Y56</f>
        <v>1739.47</v>
      </c>
    </row>
    <row r="300" spans="1:28" ht="14.25" x14ac:dyDescent="0.2">
      <c r="A300" s="46">
        <v>30</v>
      </c>
      <c r="B300" s="46" t="str">
        <f>Source!E57</f>
        <v>18,1</v>
      </c>
      <c r="C300" s="46" t="str">
        <f>Source!G57</f>
        <v>Плинтуса для полов пластиковые</v>
      </c>
      <c r="D300" s="46" t="str">
        <f>Source!F57</f>
        <v>11.3.03.06</v>
      </c>
      <c r="E300" s="31" t="str">
        <f>Source!H57</f>
        <v>м</v>
      </c>
      <c r="F300" s="12">
        <f>Source!I57</f>
        <v>96.555999999999997</v>
      </c>
      <c r="G300" s="22">
        <f>Source!AB57</f>
        <v>0</v>
      </c>
      <c r="H300" s="22">
        <f>Source!O57</f>
        <v>0</v>
      </c>
      <c r="T300">
        <f>Source!O57+Source!X57+Source!Y57</f>
        <v>0</v>
      </c>
      <c r="U300">
        <f>Source!P57</f>
        <v>0</v>
      </c>
      <c r="V300">
        <f>Source!S57</f>
        <v>0</v>
      </c>
      <c r="W300">
        <f>Source!Q57</f>
        <v>0</v>
      </c>
      <c r="X300">
        <f>Source!R57</f>
        <v>0</v>
      </c>
      <c r="Y300">
        <f>Source!U57</f>
        <v>0</v>
      </c>
      <c r="Z300">
        <f>Source!V57</f>
        <v>0</v>
      </c>
      <c r="AA300">
        <f>Source!X57</f>
        <v>0</v>
      </c>
      <c r="AB300">
        <f>Source!Y57</f>
        <v>0</v>
      </c>
    </row>
    <row r="301" spans="1:28" ht="14.25" x14ac:dyDescent="0.2">
      <c r="C301" s="23" t="s">
        <v>1216</v>
      </c>
      <c r="D301" s="23">
        <f>Source!BC57</f>
        <v>6.71</v>
      </c>
      <c r="F301" s="12"/>
      <c r="G301" s="12"/>
      <c r="H301" s="12"/>
    </row>
    <row r="302" spans="1:28" ht="28.5" x14ac:dyDescent="0.2">
      <c r="A302" s="46">
        <v>31</v>
      </c>
      <c r="B302" s="46" t="str">
        <f>Source!E58</f>
        <v>18,2</v>
      </c>
      <c r="C302" s="46" t="str">
        <f>Source!G58</f>
        <v>Плинтуса для полов пластиковые, KronPlast Premium19х48 мм</v>
      </c>
      <c r="D302" s="46" t="str">
        <f>Source!F58</f>
        <v>11.3.03.06-0001</v>
      </c>
      <c r="E302" s="31" t="str">
        <f>Source!H58</f>
        <v>м</v>
      </c>
      <c r="F302" s="12">
        <f>Source!I58</f>
        <v>96.555999999999997</v>
      </c>
      <c r="G302" s="22">
        <f>Source!AB58</f>
        <v>12.3</v>
      </c>
      <c r="H302" s="22">
        <f>Source!O58</f>
        <v>7969.06</v>
      </c>
      <c r="T302">
        <f>Source!O58+Source!X58+Source!Y58</f>
        <v>7969.06</v>
      </c>
      <c r="U302">
        <f>Source!P58</f>
        <v>7969.06</v>
      </c>
      <c r="V302">
        <f>Source!S58</f>
        <v>0</v>
      </c>
      <c r="W302">
        <f>Source!Q58</f>
        <v>0</v>
      </c>
      <c r="X302">
        <f>Source!R58</f>
        <v>0</v>
      </c>
      <c r="Y302">
        <f>Source!U58</f>
        <v>0</v>
      </c>
      <c r="Z302">
        <f>Source!V58</f>
        <v>0</v>
      </c>
      <c r="AA302">
        <f>Source!X58</f>
        <v>0</v>
      </c>
      <c r="AB302">
        <f>Source!Y58</f>
        <v>0</v>
      </c>
    </row>
    <row r="303" spans="1:28" ht="14.25" x14ac:dyDescent="0.2">
      <c r="C303" s="23" t="s">
        <v>1216</v>
      </c>
      <c r="D303" s="23">
        <f>Source!BC58</f>
        <v>6.71</v>
      </c>
      <c r="F303" s="12"/>
      <c r="G303" s="12"/>
      <c r="H303" s="12"/>
    </row>
    <row r="304" spans="1:28" ht="28.5" x14ac:dyDescent="0.2">
      <c r="A304" s="46">
        <v>32</v>
      </c>
      <c r="B304" s="46" t="str">
        <f>Source!E59</f>
        <v>18,3</v>
      </c>
      <c r="C304" s="46" t="str">
        <f>Source!G59</f>
        <v>Уголок наружный для пластикового плинтуса</v>
      </c>
      <c r="D304" s="46" t="str">
        <f>Source!F59</f>
        <v>11.3.03.14</v>
      </c>
      <c r="E304" s="31" t="str">
        <f>Source!H59</f>
        <v>шт.</v>
      </c>
      <c r="F304" s="12">
        <f>Source!I59</f>
        <v>6.6920000000000002</v>
      </c>
      <c r="G304" s="22">
        <f>Source!AB59</f>
        <v>0</v>
      </c>
      <c r="H304" s="22">
        <f>Source!O59</f>
        <v>0</v>
      </c>
      <c r="T304">
        <f>Source!O59+Source!X59+Source!Y59</f>
        <v>0</v>
      </c>
      <c r="U304">
        <f>Source!P59</f>
        <v>0</v>
      </c>
      <c r="V304">
        <f>Source!S59</f>
        <v>0</v>
      </c>
      <c r="W304">
        <f>Source!Q59</f>
        <v>0</v>
      </c>
      <c r="X304">
        <f>Source!R59</f>
        <v>0</v>
      </c>
      <c r="Y304">
        <f>Source!U59</f>
        <v>0</v>
      </c>
      <c r="Z304">
        <f>Source!V59</f>
        <v>0</v>
      </c>
      <c r="AA304">
        <f>Source!X59</f>
        <v>0</v>
      </c>
      <c r="AB304">
        <f>Source!Y59</f>
        <v>0</v>
      </c>
    </row>
    <row r="305" spans="1:28" ht="14.25" x14ac:dyDescent="0.2">
      <c r="C305" s="23" t="s">
        <v>1216</v>
      </c>
      <c r="D305" s="23">
        <f>Source!BC59</f>
        <v>6.71</v>
      </c>
      <c r="F305" s="12"/>
      <c r="G305" s="12"/>
      <c r="H305" s="12"/>
    </row>
    <row r="306" spans="1:28" ht="28.5" x14ac:dyDescent="0.2">
      <c r="A306" s="46">
        <v>33</v>
      </c>
      <c r="B306" s="46" t="str">
        <f>Source!E60</f>
        <v>18,4</v>
      </c>
      <c r="C306" s="46" t="str">
        <f>Source!G60</f>
        <v>Заглушки торцевая для пластикового плинтуса правая, высота 48 мм</v>
      </c>
      <c r="D306" s="46" t="str">
        <f>Source!F60</f>
        <v>11.3.03.14-0011</v>
      </c>
      <c r="E306" s="31" t="str">
        <f>Source!H60</f>
        <v>100 шт.</v>
      </c>
      <c r="F306" s="12">
        <f>Source!I60</f>
        <v>7.0000000000000007E-2</v>
      </c>
      <c r="G306" s="22">
        <f>Source!AB60</f>
        <v>63</v>
      </c>
      <c r="H306" s="22">
        <f>Source!O60</f>
        <v>29.59</v>
      </c>
      <c r="T306">
        <f>Source!O60+Source!X60+Source!Y60</f>
        <v>29.59</v>
      </c>
      <c r="U306">
        <f>Source!P60</f>
        <v>29.59</v>
      </c>
      <c r="V306">
        <f>Source!S60</f>
        <v>0</v>
      </c>
      <c r="W306">
        <f>Source!Q60</f>
        <v>0</v>
      </c>
      <c r="X306">
        <f>Source!R60</f>
        <v>0</v>
      </c>
      <c r="Y306">
        <f>Source!U60</f>
        <v>0</v>
      </c>
      <c r="Z306">
        <f>Source!V60</f>
        <v>0</v>
      </c>
      <c r="AA306">
        <f>Source!X60</f>
        <v>0</v>
      </c>
      <c r="AB306">
        <f>Source!Y60</f>
        <v>0</v>
      </c>
    </row>
    <row r="307" spans="1:28" ht="14.25" x14ac:dyDescent="0.2">
      <c r="C307" s="23" t="s">
        <v>1216</v>
      </c>
      <c r="D307" s="23">
        <f>Source!BC60</f>
        <v>6.71</v>
      </c>
      <c r="F307" s="12"/>
      <c r="G307" s="12"/>
      <c r="H307" s="12"/>
    </row>
    <row r="308" spans="1:28" ht="28.5" x14ac:dyDescent="0.2">
      <c r="A308" s="46">
        <v>34</v>
      </c>
      <c r="B308" s="46" t="str">
        <f>Source!E61</f>
        <v>18,5</v>
      </c>
      <c r="C308" s="46" t="str">
        <f>Source!G61</f>
        <v>Заглушка торцевая для пластикового плинтуса левая, высота 48 мм</v>
      </c>
      <c r="D308" s="46" t="str">
        <f>Source!F61</f>
        <v>11.3.03.14-0001</v>
      </c>
      <c r="E308" s="31" t="str">
        <f>Source!H61</f>
        <v>100 шт.</v>
      </c>
      <c r="F308" s="12">
        <f>Source!I61</f>
        <v>7.0000000000000007E-2</v>
      </c>
      <c r="G308" s="22">
        <f>Source!AB61</f>
        <v>63</v>
      </c>
      <c r="H308" s="22">
        <f>Source!O61</f>
        <v>29.59</v>
      </c>
      <c r="T308">
        <f>Source!O61+Source!X61+Source!Y61</f>
        <v>29.59</v>
      </c>
      <c r="U308">
        <f>Source!P61</f>
        <v>29.59</v>
      </c>
      <c r="V308">
        <f>Source!S61</f>
        <v>0</v>
      </c>
      <c r="W308">
        <f>Source!Q61</f>
        <v>0</v>
      </c>
      <c r="X308">
        <f>Source!R61</f>
        <v>0</v>
      </c>
      <c r="Y308">
        <f>Source!U61</f>
        <v>0</v>
      </c>
      <c r="Z308">
        <f>Source!V61</f>
        <v>0</v>
      </c>
      <c r="AA308">
        <f>Source!X61</f>
        <v>0</v>
      </c>
      <c r="AB308">
        <f>Source!Y61</f>
        <v>0</v>
      </c>
    </row>
    <row r="309" spans="1:28" ht="14.25" x14ac:dyDescent="0.2">
      <c r="C309" s="23" t="s">
        <v>1216</v>
      </c>
      <c r="D309" s="23">
        <f>Source!BC61</f>
        <v>6.71</v>
      </c>
      <c r="F309" s="12"/>
      <c r="G309" s="12"/>
      <c r="H309" s="12"/>
    </row>
    <row r="310" spans="1:28" ht="28.5" x14ac:dyDescent="0.2">
      <c r="A310" s="46">
        <v>35</v>
      </c>
      <c r="B310" s="46" t="str">
        <f>Source!E62</f>
        <v>18,6</v>
      </c>
      <c r="C310" s="46" t="str">
        <f>Source!G62</f>
        <v>Соединитель для пластикового плинтуса, высота 48 мм</v>
      </c>
      <c r="D310" s="46" t="str">
        <f>Source!F62</f>
        <v>11.3.03.14-0021</v>
      </c>
      <c r="E310" s="31" t="str">
        <f>Source!H62</f>
        <v>100 шт.</v>
      </c>
      <c r="F310" s="12">
        <f>Source!I62</f>
        <v>0.38</v>
      </c>
      <c r="G310" s="22">
        <f>Source!AB62</f>
        <v>128</v>
      </c>
      <c r="H310" s="22">
        <f>Source!O62</f>
        <v>326.37</v>
      </c>
      <c r="T310">
        <f>Source!O62+Source!X62+Source!Y62</f>
        <v>326.37</v>
      </c>
      <c r="U310">
        <f>Source!P62</f>
        <v>326.37</v>
      </c>
      <c r="V310">
        <f>Source!S62</f>
        <v>0</v>
      </c>
      <c r="W310">
        <f>Source!Q62</f>
        <v>0</v>
      </c>
      <c r="X310">
        <f>Source!R62</f>
        <v>0</v>
      </c>
      <c r="Y310">
        <f>Source!U62</f>
        <v>0</v>
      </c>
      <c r="Z310">
        <f>Source!V62</f>
        <v>0</v>
      </c>
      <c r="AA310">
        <f>Source!X62</f>
        <v>0</v>
      </c>
      <c r="AB310">
        <f>Source!Y62</f>
        <v>0</v>
      </c>
    </row>
    <row r="311" spans="1:28" ht="14.25" x14ac:dyDescent="0.2">
      <c r="C311" s="23" t="s">
        <v>1216</v>
      </c>
      <c r="D311" s="23">
        <f>Source!BC62</f>
        <v>6.71</v>
      </c>
      <c r="F311" s="12"/>
      <c r="G311" s="12"/>
      <c r="H311" s="12"/>
    </row>
    <row r="312" spans="1:28" ht="28.5" x14ac:dyDescent="0.2">
      <c r="A312" s="46">
        <v>36</v>
      </c>
      <c r="B312" s="46" t="str">
        <f>Source!E63</f>
        <v>18,7</v>
      </c>
      <c r="C312" s="46" t="str">
        <f>Source!G63</f>
        <v>Уголок внутренний для пластикового плинтуса, высота 48 мм</v>
      </c>
      <c r="D312" s="46" t="str">
        <f>Source!F63</f>
        <v>11.3.03.14-0031</v>
      </c>
      <c r="E312" s="31" t="str">
        <f>Source!H63</f>
        <v>100 шт.</v>
      </c>
      <c r="F312" s="12">
        <f>Source!I63</f>
        <v>0.06</v>
      </c>
      <c r="G312" s="22">
        <f>Source!AB63</f>
        <v>128</v>
      </c>
      <c r="H312" s="22">
        <f>Source!O63</f>
        <v>51.53</v>
      </c>
      <c r="T312">
        <f>Source!O63+Source!X63+Source!Y63</f>
        <v>51.53</v>
      </c>
      <c r="U312">
        <f>Source!P63</f>
        <v>51.53</v>
      </c>
      <c r="V312">
        <f>Source!S63</f>
        <v>0</v>
      </c>
      <c r="W312">
        <f>Source!Q63</f>
        <v>0</v>
      </c>
      <c r="X312">
        <f>Source!R63</f>
        <v>0</v>
      </c>
      <c r="Y312">
        <f>Source!U63</f>
        <v>0</v>
      </c>
      <c r="Z312">
        <f>Source!V63</f>
        <v>0</v>
      </c>
      <c r="AA312">
        <f>Source!X63</f>
        <v>0</v>
      </c>
      <c r="AB312">
        <f>Source!Y63</f>
        <v>0</v>
      </c>
    </row>
    <row r="313" spans="1:28" ht="14.25" x14ac:dyDescent="0.2">
      <c r="C313" s="23" t="s">
        <v>1216</v>
      </c>
      <c r="D313" s="23">
        <f>Source!BC63</f>
        <v>6.71</v>
      </c>
      <c r="F313" s="12"/>
      <c r="G313" s="12"/>
      <c r="H313" s="12"/>
    </row>
    <row r="314" spans="1:28" ht="28.5" x14ac:dyDescent="0.2">
      <c r="A314" s="46">
        <v>37</v>
      </c>
      <c r="B314" s="46" t="str">
        <f>Source!E64</f>
        <v>18,8</v>
      </c>
      <c r="C314" s="46" t="str">
        <f>Source!G64</f>
        <v>Уголок наружный для пластикового плинтуса, высота 48 мм</v>
      </c>
      <c r="D314" s="46" t="str">
        <f>Source!F64</f>
        <v>11.3.03.14-0033</v>
      </c>
      <c r="E314" s="31" t="str">
        <f>Source!H64</f>
        <v>100 шт.</v>
      </c>
      <c r="F314" s="12">
        <f>Source!I64</f>
        <v>0.06</v>
      </c>
      <c r="G314" s="22">
        <f>Source!AB64</f>
        <v>128</v>
      </c>
      <c r="H314" s="22">
        <f>Source!O64</f>
        <v>51.53</v>
      </c>
      <c r="T314">
        <f>Source!O64+Source!X64+Source!Y64</f>
        <v>51.53</v>
      </c>
      <c r="U314">
        <f>Source!P64</f>
        <v>51.53</v>
      </c>
      <c r="V314">
        <f>Source!S64</f>
        <v>0</v>
      </c>
      <c r="W314">
        <f>Source!Q64</f>
        <v>0</v>
      </c>
      <c r="X314">
        <f>Source!R64</f>
        <v>0</v>
      </c>
      <c r="Y314">
        <f>Source!U64</f>
        <v>0</v>
      </c>
      <c r="Z314">
        <f>Source!V64</f>
        <v>0</v>
      </c>
      <c r="AA314">
        <f>Source!X64</f>
        <v>0</v>
      </c>
      <c r="AB314">
        <f>Source!Y64</f>
        <v>0</v>
      </c>
    </row>
    <row r="315" spans="1:28" ht="14.25" x14ac:dyDescent="0.2">
      <c r="C315" s="23" t="s">
        <v>1216</v>
      </c>
      <c r="D315" s="23">
        <f>Source!BC64</f>
        <v>6.71</v>
      </c>
      <c r="F315" s="12"/>
      <c r="G315" s="12"/>
      <c r="H315" s="12"/>
    </row>
    <row r="316" spans="1:28" ht="28.5" x14ac:dyDescent="0.2">
      <c r="A316" s="46">
        <v>38</v>
      </c>
      <c r="B316" s="46" t="str">
        <f>Source!E65</f>
        <v>18,9</v>
      </c>
      <c r="C316" s="46" t="str">
        <f>Source!G65</f>
        <v>Уголок внутренний для пластикового плинтуса</v>
      </c>
      <c r="D316" s="46" t="str">
        <f>Source!F65</f>
        <v>11.3.03.14</v>
      </c>
      <c r="E316" s="31" t="str">
        <f>Source!H65</f>
        <v>шт.</v>
      </c>
      <c r="F316" s="12">
        <f>Source!I65</f>
        <v>6.6741650000000003</v>
      </c>
      <c r="G316" s="22">
        <f>Source!AB65</f>
        <v>0</v>
      </c>
      <c r="H316" s="22">
        <f>Source!O65</f>
        <v>0</v>
      </c>
      <c r="T316">
        <f>Source!O65+Source!X65+Source!Y65</f>
        <v>0</v>
      </c>
      <c r="U316">
        <f>Source!P65</f>
        <v>0</v>
      </c>
      <c r="V316">
        <f>Source!S65</f>
        <v>0</v>
      </c>
      <c r="W316">
        <f>Source!Q65</f>
        <v>0</v>
      </c>
      <c r="X316">
        <f>Source!R65</f>
        <v>0</v>
      </c>
      <c r="Y316">
        <f>Source!U65</f>
        <v>0</v>
      </c>
      <c r="Z316">
        <f>Source!V65</f>
        <v>0</v>
      </c>
      <c r="AA316">
        <f>Source!X65</f>
        <v>0</v>
      </c>
      <c r="AB316">
        <f>Source!Y65</f>
        <v>0</v>
      </c>
    </row>
    <row r="317" spans="1:28" ht="14.25" x14ac:dyDescent="0.2">
      <c r="C317" s="23" t="s">
        <v>1216</v>
      </c>
      <c r="D317" s="23">
        <f>Source!BC65</f>
        <v>6.71</v>
      </c>
      <c r="F317" s="12"/>
      <c r="G317" s="12"/>
      <c r="H317" s="12"/>
    </row>
    <row r="318" spans="1:28" ht="28.5" x14ac:dyDescent="0.2">
      <c r="A318" s="46">
        <v>39</v>
      </c>
      <c r="B318" s="46" t="str">
        <f>Source!E66</f>
        <v>18,10</v>
      </c>
      <c r="C318" s="46" t="str">
        <f>Source!G66</f>
        <v>Соединитель для пластикового плинтуса</v>
      </c>
      <c r="D318" s="46" t="str">
        <f>Source!F66</f>
        <v>11.3.03.14</v>
      </c>
      <c r="E318" s="31" t="str">
        <f>Source!H66</f>
        <v>шт.</v>
      </c>
      <c r="F318" s="12">
        <f>Source!I66</f>
        <v>38.191056000000003</v>
      </c>
      <c r="G318" s="22">
        <f>Source!AB66</f>
        <v>0</v>
      </c>
      <c r="H318" s="22">
        <f>Source!O66</f>
        <v>0</v>
      </c>
      <c r="T318">
        <f>Source!O66+Source!X66+Source!Y66</f>
        <v>0</v>
      </c>
      <c r="U318">
        <f>Source!P66</f>
        <v>0</v>
      </c>
      <c r="V318">
        <f>Source!S66</f>
        <v>0</v>
      </c>
      <c r="W318">
        <f>Source!Q66</f>
        <v>0</v>
      </c>
      <c r="X318">
        <f>Source!R66</f>
        <v>0</v>
      </c>
      <c r="Y318">
        <f>Source!U66</f>
        <v>0</v>
      </c>
      <c r="Z318">
        <f>Source!V66</f>
        <v>0</v>
      </c>
      <c r="AA318">
        <f>Source!X66</f>
        <v>0</v>
      </c>
      <c r="AB318">
        <f>Source!Y66</f>
        <v>0</v>
      </c>
    </row>
    <row r="319" spans="1:28" ht="14.25" x14ac:dyDescent="0.2">
      <c r="C319" s="23" t="s">
        <v>1216</v>
      </c>
      <c r="D319" s="23">
        <f>Source!BC66</f>
        <v>6.71</v>
      </c>
      <c r="F319" s="12"/>
      <c r="G319" s="12"/>
      <c r="H319" s="12"/>
    </row>
    <row r="320" spans="1:28" ht="28.5" x14ac:dyDescent="0.2">
      <c r="A320" s="46">
        <v>40</v>
      </c>
      <c r="B320" s="46" t="str">
        <f>Source!E67</f>
        <v>18,11</v>
      </c>
      <c r="C320" s="46" t="str">
        <f>Source!G67</f>
        <v>Заглушка торцевая для пластикового плинтуса левая</v>
      </c>
      <c r="D320" s="46" t="str">
        <f>Source!F67</f>
        <v>11.3.03.14</v>
      </c>
      <c r="E320" s="31" t="str">
        <f>Source!H67</f>
        <v>шт.</v>
      </c>
      <c r="F320" s="12">
        <f>Source!I67</f>
        <v>7.6011319999999998</v>
      </c>
      <c r="G320" s="22">
        <f>Source!AB67</f>
        <v>0</v>
      </c>
      <c r="H320" s="22">
        <f>Source!O67</f>
        <v>0</v>
      </c>
      <c r="T320">
        <f>Source!O67+Source!X67+Source!Y67</f>
        <v>0</v>
      </c>
      <c r="U320">
        <f>Source!P67</f>
        <v>0</v>
      </c>
      <c r="V320">
        <f>Source!S67</f>
        <v>0</v>
      </c>
      <c r="W320">
        <f>Source!Q67</f>
        <v>0</v>
      </c>
      <c r="X320">
        <f>Source!R67</f>
        <v>0</v>
      </c>
      <c r="Y320">
        <f>Source!U67</f>
        <v>0</v>
      </c>
      <c r="Z320">
        <f>Source!V67</f>
        <v>0</v>
      </c>
      <c r="AA320">
        <f>Source!X67</f>
        <v>0</v>
      </c>
      <c r="AB320">
        <f>Source!Y67</f>
        <v>0</v>
      </c>
    </row>
    <row r="321" spans="1:28" ht="14.25" x14ac:dyDescent="0.2">
      <c r="C321" s="23" t="s">
        <v>1216</v>
      </c>
      <c r="D321" s="23">
        <f>Source!BC67</f>
        <v>6.71</v>
      </c>
      <c r="F321" s="12"/>
      <c r="G321" s="12"/>
      <c r="H321" s="12"/>
    </row>
    <row r="322" spans="1:28" ht="28.5" x14ac:dyDescent="0.2">
      <c r="A322" s="46">
        <v>41</v>
      </c>
      <c r="B322" s="46" t="str">
        <f>Source!E68</f>
        <v>18,12</v>
      </c>
      <c r="C322" s="46" t="str">
        <f>Source!G68</f>
        <v>Заглушка торцевая для пластикового плинтуса правая</v>
      </c>
      <c r="D322" s="46" t="str">
        <f>Source!F68</f>
        <v>11.3.03.14</v>
      </c>
      <c r="E322" s="31" t="str">
        <f>Source!H68</f>
        <v>шт.</v>
      </c>
      <c r="F322" s="12">
        <f>Source!I68</f>
        <v>7.6011319999999998</v>
      </c>
      <c r="G322" s="22">
        <f>Source!AB68</f>
        <v>0</v>
      </c>
      <c r="H322" s="22">
        <f>Source!O68</f>
        <v>0</v>
      </c>
      <c r="T322">
        <f>Source!O68+Source!X68+Source!Y68</f>
        <v>0</v>
      </c>
      <c r="U322">
        <f>Source!P68</f>
        <v>0</v>
      </c>
      <c r="V322">
        <f>Source!S68</f>
        <v>0</v>
      </c>
      <c r="W322">
        <f>Source!Q68</f>
        <v>0</v>
      </c>
      <c r="X322">
        <f>Source!R68</f>
        <v>0</v>
      </c>
      <c r="Y322">
        <f>Source!U68</f>
        <v>0</v>
      </c>
      <c r="Z322">
        <f>Source!V68</f>
        <v>0</v>
      </c>
      <c r="AA322">
        <f>Source!X68</f>
        <v>0</v>
      </c>
      <c r="AB322">
        <f>Source!Y68</f>
        <v>0</v>
      </c>
    </row>
    <row r="323" spans="1:28" ht="14.25" x14ac:dyDescent="0.2">
      <c r="C323" s="23" t="s">
        <v>1216</v>
      </c>
      <c r="D323" s="23">
        <f>Source!BC68</f>
        <v>6.71</v>
      </c>
      <c r="F323" s="12"/>
      <c r="G323" s="12"/>
      <c r="H323" s="12"/>
    </row>
    <row r="324" spans="1:28" ht="28.5" x14ac:dyDescent="0.2">
      <c r="A324" s="46">
        <v>42</v>
      </c>
      <c r="B324" s="46" t="str">
        <f>Source!E69</f>
        <v>19</v>
      </c>
      <c r="C324" s="46" t="str">
        <f>Source!G69</f>
        <v>Укладка металлического накладного профиля (порога)</v>
      </c>
      <c r="D324" s="46" t="str">
        <f>Source!F69</f>
        <v>11-01-049-01</v>
      </c>
      <c r="E324" s="31" t="str">
        <f>Source!H69</f>
        <v>100 м</v>
      </c>
      <c r="F324" s="12">
        <f>Source!I69</f>
        <v>5.3999999999999999E-2</v>
      </c>
      <c r="G324" s="22">
        <f>Source!AB69</f>
        <v>247.64</v>
      </c>
      <c r="H324" s="22">
        <f>Source!O69</f>
        <v>89.73</v>
      </c>
      <c r="T324">
        <f>Source!O69+Source!X69+Source!Y69</f>
        <v>195.78</v>
      </c>
      <c r="U324">
        <f>Source!P69</f>
        <v>29.13</v>
      </c>
      <c r="V324">
        <f>Source!S69</f>
        <v>60.6</v>
      </c>
      <c r="W324">
        <f>Source!Q69</f>
        <v>0</v>
      </c>
      <c r="X324">
        <f>Source!R69</f>
        <v>0</v>
      </c>
      <c r="Y324">
        <f>Source!U69</f>
        <v>1.033344</v>
      </c>
      <c r="Z324">
        <f>Source!V69</f>
        <v>0</v>
      </c>
      <c r="AA324">
        <f>Source!X69</f>
        <v>67.27</v>
      </c>
      <c r="AB324">
        <f>Source!Y69</f>
        <v>38.78</v>
      </c>
    </row>
    <row r="325" spans="1:28" ht="14.25" x14ac:dyDescent="0.2">
      <c r="C325" s="23" t="str">
        <f>"Объем: "&amp;Source!I69&amp;"=5,4/"&amp;"100"</f>
        <v>Объем: 0,054=5,4/100</v>
      </c>
      <c r="F325" s="12"/>
      <c r="G325" s="12"/>
      <c r="H325" s="12"/>
    </row>
    <row r="326" spans="1:28" x14ac:dyDescent="0.2">
      <c r="C326" s="23" t="s">
        <v>1214</v>
      </c>
      <c r="D326" s="23">
        <f>Source!BA69</f>
        <v>6.71</v>
      </c>
    </row>
    <row r="327" spans="1:28" x14ac:dyDescent="0.2">
      <c r="C327" s="23" t="s">
        <v>1215</v>
      </c>
      <c r="D327" s="23">
        <f>Source!BB69</f>
        <v>6.71</v>
      </c>
    </row>
    <row r="328" spans="1:28" x14ac:dyDescent="0.2">
      <c r="C328" s="23" t="s">
        <v>1216</v>
      </c>
      <c r="D328" s="23">
        <f>Source!BC69</f>
        <v>6.71</v>
      </c>
    </row>
    <row r="329" spans="1:28" x14ac:dyDescent="0.2">
      <c r="C329" s="23" t="s">
        <v>1217</v>
      </c>
      <c r="D329" s="23">
        <f>Source!BS69</f>
        <v>6.71</v>
      </c>
    </row>
    <row r="330" spans="1:28" x14ac:dyDescent="0.2">
      <c r="C330" s="23" t="s">
        <v>1224</v>
      </c>
      <c r="D330" s="89" t="s">
        <v>103</v>
      </c>
      <c r="E330" s="89"/>
      <c r="F330" s="89"/>
      <c r="G330" s="89"/>
      <c r="H330" s="89"/>
    </row>
    <row r="331" spans="1:28" x14ac:dyDescent="0.2">
      <c r="C331" s="23" t="s">
        <v>1225</v>
      </c>
      <c r="D331" s="89" t="s">
        <v>103</v>
      </c>
      <c r="E331" s="89"/>
      <c r="F331" s="89"/>
      <c r="G331" s="89"/>
      <c r="H331" s="89"/>
    </row>
    <row r="332" spans="1:28" x14ac:dyDescent="0.2">
      <c r="C332" s="23" t="s">
        <v>1226</v>
      </c>
      <c r="D332" s="89" t="s">
        <v>104</v>
      </c>
      <c r="E332" s="89"/>
      <c r="F332" s="89"/>
      <c r="G332" s="89"/>
      <c r="H332" s="89"/>
    </row>
    <row r="333" spans="1:28" x14ac:dyDescent="0.2">
      <c r="C333" s="23" t="s">
        <v>1227</v>
      </c>
      <c r="D333" s="89" t="s">
        <v>104</v>
      </c>
      <c r="E333" s="89"/>
      <c r="F333" s="89"/>
      <c r="G333" s="89"/>
      <c r="H333" s="89"/>
    </row>
    <row r="334" spans="1:28" x14ac:dyDescent="0.2">
      <c r="C334" s="23" t="s">
        <v>1228</v>
      </c>
      <c r="D334" s="89" t="s">
        <v>103</v>
      </c>
      <c r="E334" s="89"/>
      <c r="F334" s="89"/>
      <c r="G334" s="89"/>
      <c r="H334" s="89"/>
    </row>
    <row r="335" spans="1:28" x14ac:dyDescent="0.2">
      <c r="C335" s="9" t="s">
        <v>1218</v>
      </c>
      <c r="D335" s="34"/>
      <c r="E335" s="34"/>
      <c r="F335" s="34">
        <f>Source!BZ69</f>
        <v>123</v>
      </c>
      <c r="G335" s="57">
        <f>(Source!AF69+Source!AE69)*Source!FX69/100</f>
        <v>185.13468</v>
      </c>
      <c r="H335" s="57">
        <f>Source!X69</f>
        <v>67.27</v>
      </c>
    </row>
    <row r="336" spans="1:28" x14ac:dyDescent="0.2">
      <c r="C336" s="9" t="s">
        <v>1219</v>
      </c>
      <c r="D336" s="34"/>
      <c r="E336" s="34"/>
      <c r="F336" s="34"/>
      <c r="G336" s="34" t="str">
        <f>CONCATENATE(Source!DL69,Source!FT69, "=", Source!FX69, "%")</f>
        <v>*0,9=110,7%</v>
      </c>
      <c r="H336" s="34" t="str">
        <f>CONCATENATE(Source!AT69)</f>
        <v>111</v>
      </c>
    </row>
    <row r="337" spans="1:28" x14ac:dyDescent="0.2">
      <c r="C337" s="9" t="s">
        <v>1220</v>
      </c>
      <c r="D337" s="34"/>
      <c r="E337" s="34"/>
      <c r="F337" s="34">
        <f>Source!CA69</f>
        <v>75</v>
      </c>
      <c r="G337" s="57">
        <f>(Source!AF69+Source!AE69)*Source!FY69/100</f>
        <v>106.61550000000001</v>
      </c>
      <c r="H337" s="57">
        <f>Source!Y69</f>
        <v>38.78</v>
      </c>
    </row>
    <row r="338" spans="1:28" x14ac:dyDescent="0.2">
      <c r="C338" s="9" t="s">
        <v>1221</v>
      </c>
      <c r="D338" s="34"/>
      <c r="E338" s="34"/>
      <c r="F338" s="34"/>
      <c r="G338" s="34" t="str">
        <f>CONCATENATE(Source!DM69,Source!FU69, "=", Source!FY69, "%")</f>
        <v>*0,85=63,75%</v>
      </c>
      <c r="H338" s="34" t="str">
        <f>CONCATENATE(Source!AU69)</f>
        <v>64</v>
      </c>
    </row>
    <row r="339" spans="1:28" x14ac:dyDescent="0.2">
      <c r="C339" s="9" t="s">
        <v>1222</v>
      </c>
      <c r="D339" s="34"/>
      <c r="E339" s="34"/>
      <c r="F339" s="34"/>
      <c r="G339" s="57">
        <f>((Source!AF69+Source!AE69)*Source!FX69/100)+((Source!AF69+Source!AE69)*Source!FY69/100)+Source!AB69</f>
        <v>539.39017999999999</v>
      </c>
      <c r="H339" s="57">
        <f>Source!O69+Source!X69+Source!Y69</f>
        <v>195.78</v>
      </c>
    </row>
    <row r="340" spans="1:28" ht="71.25" x14ac:dyDescent="0.2">
      <c r="A340" s="46">
        <v>43</v>
      </c>
      <c r="B340" s="46" t="str">
        <f>Source!E70</f>
        <v>19,1</v>
      </c>
      <c r="C340" s="46" t="str">
        <f>Source!G70</f>
        <v>Профили стыкоперекрывающие из алюминиевых сплавов (порожки) с покрытием и антискользящей вставкой, шириной 39 мм, длиной до 1,8 м</v>
      </c>
      <c r="D340" s="46" t="str">
        <f>Source!F70</f>
        <v>09.2.03.02-0002</v>
      </c>
      <c r="E340" s="31" t="str">
        <f>Source!H70</f>
        <v>шт.</v>
      </c>
      <c r="F340" s="12">
        <f>Source!I70</f>
        <v>3</v>
      </c>
      <c r="G340" s="22">
        <f>Source!AB70</f>
        <v>31.28</v>
      </c>
      <c r="H340" s="22">
        <f>Source!O70</f>
        <v>629.66999999999996</v>
      </c>
      <c r="T340">
        <f>Source!O70+Source!X70+Source!Y70</f>
        <v>629.66999999999996</v>
      </c>
      <c r="U340">
        <f>Source!P70</f>
        <v>629.66999999999996</v>
      </c>
      <c r="V340">
        <f>Source!S70</f>
        <v>0</v>
      </c>
      <c r="W340">
        <f>Source!Q70</f>
        <v>0</v>
      </c>
      <c r="X340">
        <f>Source!R70</f>
        <v>0</v>
      </c>
      <c r="Y340">
        <f>Source!U70</f>
        <v>0</v>
      </c>
      <c r="Z340">
        <f>Source!V70</f>
        <v>0</v>
      </c>
      <c r="AA340">
        <f>Source!X70</f>
        <v>0</v>
      </c>
      <c r="AB340">
        <f>Source!Y70</f>
        <v>0</v>
      </c>
    </row>
    <row r="341" spans="1:28" ht="14.25" x14ac:dyDescent="0.2">
      <c r="C341" s="23" t="s">
        <v>1216</v>
      </c>
      <c r="D341" s="23">
        <f>Source!BC70</f>
        <v>6.71</v>
      </c>
      <c r="F341" s="12"/>
      <c r="G341" s="12"/>
      <c r="H341" s="12"/>
    </row>
    <row r="342" spans="1:28" ht="57" x14ac:dyDescent="0.2">
      <c r="A342" s="46">
        <v>44</v>
      </c>
      <c r="B342" s="46" t="str">
        <f>Source!E71</f>
        <v>19,2</v>
      </c>
      <c r="C342" s="46" t="str">
        <f>Source!G71</f>
        <v>Профили стыкоперекрывающие из алюминиевых сплавов (порожки) с покрытием и антискользящей вставкой, шириной 39 мм, длиной 0,9 м</v>
      </c>
      <c r="D342" s="46" t="str">
        <f>Source!F71</f>
        <v>09.2.03.02-0001</v>
      </c>
      <c r="E342" s="31" t="str">
        <f>Source!H71</f>
        <v>шт.</v>
      </c>
      <c r="F342" s="12">
        <f>Source!I71</f>
        <v>1</v>
      </c>
      <c r="G342" s="22">
        <f>Source!AB71</f>
        <v>15.07</v>
      </c>
      <c r="H342" s="22">
        <f>Source!O71</f>
        <v>101.12</v>
      </c>
      <c r="T342">
        <f>Source!O71+Source!X71+Source!Y71</f>
        <v>101.12</v>
      </c>
      <c r="U342">
        <f>Source!P71</f>
        <v>101.12</v>
      </c>
      <c r="V342">
        <f>Source!S71</f>
        <v>0</v>
      </c>
      <c r="W342">
        <f>Source!Q71</f>
        <v>0</v>
      </c>
      <c r="X342">
        <f>Source!R71</f>
        <v>0</v>
      </c>
      <c r="Y342">
        <f>Source!U71</f>
        <v>0</v>
      </c>
      <c r="Z342">
        <f>Source!V71</f>
        <v>0</v>
      </c>
      <c r="AA342">
        <f>Source!X71</f>
        <v>0</v>
      </c>
      <c r="AB342">
        <f>Source!Y71</f>
        <v>0</v>
      </c>
    </row>
    <row r="343" spans="1:28" ht="14.25" x14ac:dyDescent="0.2">
      <c r="C343" s="23" t="s">
        <v>1216</v>
      </c>
      <c r="D343" s="23">
        <f>Source!BC71</f>
        <v>6.71</v>
      </c>
      <c r="F343" s="12"/>
      <c r="G343" s="12"/>
      <c r="H343" s="12"/>
    </row>
    <row r="344" spans="1:28" ht="42.75" x14ac:dyDescent="0.2">
      <c r="A344" s="46">
        <v>45</v>
      </c>
      <c r="B344" s="46" t="str">
        <f>Source!E72</f>
        <v>19,3</v>
      </c>
      <c r="C344" s="46" t="str">
        <f>Source!G72</f>
        <v>Профили стыкоперекрывающие из алюминиевых сплавов (порожки) с покрытием</v>
      </c>
      <c r="D344" s="46" t="str">
        <f>Source!F72</f>
        <v>09.2.03.02</v>
      </c>
      <c r="E344" s="31" t="str">
        <f>Source!H72</f>
        <v>м</v>
      </c>
      <c r="F344" s="12">
        <f>Source!I72</f>
        <v>5.67</v>
      </c>
      <c r="G344" s="22">
        <f>Source!AB72</f>
        <v>0</v>
      </c>
      <c r="H344" s="22">
        <f>Source!O72</f>
        <v>0</v>
      </c>
      <c r="T344">
        <f>Source!O72+Source!X72+Source!Y72</f>
        <v>0</v>
      </c>
      <c r="U344">
        <f>Source!P72</f>
        <v>0</v>
      </c>
      <c r="V344">
        <f>Source!S72</f>
        <v>0</v>
      </c>
      <c r="W344">
        <f>Source!Q72</f>
        <v>0</v>
      </c>
      <c r="X344">
        <f>Source!R72</f>
        <v>0</v>
      </c>
      <c r="Y344">
        <f>Source!U72</f>
        <v>0</v>
      </c>
      <c r="Z344">
        <f>Source!V72</f>
        <v>0</v>
      </c>
      <c r="AA344">
        <f>Source!X72</f>
        <v>0</v>
      </c>
      <c r="AB344">
        <f>Source!Y72</f>
        <v>0</v>
      </c>
    </row>
    <row r="345" spans="1:28" ht="14.25" x14ac:dyDescent="0.2">
      <c r="C345" s="23" t="s">
        <v>1216</v>
      </c>
      <c r="D345" s="23">
        <f>Source!BC72</f>
        <v>6.71</v>
      </c>
      <c r="F345" s="12"/>
      <c r="G345" s="12"/>
      <c r="H345" s="12"/>
    </row>
    <row r="346" spans="1:28" ht="42.75" x14ac:dyDescent="0.2">
      <c r="A346" s="46">
        <v>46</v>
      </c>
      <c r="B346" s="46" t="str">
        <f>Source!E73</f>
        <v>20</v>
      </c>
      <c r="C346" s="46" t="str">
        <f>Source!G73</f>
        <v>Устройство подвесных потолков типа &lt;Армстронг&gt; по каркасу из оцинкованного профиля</v>
      </c>
      <c r="D346" s="46" t="str">
        <f>Source!F73</f>
        <v>15-01-047-15</v>
      </c>
      <c r="E346" s="31" t="str">
        <f>Source!H73</f>
        <v>100 м2</v>
      </c>
      <c r="F346" s="12">
        <f>Source!I73</f>
        <v>1.319</v>
      </c>
      <c r="G346" s="22">
        <f>Source!AB73</f>
        <v>6848.88</v>
      </c>
      <c r="H346" s="22">
        <f>Source!O73</f>
        <v>60615.94</v>
      </c>
      <c r="T346">
        <f>Source!O73+Source!X73+Source!Y73</f>
        <v>75531.650000000009</v>
      </c>
      <c r="U346">
        <f>Source!P73</f>
        <v>47220.9</v>
      </c>
      <c r="V346">
        <f>Source!S73</f>
        <v>9802.7099999999991</v>
      </c>
      <c r="W346">
        <f>Source!Q73</f>
        <v>3592.33</v>
      </c>
      <c r="X346">
        <f>Source!R73</f>
        <v>701.31</v>
      </c>
      <c r="Y346">
        <f>Source!U73</f>
        <v>155.41645099999997</v>
      </c>
      <c r="Z346">
        <f>Source!V73</f>
        <v>8.8043249999999986</v>
      </c>
      <c r="AA346">
        <f>Source!X73</f>
        <v>9978.82</v>
      </c>
      <c r="AB346">
        <f>Source!Y73</f>
        <v>4936.8900000000003</v>
      </c>
    </row>
    <row r="347" spans="1:28" ht="14.25" x14ac:dyDescent="0.2">
      <c r="C347" s="23" t="str">
        <f>"Объем: "&amp;Source!I73&amp;"=131,9/"&amp;"100"</f>
        <v>Объем: 1,319=131,9/100</v>
      </c>
      <c r="F347" s="12"/>
      <c r="G347" s="12"/>
      <c r="H347" s="12"/>
    </row>
    <row r="348" spans="1:28" x14ac:dyDescent="0.2">
      <c r="C348" s="23" t="s">
        <v>1214</v>
      </c>
      <c r="D348" s="23">
        <f>Source!BA73</f>
        <v>6.71</v>
      </c>
    </row>
    <row r="349" spans="1:28" x14ac:dyDescent="0.2">
      <c r="C349" s="23" t="s">
        <v>1215</v>
      </c>
      <c r="D349" s="23">
        <f>Source!BB73</f>
        <v>6.71</v>
      </c>
    </row>
    <row r="350" spans="1:28" x14ac:dyDescent="0.2">
      <c r="C350" s="23" t="s">
        <v>1216</v>
      </c>
      <c r="D350" s="23">
        <f>Source!BC73</f>
        <v>6.71</v>
      </c>
    </row>
    <row r="351" spans="1:28" x14ac:dyDescent="0.2">
      <c r="C351" s="23" t="s">
        <v>1217</v>
      </c>
      <c r="D351" s="23">
        <f>Source!BS73</f>
        <v>6.71</v>
      </c>
    </row>
    <row r="352" spans="1:28" x14ac:dyDescent="0.2">
      <c r="C352" s="23" t="s">
        <v>1224</v>
      </c>
      <c r="D352" s="89" t="s">
        <v>103</v>
      </c>
      <c r="E352" s="89"/>
      <c r="F352" s="89"/>
      <c r="G352" s="89"/>
      <c r="H352" s="89"/>
    </row>
    <row r="353" spans="1:28" x14ac:dyDescent="0.2">
      <c r="C353" s="23" t="s">
        <v>1225</v>
      </c>
      <c r="D353" s="89" t="s">
        <v>103</v>
      </c>
      <c r="E353" s="89"/>
      <c r="F353" s="89"/>
      <c r="G353" s="89"/>
      <c r="H353" s="89"/>
    </row>
    <row r="354" spans="1:28" x14ac:dyDescent="0.2">
      <c r="C354" s="23" t="s">
        <v>1226</v>
      </c>
      <c r="D354" s="89" t="s">
        <v>104</v>
      </c>
      <c r="E354" s="89"/>
      <c r="F354" s="89"/>
      <c r="G354" s="89"/>
      <c r="H354" s="89"/>
    </row>
    <row r="355" spans="1:28" x14ac:dyDescent="0.2">
      <c r="C355" s="23" t="s">
        <v>1227</v>
      </c>
      <c r="D355" s="89" t="s">
        <v>104</v>
      </c>
      <c r="E355" s="89"/>
      <c r="F355" s="89"/>
      <c r="G355" s="89"/>
      <c r="H355" s="89"/>
    </row>
    <row r="356" spans="1:28" x14ac:dyDescent="0.2">
      <c r="C356" s="23" t="s">
        <v>1228</v>
      </c>
      <c r="D356" s="89" t="s">
        <v>103</v>
      </c>
      <c r="E356" s="89"/>
      <c r="F356" s="89"/>
      <c r="G356" s="89"/>
      <c r="H356" s="89"/>
    </row>
    <row r="357" spans="1:28" x14ac:dyDescent="0.2">
      <c r="C357" s="9" t="s">
        <v>1218</v>
      </c>
      <c r="D357" s="34"/>
      <c r="E357" s="34"/>
      <c r="F357" s="34">
        <f>Source!BZ73</f>
        <v>105</v>
      </c>
      <c r="G357" s="57">
        <f>(Source!AF73+Source!AE73)*Source!FX73/100</f>
        <v>1121.5543499999999</v>
      </c>
      <c r="H357" s="57">
        <f>Source!X73</f>
        <v>9978.82</v>
      </c>
    </row>
    <row r="358" spans="1:28" x14ac:dyDescent="0.2">
      <c r="C358" s="9" t="s">
        <v>1219</v>
      </c>
      <c r="D358" s="34"/>
      <c r="E358" s="34"/>
      <c r="F358" s="34"/>
      <c r="G358" s="34" t="str">
        <f>CONCATENATE(Source!DL73,Source!FT73, "=", Source!FX73, "%")</f>
        <v>*0,9=94,5%</v>
      </c>
      <c r="H358" s="34" t="str">
        <f>CONCATENATE(Source!AT73)</f>
        <v>95</v>
      </c>
    </row>
    <row r="359" spans="1:28" x14ac:dyDescent="0.2">
      <c r="C359" s="9" t="s">
        <v>1220</v>
      </c>
      <c r="D359" s="34"/>
      <c r="E359" s="34"/>
      <c r="F359" s="34">
        <f>Source!CA73</f>
        <v>55</v>
      </c>
      <c r="G359" s="57">
        <f>(Source!AF73+Source!AE73)*Source!FY73/100</f>
        <v>554.84302500000001</v>
      </c>
      <c r="H359" s="57">
        <f>Source!Y73</f>
        <v>4936.8900000000003</v>
      </c>
    </row>
    <row r="360" spans="1:28" x14ac:dyDescent="0.2">
      <c r="C360" s="9" t="s">
        <v>1221</v>
      </c>
      <c r="D360" s="34"/>
      <c r="E360" s="34"/>
      <c r="F360" s="34"/>
      <c r="G360" s="34" t="str">
        <f>CONCATENATE(Source!DM73,Source!FU73, "=", Source!FY73, "%")</f>
        <v>*0,85=46,75%</v>
      </c>
      <c r="H360" s="34" t="str">
        <f>CONCATENATE(Source!AU73)</f>
        <v>47</v>
      </c>
    </row>
    <row r="361" spans="1:28" x14ac:dyDescent="0.2">
      <c r="C361" s="9" t="s">
        <v>1222</v>
      </c>
      <c r="D361" s="34"/>
      <c r="E361" s="34"/>
      <c r="F361" s="34"/>
      <c r="G361" s="57">
        <f>((Source!AF73+Source!AE73)*Source!FX73/100)+((Source!AF73+Source!AE73)*Source!FY73/100)+Source!AB73</f>
        <v>8525.2773749999997</v>
      </c>
      <c r="H361" s="57">
        <f>Source!O73+Source!X73+Source!Y73</f>
        <v>75531.650000000009</v>
      </c>
    </row>
    <row r="362" spans="1:28" ht="85.5" x14ac:dyDescent="0.2">
      <c r="A362" s="46">
        <v>47</v>
      </c>
      <c r="B362" s="46" t="str">
        <f>Source!E74</f>
        <v>21</v>
      </c>
      <c r="C362" s="46" t="str">
        <f>Source!G74</f>
        <v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глухих(короб)</v>
      </c>
      <c r="D362" s="46" t="str">
        <f>Source!F74</f>
        <v>10-05-001-01</v>
      </c>
      <c r="E362" s="31" t="str">
        <f>Source!H74</f>
        <v>100 м2</v>
      </c>
      <c r="F362" s="12">
        <f>Source!I74</f>
        <v>1.4999999999999999E-2</v>
      </c>
      <c r="G362" s="22">
        <f>Source!AB74</f>
        <v>2006.19</v>
      </c>
      <c r="H362" s="22">
        <f>Source!O74</f>
        <v>201.92</v>
      </c>
      <c r="T362">
        <f>Source!O74+Source!X74+Source!Y74</f>
        <v>366.53</v>
      </c>
      <c r="U362">
        <f>Source!P74</f>
        <v>96.67</v>
      </c>
      <c r="V362">
        <f>Source!S74</f>
        <v>102.88</v>
      </c>
      <c r="W362">
        <f>Source!Q74</f>
        <v>2.37</v>
      </c>
      <c r="X362">
        <f>Source!R74</f>
        <v>0</v>
      </c>
      <c r="Y362">
        <f>Source!U74</f>
        <v>1.6904999999999997</v>
      </c>
      <c r="Z362">
        <f>Source!V74</f>
        <v>0</v>
      </c>
      <c r="AA362">
        <f>Source!X74</f>
        <v>109.05</v>
      </c>
      <c r="AB362">
        <f>Source!Y74</f>
        <v>55.56</v>
      </c>
    </row>
    <row r="363" spans="1:28" ht="14.25" x14ac:dyDescent="0.2">
      <c r="C363" s="23" t="str">
        <f>"Объем: "&amp;Source!I74&amp;"=1,5/"&amp;"100"</f>
        <v>Объем: 0,015=1,5/100</v>
      </c>
      <c r="F363" s="12"/>
      <c r="G363" s="12"/>
      <c r="H363" s="12"/>
    </row>
    <row r="364" spans="1:28" x14ac:dyDescent="0.2">
      <c r="C364" s="23" t="s">
        <v>1214</v>
      </c>
      <c r="D364" s="23">
        <f>Source!BA74</f>
        <v>6.71</v>
      </c>
    </row>
    <row r="365" spans="1:28" x14ac:dyDescent="0.2">
      <c r="C365" s="23" t="s">
        <v>1215</v>
      </c>
      <c r="D365" s="23">
        <f>Source!BB74</f>
        <v>6.71</v>
      </c>
    </row>
    <row r="366" spans="1:28" x14ac:dyDescent="0.2">
      <c r="C366" s="23" t="s">
        <v>1216</v>
      </c>
      <c r="D366" s="23">
        <f>Source!BC74</f>
        <v>6.71</v>
      </c>
    </row>
    <row r="367" spans="1:28" x14ac:dyDescent="0.2">
      <c r="C367" s="23" t="s">
        <v>1217</v>
      </c>
      <c r="D367" s="23">
        <f>Source!BS74</f>
        <v>6.71</v>
      </c>
    </row>
    <row r="368" spans="1:28" x14ac:dyDescent="0.2">
      <c r="C368" s="23" t="s">
        <v>1224</v>
      </c>
      <c r="D368" s="89" t="s">
        <v>103</v>
      </c>
      <c r="E368" s="89"/>
      <c r="F368" s="89"/>
      <c r="G368" s="89"/>
      <c r="H368" s="89"/>
    </row>
    <row r="369" spans="1:28" x14ac:dyDescent="0.2">
      <c r="C369" s="23" t="s">
        <v>1225</v>
      </c>
      <c r="D369" s="89" t="s">
        <v>103</v>
      </c>
      <c r="E369" s="89"/>
      <c r="F369" s="89"/>
      <c r="G369" s="89"/>
      <c r="H369" s="89"/>
    </row>
    <row r="370" spans="1:28" x14ac:dyDescent="0.2">
      <c r="C370" s="23" t="s">
        <v>1226</v>
      </c>
      <c r="D370" s="89" t="s">
        <v>104</v>
      </c>
      <c r="E370" s="89"/>
      <c r="F370" s="89"/>
      <c r="G370" s="89"/>
      <c r="H370" s="89"/>
    </row>
    <row r="371" spans="1:28" x14ac:dyDescent="0.2">
      <c r="C371" s="23" t="s">
        <v>1227</v>
      </c>
      <c r="D371" s="89" t="s">
        <v>104</v>
      </c>
      <c r="E371" s="89"/>
      <c r="F371" s="89"/>
      <c r="G371" s="89"/>
      <c r="H371" s="89"/>
    </row>
    <row r="372" spans="1:28" x14ac:dyDescent="0.2">
      <c r="C372" s="23" t="s">
        <v>1228</v>
      </c>
      <c r="D372" s="89" t="s">
        <v>103</v>
      </c>
      <c r="E372" s="89"/>
      <c r="F372" s="89"/>
      <c r="G372" s="89"/>
      <c r="H372" s="89"/>
    </row>
    <row r="373" spans="1:28" x14ac:dyDescent="0.2">
      <c r="C373" s="9" t="s">
        <v>1218</v>
      </c>
      <c r="D373" s="34"/>
      <c r="E373" s="34"/>
      <c r="F373" s="34">
        <f>Source!BZ74</f>
        <v>118</v>
      </c>
      <c r="G373" s="57">
        <f>(Source!AF74+Source!AE74)*Source!FX74/100</f>
        <v>1085.5657800000001</v>
      </c>
      <c r="H373" s="57">
        <f>Source!X74</f>
        <v>109.05</v>
      </c>
    </row>
    <row r="374" spans="1:28" x14ac:dyDescent="0.2">
      <c r="C374" s="9" t="s">
        <v>1219</v>
      </c>
      <c r="D374" s="34"/>
      <c r="E374" s="34"/>
      <c r="F374" s="34"/>
      <c r="G374" s="34" t="str">
        <f>CONCATENATE(Source!DL74,Source!FT74, "=", Source!FX74, "%")</f>
        <v>*0,9=106,2%</v>
      </c>
      <c r="H374" s="34" t="str">
        <f>CONCATENATE(Source!AT74)</f>
        <v>106</v>
      </c>
    </row>
    <row r="375" spans="1:28" x14ac:dyDescent="0.2">
      <c r="C375" s="9" t="s">
        <v>1220</v>
      </c>
      <c r="D375" s="34"/>
      <c r="E375" s="34"/>
      <c r="F375" s="34">
        <f>Source!CA74</f>
        <v>63</v>
      </c>
      <c r="G375" s="57">
        <f>(Source!AF74+Source!AE74)*Source!FY74/100</f>
        <v>547.382745</v>
      </c>
      <c r="H375" s="57">
        <f>Source!Y74</f>
        <v>55.56</v>
      </c>
    </row>
    <row r="376" spans="1:28" x14ac:dyDescent="0.2">
      <c r="C376" s="9" t="s">
        <v>1221</v>
      </c>
      <c r="D376" s="34"/>
      <c r="E376" s="34"/>
      <c r="F376" s="34"/>
      <c r="G376" s="34" t="str">
        <f>CONCATENATE(Source!DM74,Source!FU74, "=", Source!FY74, "%")</f>
        <v>*0,85=53,55%</v>
      </c>
      <c r="H376" s="34" t="str">
        <f>CONCATENATE(Source!AU74)</f>
        <v>54</v>
      </c>
    </row>
    <row r="377" spans="1:28" x14ac:dyDescent="0.2">
      <c r="C377" s="9" t="s">
        <v>1222</v>
      </c>
      <c r="D377" s="34"/>
      <c r="E377" s="34"/>
      <c r="F377" s="34"/>
      <c r="G377" s="57">
        <f>((Source!AF74+Source!AE74)*Source!FX74/100)+((Source!AF74+Source!AE74)*Source!FY74/100)+Source!AB74</f>
        <v>3639.1385250000003</v>
      </c>
      <c r="H377" s="57">
        <f>Source!O74+Source!X74+Source!Y74</f>
        <v>366.53</v>
      </c>
    </row>
    <row r="378" spans="1:28" ht="14.25" x14ac:dyDescent="0.2">
      <c r="A378" s="46">
        <v>48</v>
      </c>
      <c r="B378" s="46" t="str">
        <f>Source!E75</f>
        <v>21,1</v>
      </c>
      <c r="C378" s="46" t="str">
        <f>Source!G75</f>
        <v>Листы гипсокартонные</v>
      </c>
      <c r="D378" s="46" t="str">
        <f>Source!F75</f>
        <v>01.6.01.02</v>
      </c>
      <c r="E378" s="31" t="str">
        <f>Source!H75</f>
        <v>м2</v>
      </c>
      <c r="F378" s="12">
        <f>Source!I75</f>
        <v>3.15</v>
      </c>
      <c r="G378" s="22">
        <f>Source!AB75</f>
        <v>0</v>
      </c>
      <c r="H378" s="22">
        <f>Source!O75</f>
        <v>0</v>
      </c>
      <c r="T378">
        <f>Source!O75+Source!X75+Source!Y75</f>
        <v>0</v>
      </c>
      <c r="U378">
        <f>Source!P75</f>
        <v>0</v>
      </c>
      <c r="V378">
        <f>Source!S75</f>
        <v>0</v>
      </c>
      <c r="W378">
        <f>Source!Q75</f>
        <v>0</v>
      </c>
      <c r="X378">
        <f>Source!R75</f>
        <v>0</v>
      </c>
      <c r="Y378">
        <f>Source!U75</f>
        <v>0</v>
      </c>
      <c r="Z378">
        <f>Source!V75</f>
        <v>0</v>
      </c>
      <c r="AA378">
        <f>Source!X75</f>
        <v>0</v>
      </c>
      <c r="AB378">
        <f>Source!Y75</f>
        <v>0</v>
      </c>
    </row>
    <row r="379" spans="1:28" ht="14.25" x14ac:dyDescent="0.2">
      <c r="C379" s="23" t="s">
        <v>1216</v>
      </c>
      <c r="D379" s="23">
        <f>Source!BC75</f>
        <v>6.71</v>
      </c>
      <c r="F379" s="12"/>
      <c r="G379" s="12"/>
      <c r="H379" s="12"/>
    </row>
    <row r="380" spans="1:28" ht="28.5" x14ac:dyDescent="0.2">
      <c r="A380" s="46">
        <v>49</v>
      </c>
      <c r="B380" s="46" t="str">
        <f>Source!E76</f>
        <v>21,2</v>
      </c>
      <c r="C380" s="46" t="str">
        <f>Source!G76</f>
        <v>Листы гипсокартонные ГКЛ 12,5 мм</v>
      </c>
      <c r="D380" s="46" t="str">
        <f>Source!F76</f>
        <v>01.6.01.02-0006</v>
      </c>
      <c r="E380" s="31" t="str">
        <f>Source!H76</f>
        <v>м2</v>
      </c>
      <c r="F380" s="12">
        <f>Source!I76</f>
        <v>3.15</v>
      </c>
      <c r="G380" s="22">
        <f>Source!AB76</f>
        <v>15</v>
      </c>
      <c r="H380" s="22">
        <f>Source!O76</f>
        <v>317.05</v>
      </c>
      <c r="T380">
        <f>Source!O76+Source!X76+Source!Y76</f>
        <v>317.05</v>
      </c>
      <c r="U380">
        <f>Source!P76</f>
        <v>317.05</v>
      </c>
      <c r="V380">
        <f>Source!S76</f>
        <v>0</v>
      </c>
      <c r="W380">
        <f>Source!Q76</f>
        <v>0</v>
      </c>
      <c r="X380">
        <f>Source!R76</f>
        <v>0</v>
      </c>
      <c r="Y380">
        <f>Source!U76</f>
        <v>0</v>
      </c>
      <c r="Z380">
        <f>Source!V76</f>
        <v>0</v>
      </c>
      <c r="AA380">
        <f>Source!X76</f>
        <v>0</v>
      </c>
      <c r="AB380">
        <f>Source!Y76</f>
        <v>0</v>
      </c>
    </row>
    <row r="381" spans="1:28" ht="14.25" x14ac:dyDescent="0.2">
      <c r="C381" s="23" t="s">
        <v>1216</v>
      </c>
      <c r="D381" s="23">
        <f>Source!BC76</f>
        <v>6.71</v>
      </c>
      <c r="F381" s="12"/>
      <c r="G381" s="12"/>
      <c r="H381" s="12"/>
    </row>
    <row r="382" spans="1:28" ht="42.75" x14ac:dyDescent="0.2">
      <c r="A382" s="46">
        <v>50</v>
      </c>
      <c r="B382" s="46" t="str">
        <f>Source!E77</f>
        <v>21,3</v>
      </c>
      <c r="C382" s="46" t="str">
        <f>Source!G77</f>
        <v>Лента эластичная самоклеящаяся для профилей направляющих «Дихтунгсбанд» 30/30000 мм</v>
      </c>
      <c r="D382" s="46" t="str">
        <f>Source!F77</f>
        <v>01.7.06.01-0041</v>
      </c>
      <c r="E382" s="31" t="str">
        <f>Source!H77</f>
        <v>м</v>
      </c>
      <c r="F382" s="12">
        <f>Source!I77</f>
        <v>1.89</v>
      </c>
      <c r="G382" s="22">
        <f>Source!AB77</f>
        <v>0.37</v>
      </c>
      <c r="H382" s="22">
        <f>Source!O77</f>
        <v>4.6900000000000004</v>
      </c>
      <c r="T382">
        <f>Source!O77+Source!X77+Source!Y77</f>
        <v>4.6900000000000004</v>
      </c>
      <c r="U382">
        <f>Source!P77</f>
        <v>4.6900000000000004</v>
      </c>
      <c r="V382">
        <f>Source!S77</f>
        <v>0</v>
      </c>
      <c r="W382">
        <f>Source!Q77</f>
        <v>0</v>
      </c>
      <c r="X382">
        <f>Source!R77</f>
        <v>0</v>
      </c>
      <c r="Y382">
        <f>Source!U77</f>
        <v>0</v>
      </c>
      <c r="Z382">
        <f>Source!V77</f>
        <v>0</v>
      </c>
      <c r="AA382">
        <f>Source!X77</f>
        <v>0</v>
      </c>
      <c r="AB382">
        <f>Source!Y77</f>
        <v>0</v>
      </c>
    </row>
    <row r="383" spans="1:28" ht="14.25" x14ac:dyDescent="0.2">
      <c r="C383" s="23" t="s">
        <v>1216</v>
      </c>
      <c r="D383" s="23">
        <f>Source!BC77</f>
        <v>6.71</v>
      </c>
      <c r="F383" s="12"/>
      <c r="G383" s="12"/>
      <c r="H383" s="12"/>
    </row>
    <row r="384" spans="1:28" ht="28.5" x14ac:dyDescent="0.2">
      <c r="A384" s="46">
        <v>51</v>
      </c>
      <c r="B384" s="46" t="str">
        <f>Source!E78</f>
        <v>21,4</v>
      </c>
      <c r="C384" s="46" t="str">
        <f>Source!G78</f>
        <v>Лента уплотнительная типа Дихтунгсбанд</v>
      </c>
      <c r="D384" s="46" t="str">
        <f>Source!F78</f>
        <v>01.7.06.11</v>
      </c>
      <c r="E384" s="31" t="str">
        <f>Source!H78</f>
        <v>м</v>
      </c>
      <c r="F384" s="12">
        <f>Source!I78</f>
        <v>1.89</v>
      </c>
      <c r="G384" s="22">
        <f>Source!AB78</f>
        <v>0</v>
      </c>
      <c r="H384" s="22">
        <f>Source!O78</f>
        <v>0</v>
      </c>
      <c r="T384">
        <f>Source!O78+Source!X78+Source!Y78</f>
        <v>0</v>
      </c>
      <c r="U384">
        <f>Source!P78</f>
        <v>0</v>
      </c>
      <c r="V384">
        <f>Source!S78</f>
        <v>0</v>
      </c>
      <c r="W384">
        <f>Source!Q78</f>
        <v>0</v>
      </c>
      <c r="X384">
        <f>Source!R78</f>
        <v>0</v>
      </c>
      <c r="Y384">
        <f>Source!U78</f>
        <v>0</v>
      </c>
      <c r="Z384">
        <f>Source!V78</f>
        <v>0</v>
      </c>
      <c r="AA384">
        <f>Source!X78</f>
        <v>0</v>
      </c>
      <c r="AB384">
        <f>Source!Y78</f>
        <v>0</v>
      </c>
    </row>
    <row r="385" spans="1:28" ht="14.25" x14ac:dyDescent="0.2">
      <c r="C385" s="23" t="s">
        <v>1216</v>
      </c>
      <c r="D385" s="23">
        <f>Source!BC78</f>
        <v>6.71</v>
      </c>
      <c r="F385" s="12"/>
      <c r="G385" s="12"/>
      <c r="H385" s="12"/>
    </row>
    <row r="386" spans="1:28" ht="14.25" x14ac:dyDescent="0.2">
      <c r="A386" s="46">
        <v>52</v>
      </c>
      <c r="B386" s="46" t="str">
        <f>Source!E79</f>
        <v>21,5</v>
      </c>
      <c r="C386" s="46" t="str">
        <f>Source!G79</f>
        <v>Профиль направляющий</v>
      </c>
      <c r="D386" s="46" t="str">
        <f>Source!F79</f>
        <v>07.2.06.03</v>
      </c>
      <c r="E386" s="31" t="str">
        <f>Source!H79</f>
        <v>м</v>
      </c>
      <c r="F386" s="12">
        <f>Source!I79</f>
        <v>2.2650000000000001</v>
      </c>
      <c r="G386" s="22">
        <f>Source!AB79</f>
        <v>0</v>
      </c>
      <c r="H386" s="22">
        <f>Source!O79</f>
        <v>0</v>
      </c>
      <c r="T386">
        <f>Source!O79+Source!X79+Source!Y79</f>
        <v>0</v>
      </c>
      <c r="U386">
        <f>Source!P79</f>
        <v>0</v>
      </c>
      <c r="V386">
        <f>Source!S79</f>
        <v>0</v>
      </c>
      <c r="W386">
        <f>Source!Q79</f>
        <v>0</v>
      </c>
      <c r="X386">
        <f>Source!R79</f>
        <v>0</v>
      </c>
      <c r="Y386">
        <f>Source!U79</f>
        <v>0</v>
      </c>
      <c r="Z386">
        <f>Source!V79</f>
        <v>0</v>
      </c>
      <c r="AA386">
        <f>Source!X79</f>
        <v>0</v>
      </c>
      <c r="AB386">
        <f>Source!Y79</f>
        <v>0</v>
      </c>
    </row>
    <row r="387" spans="1:28" ht="14.25" x14ac:dyDescent="0.2">
      <c r="C387" s="23" t="s">
        <v>1216</v>
      </c>
      <c r="D387" s="23">
        <f>Source!BC79</f>
        <v>6.71</v>
      </c>
      <c r="F387" s="12"/>
      <c r="G387" s="12"/>
      <c r="H387" s="12"/>
    </row>
    <row r="388" spans="1:28" ht="28.5" x14ac:dyDescent="0.2">
      <c r="A388" s="46">
        <v>53</v>
      </c>
      <c r="B388" s="46" t="str">
        <f>Source!E80</f>
        <v>21,6</v>
      </c>
      <c r="C388" s="46" t="str">
        <f>Source!G80</f>
        <v>Профиль направляющий ПН-2 50/30/0,6</v>
      </c>
      <c r="D388" s="46" t="str">
        <f>Source!F80</f>
        <v>07.2.06.03-0111</v>
      </c>
      <c r="E388" s="31" t="str">
        <f>Source!H80</f>
        <v>м</v>
      </c>
      <c r="F388" s="12">
        <f>Source!I80</f>
        <v>2.2650000000000001</v>
      </c>
      <c r="G388" s="22">
        <f>Source!AB80</f>
        <v>5.6</v>
      </c>
      <c r="H388" s="22">
        <f>Source!O80</f>
        <v>85.11</v>
      </c>
      <c r="T388">
        <f>Source!O80+Source!X80+Source!Y80</f>
        <v>85.11</v>
      </c>
      <c r="U388">
        <f>Source!P80</f>
        <v>85.11</v>
      </c>
      <c r="V388">
        <f>Source!S80</f>
        <v>0</v>
      </c>
      <c r="W388">
        <f>Source!Q80</f>
        <v>0</v>
      </c>
      <c r="X388">
        <f>Source!R80</f>
        <v>0</v>
      </c>
      <c r="Y388">
        <f>Source!U80</f>
        <v>0</v>
      </c>
      <c r="Z388">
        <f>Source!V80</f>
        <v>0</v>
      </c>
      <c r="AA388">
        <f>Source!X80</f>
        <v>0</v>
      </c>
      <c r="AB388">
        <f>Source!Y80</f>
        <v>0</v>
      </c>
    </row>
    <row r="389" spans="1:28" ht="14.25" x14ac:dyDescent="0.2">
      <c r="C389" s="23" t="s">
        <v>1216</v>
      </c>
      <c r="D389" s="23">
        <f>Source!BC80</f>
        <v>6.71</v>
      </c>
      <c r="F389" s="12"/>
      <c r="G389" s="12"/>
      <c r="H389" s="12"/>
    </row>
    <row r="390" spans="1:28" ht="28.5" x14ac:dyDescent="0.2">
      <c r="A390" s="46">
        <v>54</v>
      </c>
      <c r="B390" s="46" t="str">
        <f>Source!E81</f>
        <v>21,7</v>
      </c>
      <c r="C390" s="46" t="str">
        <f>Source!G81</f>
        <v>Профиль стоечный ПС-2 50/35/0,55</v>
      </c>
      <c r="D390" s="46" t="str">
        <f>Source!F81</f>
        <v>07.2.06.03-0194</v>
      </c>
      <c r="E390" s="31" t="str">
        <f>Source!H81</f>
        <v>м</v>
      </c>
      <c r="F390" s="12">
        <f>Source!I81</f>
        <v>3.06</v>
      </c>
      <c r="G390" s="22">
        <f>Source!AB81</f>
        <v>4.67</v>
      </c>
      <c r="H390" s="22">
        <f>Source!O81</f>
        <v>95.89</v>
      </c>
      <c r="T390">
        <f>Source!O81+Source!X81+Source!Y81</f>
        <v>95.89</v>
      </c>
      <c r="U390">
        <f>Source!P81</f>
        <v>95.89</v>
      </c>
      <c r="V390">
        <f>Source!S81</f>
        <v>0</v>
      </c>
      <c r="W390">
        <f>Source!Q81</f>
        <v>0</v>
      </c>
      <c r="X390">
        <f>Source!R81</f>
        <v>0</v>
      </c>
      <c r="Y390">
        <f>Source!U81</f>
        <v>0</v>
      </c>
      <c r="Z390">
        <f>Source!V81</f>
        <v>0</v>
      </c>
      <c r="AA390">
        <f>Source!X81</f>
        <v>0</v>
      </c>
      <c r="AB390">
        <f>Source!Y81</f>
        <v>0</v>
      </c>
    </row>
    <row r="391" spans="1:28" ht="14.25" x14ac:dyDescent="0.2">
      <c r="C391" s="23" t="s">
        <v>1216</v>
      </c>
      <c r="D391" s="23">
        <f>Source!BC81</f>
        <v>6.71</v>
      </c>
      <c r="F391" s="12"/>
      <c r="G391" s="12"/>
      <c r="H391" s="12"/>
    </row>
    <row r="392" spans="1:28" ht="14.25" x14ac:dyDescent="0.2">
      <c r="A392" s="46">
        <v>55</v>
      </c>
      <c r="B392" s="46" t="str">
        <f>Source!E82</f>
        <v>21,8</v>
      </c>
      <c r="C392" s="46" t="str">
        <f>Source!G82</f>
        <v>Профиль стоечный</v>
      </c>
      <c r="D392" s="46" t="str">
        <f>Source!F82</f>
        <v>07.2.06.03</v>
      </c>
      <c r="E392" s="31" t="str">
        <f>Source!H82</f>
        <v>м</v>
      </c>
      <c r="F392" s="12">
        <f>Source!I82</f>
        <v>3.06</v>
      </c>
      <c r="G392" s="22">
        <f>Source!AB82</f>
        <v>0</v>
      </c>
      <c r="H392" s="22">
        <f>Source!O82</f>
        <v>0</v>
      </c>
      <c r="T392">
        <f>Source!O82+Source!X82+Source!Y82</f>
        <v>0</v>
      </c>
      <c r="U392">
        <f>Source!P82</f>
        <v>0</v>
      </c>
      <c r="V392">
        <f>Source!S82</f>
        <v>0</v>
      </c>
      <c r="W392">
        <f>Source!Q82</f>
        <v>0</v>
      </c>
      <c r="X392">
        <f>Source!R82</f>
        <v>0</v>
      </c>
      <c r="Y392">
        <f>Source!U82</f>
        <v>0</v>
      </c>
      <c r="Z392">
        <f>Source!V82</f>
        <v>0</v>
      </c>
      <c r="AA392">
        <f>Source!X82</f>
        <v>0</v>
      </c>
      <c r="AB392">
        <f>Source!Y82</f>
        <v>0</v>
      </c>
    </row>
    <row r="393" spans="1:28" ht="14.25" x14ac:dyDescent="0.2">
      <c r="C393" s="23" t="s">
        <v>1216</v>
      </c>
      <c r="D393" s="23">
        <f>Source!BC82</f>
        <v>6.71</v>
      </c>
      <c r="F393" s="12"/>
      <c r="G393" s="12"/>
      <c r="H393" s="12"/>
    </row>
    <row r="394" spans="1:28" ht="57" x14ac:dyDescent="0.2">
      <c r="A394" s="46">
        <v>56</v>
      </c>
      <c r="B394" s="46" t="str">
        <f>Source!E83</f>
        <v>22</v>
      </c>
      <c r="C394" s="46" t="str">
        <f>Source!G83</f>
        <v>Сплошное выравнивание штукатурки стен цементно-известковым раствором при толщине намета до 10 мм</v>
      </c>
      <c r="D394" s="46" t="str">
        <f>Source!F83</f>
        <v>61-1-2</v>
      </c>
      <c r="E394" s="31" t="str">
        <f>Source!H83</f>
        <v>100 м2</v>
      </c>
      <c r="F394" s="12">
        <f>Source!I83</f>
        <v>2.68</v>
      </c>
      <c r="G394" s="22">
        <f>Source!AB83</f>
        <v>921.93</v>
      </c>
      <c r="H394" s="22">
        <f>Source!O83</f>
        <v>16578.88</v>
      </c>
      <c r="T394">
        <f>Source!O83+Source!X83+Source!Y83</f>
        <v>24947.020000000004</v>
      </c>
      <c r="U394">
        <f>Source!P83</f>
        <v>9887.48</v>
      </c>
      <c r="V394">
        <f>Source!S83</f>
        <v>6331.56</v>
      </c>
      <c r="W394">
        <f>Source!Q83</f>
        <v>359.84</v>
      </c>
      <c r="X394">
        <f>Source!R83</f>
        <v>155.37</v>
      </c>
      <c r="Y394">
        <f>Source!U83</f>
        <v>113.55159999999999</v>
      </c>
      <c r="Z394">
        <f>Source!V83</f>
        <v>1.7152000000000001</v>
      </c>
      <c r="AA394">
        <f>Source!X83</f>
        <v>5124.67</v>
      </c>
      <c r="AB394">
        <f>Source!Y83</f>
        <v>3243.47</v>
      </c>
    </row>
    <row r="395" spans="1:28" ht="14.25" x14ac:dyDescent="0.2">
      <c r="C395" s="23" t="str">
        <f>"Объем: "&amp;Source!I83&amp;"=268/"&amp;"100"</f>
        <v>Объем: 2,68=268/100</v>
      </c>
      <c r="F395" s="12"/>
      <c r="G395" s="12"/>
      <c r="H395" s="12"/>
    </row>
    <row r="396" spans="1:28" x14ac:dyDescent="0.2">
      <c r="C396" s="23" t="s">
        <v>1214</v>
      </c>
      <c r="D396" s="23">
        <f>Source!BA83</f>
        <v>6.71</v>
      </c>
    </row>
    <row r="397" spans="1:28" x14ac:dyDescent="0.2">
      <c r="C397" s="23" t="s">
        <v>1215</v>
      </c>
      <c r="D397" s="23">
        <f>Source!BB83</f>
        <v>6.71</v>
      </c>
    </row>
    <row r="398" spans="1:28" x14ac:dyDescent="0.2">
      <c r="C398" s="23" t="s">
        <v>1216</v>
      </c>
      <c r="D398" s="23">
        <f>Source!BC83</f>
        <v>6.71</v>
      </c>
    </row>
    <row r="399" spans="1:28" x14ac:dyDescent="0.2">
      <c r="C399" s="23" t="s">
        <v>1217</v>
      </c>
      <c r="D399" s="23">
        <f>Source!BS83</f>
        <v>6.71</v>
      </c>
    </row>
    <row r="400" spans="1:28" x14ac:dyDescent="0.2">
      <c r="C400" s="9" t="s">
        <v>1218</v>
      </c>
      <c r="D400" s="34"/>
      <c r="E400" s="34"/>
      <c r="F400" s="34">
        <f>Source!BZ83</f>
        <v>79</v>
      </c>
      <c r="G400" s="57">
        <f>(Source!AF83+Source!AE83)*Source!FX83/100</f>
        <v>284.97669999999999</v>
      </c>
      <c r="H400" s="57">
        <f>Source!X83</f>
        <v>5124.67</v>
      </c>
    </row>
    <row r="401" spans="1:28" x14ac:dyDescent="0.2">
      <c r="C401" s="9" t="s">
        <v>1220</v>
      </c>
      <c r="D401" s="34"/>
      <c r="E401" s="34"/>
      <c r="F401" s="34">
        <f>Source!CA83</f>
        <v>50</v>
      </c>
      <c r="G401" s="57">
        <f>(Source!AF83+Source!AE83)*Source!FY83/100</f>
        <v>180.36499999999995</v>
      </c>
      <c r="H401" s="57">
        <f>Source!Y83</f>
        <v>3243.47</v>
      </c>
    </row>
    <row r="402" spans="1:28" x14ac:dyDescent="0.2">
      <c r="C402" s="9" t="s">
        <v>1222</v>
      </c>
      <c r="D402" s="34"/>
      <c r="E402" s="34"/>
      <c r="F402" s="34"/>
      <c r="G402" s="57">
        <f>((Source!AF83+Source!AE83)*Source!FX83/100)+((Source!AF83+Source!AE83)*Source!FY83/100)+Source!AB83</f>
        <v>1387.2716999999998</v>
      </c>
      <c r="H402" s="57">
        <f>Source!O83+Source!X83+Source!Y83</f>
        <v>24947.020000000004</v>
      </c>
    </row>
    <row r="403" spans="1:28" ht="42.75" x14ac:dyDescent="0.2">
      <c r="A403" s="46">
        <v>57</v>
      </c>
      <c r="B403" s="46" t="str">
        <f>Source!E84</f>
        <v>22,1</v>
      </c>
      <c r="C403" s="46" t="s">
        <v>1229</v>
      </c>
      <c r="D403" s="46" t="str">
        <f>Source!F84</f>
        <v>04.3.01.12-0111</v>
      </c>
      <c r="E403" s="31" t="str">
        <f>Source!H84</f>
        <v>м3</v>
      </c>
      <c r="F403" s="12">
        <f>Source!I84</f>
        <v>-2.8408000000000002</v>
      </c>
      <c r="G403" s="22">
        <f>Source!AB84</f>
        <v>517.91</v>
      </c>
      <c r="H403" s="22">
        <f>Source!O84</f>
        <v>-9872.2800000000007</v>
      </c>
      <c r="T403">
        <f>Source!O84+Source!X84+Source!Y84</f>
        <v>-9872.2800000000007</v>
      </c>
      <c r="U403">
        <f>Source!P84</f>
        <v>-9872.2800000000007</v>
      </c>
      <c r="V403">
        <f>Source!S84</f>
        <v>0</v>
      </c>
      <c r="W403">
        <f>Source!Q84</f>
        <v>0</v>
      </c>
      <c r="X403">
        <f>Source!R84</f>
        <v>0</v>
      </c>
      <c r="Y403">
        <f>Source!U84</f>
        <v>0</v>
      </c>
      <c r="Z403">
        <f>Source!V84</f>
        <v>0</v>
      </c>
      <c r="AA403">
        <f>Source!X84</f>
        <v>0</v>
      </c>
      <c r="AB403">
        <f>Source!Y84</f>
        <v>0</v>
      </c>
    </row>
    <row r="404" spans="1:28" ht="14.25" x14ac:dyDescent="0.2">
      <c r="C404" s="23" t="s">
        <v>1216</v>
      </c>
      <c r="D404" s="23">
        <f>Source!BC84</f>
        <v>6.71</v>
      </c>
      <c r="F404" s="12"/>
      <c r="G404" s="12"/>
      <c r="H404" s="12"/>
    </row>
    <row r="405" spans="1:28" ht="28.5" x14ac:dyDescent="0.2">
      <c r="A405" s="46">
        <v>58</v>
      </c>
      <c r="B405" s="46" t="str">
        <f>Source!E85</f>
        <v>22,2</v>
      </c>
      <c r="C405" s="46" t="str">
        <f>Source!G85</f>
        <v>Смесь штукатурная «Ротбанд», КНАУФ</v>
      </c>
      <c r="D405" s="46" t="str">
        <f>Source!F85</f>
        <v>04.3.02.05-0002</v>
      </c>
      <c r="E405" s="31" t="str">
        <f>Source!H85</f>
        <v>кг</v>
      </c>
      <c r="F405" s="12">
        <f>Source!I85</f>
        <v>4260.9523730000001</v>
      </c>
      <c r="G405" s="22">
        <f>Source!AB85</f>
        <v>2.0699999999999998</v>
      </c>
      <c r="H405" s="22">
        <f>Source!O85</f>
        <v>59183.35</v>
      </c>
      <c r="T405">
        <f>Source!O85+Source!X85+Source!Y85</f>
        <v>59183.35</v>
      </c>
      <c r="U405">
        <f>Source!P85</f>
        <v>59183.35</v>
      </c>
      <c r="V405">
        <f>Source!S85</f>
        <v>0</v>
      </c>
      <c r="W405">
        <f>Source!Q85</f>
        <v>0</v>
      </c>
      <c r="X405">
        <f>Source!R85</f>
        <v>0</v>
      </c>
      <c r="Y405">
        <f>Source!U85</f>
        <v>0</v>
      </c>
      <c r="Z405">
        <f>Source!V85</f>
        <v>0</v>
      </c>
      <c r="AA405">
        <f>Source!X85</f>
        <v>0</v>
      </c>
      <c r="AB405">
        <f>Source!Y85</f>
        <v>0</v>
      </c>
    </row>
    <row r="406" spans="1:28" ht="14.25" x14ac:dyDescent="0.2">
      <c r="C406" s="23" t="s">
        <v>1216</v>
      </c>
      <c r="D406" s="23">
        <f>Source!BC85</f>
        <v>6.71</v>
      </c>
      <c r="F406" s="12"/>
      <c r="G406" s="12"/>
      <c r="H406" s="12"/>
    </row>
    <row r="407" spans="1:28" ht="42.75" x14ac:dyDescent="0.2">
      <c r="A407" s="46">
        <v>59</v>
      </c>
      <c r="B407" s="46" t="str">
        <f>Source!E86</f>
        <v>23</v>
      </c>
      <c r="C407" s="46" t="str">
        <f>Source!G86</f>
        <v>Покрытие поверхностей грунтовкой глубокого проникновения за 2 раза стен</v>
      </c>
      <c r="D407" s="46" t="str">
        <f>Source!F86</f>
        <v>15-04-006-04</v>
      </c>
      <c r="E407" s="31" t="str">
        <f>Source!H86</f>
        <v>100 м2</v>
      </c>
      <c r="F407" s="12">
        <f>Source!I86</f>
        <v>2.68</v>
      </c>
      <c r="G407" s="22">
        <f>Source!AB86</f>
        <v>182.93</v>
      </c>
      <c r="H407" s="22">
        <f>Source!O86</f>
        <v>3289.59</v>
      </c>
      <c r="T407">
        <f>Source!O86+Source!X86+Source!Y86</f>
        <v>7911.78</v>
      </c>
      <c r="U407">
        <f>Source!P86</f>
        <v>6.47</v>
      </c>
      <c r="V407">
        <f>Source!S86</f>
        <v>3246.79</v>
      </c>
      <c r="W407">
        <f>Source!Q86</f>
        <v>36.33</v>
      </c>
      <c r="X407">
        <f>Source!R86</f>
        <v>8.27</v>
      </c>
      <c r="Y407">
        <f>Source!U86</f>
        <v>50.298239999999993</v>
      </c>
      <c r="Z407">
        <f>Source!V86</f>
        <v>0.10050000000000001</v>
      </c>
      <c r="AA407">
        <f>Source!X86</f>
        <v>3092.31</v>
      </c>
      <c r="AB407">
        <f>Source!Y86</f>
        <v>1529.88</v>
      </c>
    </row>
    <row r="408" spans="1:28" ht="14.25" x14ac:dyDescent="0.2">
      <c r="C408" s="23" t="str">
        <f>"Объем: "&amp;Source!I86&amp;"=268/"&amp;"100"</f>
        <v>Объем: 2,68=268/100</v>
      </c>
      <c r="F408" s="12"/>
      <c r="G408" s="12"/>
      <c r="H408" s="12"/>
    </row>
    <row r="409" spans="1:28" x14ac:dyDescent="0.2">
      <c r="C409" s="23" t="s">
        <v>1214</v>
      </c>
      <c r="D409" s="23">
        <f>Source!BA86</f>
        <v>6.71</v>
      </c>
    </row>
    <row r="410" spans="1:28" x14ac:dyDescent="0.2">
      <c r="C410" s="23" t="s">
        <v>1215</v>
      </c>
      <c r="D410" s="23">
        <f>Source!BB86</f>
        <v>6.71</v>
      </c>
    </row>
    <row r="411" spans="1:28" x14ac:dyDescent="0.2">
      <c r="C411" s="23" t="s">
        <v>1216</v>
      </c>
      <c r="D411" s="23">
        <f>Source!BC86</f>
        <v>6.71</v>
      </c>
    </row>
    <row r="412" spans="1:28" x14ac:dyDescent="0.2">
      <c r="C412" s="23" t="s">
        <v>1217</v>
      </c>
      <c r="D412" s="23">
        <f>Source!BS86</f>
        <v>6.71</v>
      </c>
    </row>
    <row r="413" spans="1:28" x14ac:dyDescent="0.2">
      <c r="C413" s="23" t="s">
        <v>1224</v>
      </c>
      <c r="D413" s="89" t="s">
        <v>103</v>
      </c>
      <c r="E413" s="89"/>
      <c r="F413" s="89"/>
      <c r="G413" s="89"/>
      <c r="H413" s="89"/>
    </row>
    <row r="414" spans="1:28" x14ac:dyDescent="0.2">
      <c r="C414" s="23" t="s">
        <v>1225</v>
      </c>
      <c r="D414" s="89" t="s">
        <v>103</v>
      </c>
      <c r="E414" s="89"/>
      <c r="F414" s="89"/>
      <c r="G414" s="89"/>
      <c r="H414" s="89"/>
    </row>
    <row r="415" spans="1:28" x14ac:dyDescent="0.2">
      <c r="C415" s="23" t="s">
        <v>1226</v>
      </c>
      <c r="D415" s="89" t="s">
        <v>104</v>
      </c>
      <c r="E415" s="89"/>
      <c r="F415" s="89"/>
      <c r="G415" s="89"/>
      <c r="H415" s="89"/>
    </row>
    <row r="416" spans="1:28" x14ac:dyDescent="0.2">
      <c r="C416" s="23" t="s">
        <v>1227</v>
      </c>
      <c r="D416" s="89" t="s">
        <v>104</v>
      </c>
      <c r="E416" s="89"/>
      <c r="F416" s="89"/>
      <c r="G416" s="89"/>
      <c r="H416" s="89"/>
    </row>
    <row r="417" spans="1:28" x14ac:dyDescent="0.2">
      <c r="C417" s="23" t="s">
        <v>1228</v>
      </c>
      <c r="D417" s="89" t="s">
        <v>103</v>
      </c>
      <c r="E417" s="89"/>
      <c r="F417" s="89"/>
      <c r="G417" s="89"/>
      <c r="H417" s="89"/>
    </row>
    <row r="418" spans="1:28" x14ac:dyDescent="0.2">
      <c r="C418" s="9" t="s">
        <v>1218</v>
      </c>
      <c r="D418" s="34"/>
      <c r="E418" s="34"/>
      <c r="F418" s="34">
        <f>Source!BZ86</f>
        <v>105</v>
      </c>
      <c r="G418" s="57">
        <f>(Source!AF86+Source!AE86)*Source!FX86/100</f>
        <v>171.05445000000003</v>
      </c>
      <c r="H418" s="57">
        <f>Source!X86</f>
        <v>3092.31</v>
      </c>
    </row>
    <row r="419" spans="1:28" x14ac:dyDescent="0.2">
      <c r="C419" s="9" t="s">
        <v>1219</v>
      </c>
      <c r="D419" s="34"/>
      <c r="E419" s="34"/>
      <c r="F419" s="34"/>
      <c r="G419" s="34" t="str">
        <f>CONCATENATE(Source!DL86,Source!FT86, "=", Source!FX86, "%")</f>
        <v>*0,9=94,5%</v>
      </c>
      <c r="H419" s="34" t="str">
        <f>CONCATENATE(Source!AT86)</f>
        <v>95</v>
      </c>
    </row>
    <row r="420" spans="1:28" x14ac:dyDescent="0.2">
      <c r="C420" s="9" t="s">
        <v>1220</v>
      </c>
      <c r="D420" s="34"/>
      <c r="E420" s="34"/>
      <c r="F420" s="34">
        <f>Source!CA86</f>
        <v>55</v>
      </c>
      <c r="G420" s="57">
        <f>(Source!AF86+Source!AE86)*Source!FY86/100</f>
        <v>84.622175000000013</v>
      </c>
      <c r="H420" s="57">
        <f>Source!Y86</f>
        <v>1529.88</v>
      </c>
    </row>
    <row r="421" spans="1:28" x14ac:dyDescent="0.2">
      <c r="C421" s="9" t="s">
        <v>1221</v>
      </c>
      <c r="D421" s="34"/>
      <c r="E421" s="34"/>
      <c r="F421" s="34"/>
      <c r="G421" s="34" t="str">
        <f>CONCATENATE(Source!DM86,Source!FU86, "=", Source!FY86, "%")</f>
        <v>*0,85=46,75%</v>
      </c>
      <c r="H421" s="34" t="str">
        <f>CONCATENATE(Source!AU86)</f>
        <v>47</v>
      </c>
    </row>
    <row r="422" spans="1:28" x14ac:dyDescent="0.2">
      <c r="C422" s="9" t="s">
        <v>1222</v>
      </c>
      <c r="D422" s="34"/>
      <c r="E422" s="34"/>
      <c r="F422" s="34"/>
      <c r="G422" s="57">
        <f>((Source!AF86+Source!AE86)*Source!FX86/100)+((Source!AF86+Source!AE86)*Source!FY86/100)+Source!AB86</f>
        <v>438.60662500000007</v>
      </c>
      <c r="H422" s="57">
        <f>Source!O86+Source!X86+Source!Y86</f>
        <v>7911.78</v>
      </c>
    </row>
    <row r="423" spans="1:28" ht="14.25" x14ac:dyDescent="0.2">
      <c r="A423" s="46">
        <v>60</v>
      </c>
      <c r="B423" s="46" t="str">
        <f>Source!E87</f>
        <v>23,1</v>
      </c>
      <c r="C423" s="46" t="str">
        <f>Source!G87</f>
        <v>Грунтовка</v>
      </c>
      <c r="D423" s="46" t="str">
        <f>Source!F87</f>
        <v>14.4.01.21</v>
      </c>
      <c r="E423" s="31" t="str">
        <f>Source!H87</f>
        <v>т</v>
      </c>
      <c r="F423" s="12">
        <f>Source!I87</f>
        <v>5.3600000000000002E-2</v>
      </c>
      <c r="G423" s="22">
        <f>Source!AB87</f>
        <v>0</v>
      </c>
      <c r="H423" s="22">
        <f>Source!O87</f>
        <v>0</v>
      </c>
      <c r="T423">
        <f>Source!O87+Source!X87+Source!Y87</f>
        <v>0</v>
      </c>
      <c r="U423">
        <f>Source!P87</f>
        <v>0</v>
      </c>
      <c r="V423">
        <f>Source!S87</f>
        <v>0</v>
      </c>
      <c r="W423">
        <f>Source!Q87</f>
        <v>0</v>
      </c>
      <c r="X423">
        <f>Source!R87</f>
        <v>0</v>
      </c>
      <c r="Y423">
        <f>Source!U87</f>
        <v>0</v>
      </c>
      <c r="Z423">
        <f>Source!V87</f>
        <v>0</v>
      </c>
      <c r="AA423">
        <f>Source!X87</f>
        <v>0</v>
      </c>
      <c r="AB423">
        <f>Source!Y87</f>
        <v>0</v>
      </c>
    </row>
    <row r="424" spans="1:28" ht="14.25" x14ac:dyDescent="0.2">
      <c r="C424" s="23" t="s">
        <v>1216</v>
      </c>
      <c r="D424" s="23">
        <f>Source!BC87</f>
        <v>6.71</v>
      </c>
      <c r="F424" s="12"/>
      <c r="G424" s="12"/>
      <c r="H424" s="12"/>
    </row>
    <row r="425" spans="1:28" ht="28.5" x14ac:dyDescent="0.2">
      <c r="A425" s="46">
        <v>61</v>
      </c>
      <c r="B425" s="46" t="str">
        <f>Source!E88</f>
        <v>23,2</v>
      </c>
      <c r="C425" s="46" t="str">
        <f>Source!G88</f>
        <v>Грунтовка: «Бетоконтакт», КНАУФ</v>
      </c>
      <c r="D425" s="46" t="str">
        <f>Source!F88</f>
        <v>14.3.01.01-0001</v>
      </c>
      <c r="E425" s="31" t="str">
        <f>Source!H88</f>
        <v>кг</v>
      </c>
      <c r="F425" s="12">
        <f>Source!I88</f>
        <v>53.6</v>
      </c>
      <c r="G425" s="22">
        <f>Source!AB88</f>
        <v>15.09</v>
      </c>
      <c r="H425" s="22">
        <f>Source!O88</f>
        <v>5427.21</v>
      </c>
      <c r="T425">
        <f>Source!O88+Source!X88+Source!Y88</f>
        <v>5427.21</v>
      </c>
      <c r="U425">
        <f>Source!P88</f>
        <v>5427.21</v>
      </c>
      <c r="V425">
        <f>Source!S88</f>
        <v>0</v>
      </c>
      <c r="W425">
        <f>Source!Q88</f>
        <v>0</v>
      </c>
      <c r="X425">
        <f>Source!R88</f>
        <v>0</v>
      </c>
      <c r="Y425">
        <f>Source!U88</f>
        <v>0</v>
      </c>
      <c r="Z425">
        <f>Source!V88</f>
        <v>0</v>
      </c>
      <c r="AA425">
        <f>Source!X88</f>
        <v>0</v>
      </c>
      <c r="AB425">
        <f>Source!Y88</f>
        <v>0</v>
      </c>
    </row>
    <row r="426" spans="1:28" ht="14.25" x14ac:dyDescent="0.2">
      <c r="C426" s="23" t="s">
        <v>1216</v>
      </c>
      <c r="D426" s="23">
        <f>Source!BC88</f>
        <v>6.71</v>
      </c>
      <c r="F426" s="12"/>
      <c r="G426" s="12"/>
      <c r="H426" s="12"/>
    </row>
    <row r="427" spans="1:28" ht="42.75" x14ac:dyDescent="0.2">
      <c r="A427" s="46">
        <v>62</v>
      </c>
      <c r="B427" s="46" t="str">
        <f>Source!E89</f>
        <v>24</v>
      </c>
      <c r="C427" s="46" t="str">
        <f>Source!G89</f>
        <v>Оклейка обоями стен по монолитной штукатурке и бетону простыми и средней плотности</v>
      </c>
      <c r="D427" s="46" t="str">
        <f>Source!F89</f>
        <v>15-06-001-01</v>
      </c>
      <c r="E427" s="31" t="str">
        <f>Source!H89</f>
        <v>100 м2</v>
      </c>
      <c r="F427" s="12">
        <f>Source!I89</f>
        <v>2.68</v>
      </c>
      <c r="G427" s="22">
        <f>Source!AB89</f>
        <v>464.81</v>
      </c>
      <c r="H427" s="22">
        <f>Source!O89</f>
        <v>8358.59</v>
      </c>
      <c r="T427">
        <f>Source!O89+Source!X89+Source!Y89</f>
        <v>17116.78</v>
      </c>
      <c r="U427">
        <f>Source!P89</f>
        <v>2174.84</v>
      </c>
      <c r="V427">
        <f>Source!S89</f>
        <v>6161.81</v>
      </c>
      <c r="W427">
        <f>Source!Q89</f>
        <v>21.94</v>
      </c>
      <c r="X427">
        <f>Source!R89</f>
        <v>5.93</v>
      </c>
      <c r="Y427">
        <f>Source!U89</f>
        <v>103.64766000000002</v>
      </c>
      <c r="Z427">
        <f>Source!V89</f>
        <v>6.7000000000000004E-2</v>
      </c>
      <c r="AA427">
        <f>Source!X89</f>
        <v>5859.35</v>
      </c>
      <c r="AB427">
        <f>Source!Y89</f>
        <v>2898.84</v>
      </c>
    </row>
    <row r="428" spans="1:28" ht="14.25" x14ac:dyDescent="0.2">
      <c r="C428" s="23" t="str">
        <f>"Объем: "&amp;Source!I89&amp;"=268/"&amp;"100"</f>
        <v>Объем: 2,68=268/100</v>
      </c>
      <c r="F428" s="12"/>
      <c r="G428" s="12"/>
      <c r="H428" s="12"/>
    </row>
    <row r="429" spans="1:28" x14ac:dyDescent="0.2">
      <c r="C429" s="23" t="s">
        <v>1214</v>
      </c>
      <c r="D429" s="23">
        <f>Source!BA89</f>
        <v>6.71</v>
      </c>
    </row>
    <row r="430" spans="1:28" x14ac:dyDescent="0.2">
      <c r="C430" s="23" t="s">
        <v>1215</v>
      </c>
      <c r="D430" s="23">
        <f>Source!BB89</f>
        <v>6.71</v>
      </c>
    </row>
    <row r="431" spans="1:28" x14ac:dyDescent="0.2">
      <c r="C431" s="23" t="s">
        <v>1216</v>
      </c>
      <c r="D431" s="23">
        <f>Source!BC89</f>
        <v>6.71</v>
      </c>
    </row>
    <row r="432" spans="1:28" x14ac:dyDescent="0.2">
      <c r="C432" s="23" t="s">
        <v>1217</v>
      </c>
      <c r="D432" s="23">
        <f>Source!BS89</f>
        <v>6.71</v>
      </c>
    </row>
    <row r="433" spans="1:28" x14ac:dyDescent="0.2">
      <c r="C433" s="23" t="s">
        <v>1224</v>
      </c>
      <c r="D433" s="89" t="s">
        <v>103</v>
      </c>
      <c r="E433" s="89"/>
      <c r="F433" s="89"/>
      <c r="G433" s="89"/>
      <c r="H433" s="89"/>
    </row>
    <row r="434" spans="1:28" x14ac:dyDescent="0.2">
      <c r="C434" s="23" t="s">
        <v>1225</v>
      </c>
      <c r="D434" s="89" t="s">
        <v>103</v>
      </c>
      <c r="E434" s="89"/>
      <c r="F434" s="89"/>
      <c r="G434" s="89"/>
      <c r="H434" s="89"/>
    </row>
    <row r="435" spans="1:28" x14ac:dyDescent="0.2">
      <c r="C435" s="23" t="s">
        <v>1226</v>
      </c>
      <c r="D435" s="89" t="s">
        <v>104</v>
      </c>
      <c r="E435" s="89"/>
      <c r="F435" s="89"/>
      <c r="G435" s="89"/>
      <c r="H435" s="89"/>
    </row>
    <row r="436" spans="1:28" x14ac:dyDescent="0.2">
      <c r="C436" s="23" t="s">
        <v>1227</v>
      </c>
      <c r="D436" s="89" t="s">
        <v>104</v>
      </c>
      <c r="E436" s="89"/>
      <c r="F436" s="89"/>
      <c r="G436" s="89"/>
      <c r="H436" s="89"/>
    </row>
    <row r="437" spans="1:28" x14ac:dyDescent="0.2">
      <c r="C437" s="23" t="s">
        <v>1228</v>
      </c>
      <c r="D437" s="89" t="s">
        <v>103</v>
      </c>
      <c r="E437" s="89"/>
      <c r="F437" s="89"/>
      <c r="G437" s="89"/>
      <c r="H437" s="89"/>
    </row>
    <row r="438" spans="1:28" x14ac:dyDescent="0.2">
      <c r="C438" s="9" t="s">
        <v>1218</v>
      </c>
      <c r="D438" s="34"/>
      <c r="E438" s="34"/>
      <c r="F438" s="34">
        <f>Source!BZ89</f>
        <v>105</v>
      </c>
      <c r="G438" s="57">
        <f>(Source!AF89+Source!AE89)*Source!FX89/100</f>
        <v>324.11609999999996</v>
      </c>
      <c r="H438" s="57">
        <f>Source!X89</f>
        <v>5859.35</v>
      </c>
    </row>
    <row r="439" spans="1:28" x14ac:dyDescent="0.2">
      <c r="C439" s="9" t="s">
        <v>1219</v>
      </c>
      <c r="D439" s="34"/>
      <c r="E439" s="34"/>
      <c r="F439" s="34"/>
      <c r="G439" s="34" t="str">
        <f>CONCATENATE(Source!DL89,Source!FT89, "=", Source!FX89, "%")</f>
        <v>*0,9=94,5%</v>
      </c>
      <c r="H439" s="34" t="str">
        <f>CONCATENATE(Source!AT89)</f>
        <v>95</v>
      </c>
    </row>
    <row r="440" spans="1:28" x14ac:dyDescent="0.2">
      <c r="C440" s="9" t="s">
        <v>1220</v>
      </c>
      <c r="D440" s="34"/>
      <c r="E440" s="34"/>
      <c r="F440" s="34">
        <f>Source!CA89</f>
        <v>55</v>
      </c>
      <c r="G440" s="57">
        <f>(Source!AF89+Source!AE89)*Source!FY89/100</f>
        <v>160.34314999999998</v>
      </c>
      <c r="H440" s="57">
        <f>Source!Y89</f>
        <v>2898.84</v>
      </c>
    </row>
    <row r="441" spans="1:28" x14ac:dyDescent="0.2">
      <c r="C441" s="9" t="s">
        <v>1221</v>
      </c>
      <c r="D441" s="34"/>
      <c r="E441" s="34"/>
      <c r="F441" s="34"/>
      <c r="G441" s="34" t="str">
        <f>CONCATENATE(Source!DM89,Source!FU89, "=", Source!FY89, "%")</f>
        <v>*0,85=46,75%</v>
      </c>
      <c r="H441" s="34" t="str">
        <f>CONCATENATE(Source!AU89)</f>
        <v>47</v>
      </c>
    </row>
    <row r="442" spans="1:28" x14ac:dyDescent="0.2">
      <c r="C442" s="9" t="s">
        <v>1222</v>
      </c>
      <c r="D442" s="34"/>
      <c r="E442" s="34"/>
      <c r="F442" s="34"/>
      <c r="G442" s="57">
        <f>((Source!AF89+Source!AE89)*Source!FX89/100)+((Source!AF89+Source!AE89)*Source!FY89/100)+Source!AB89</f>
        <v>949.26924999999994</v>
      </c>
      <c r="H442" s="57">
        <f>Source!O89+Source!X89+Source!Y89</f>
        <v>17116.78</v>
      </c>
    </row>
    <row r="443" spans="1:28" ht="14.25" x14ac:dyDescent="0.2">
      <c r="A443" s="46">
        <v>63</v>
      </c>
      <c r="B443" s="46" t="str">
        <f>Source!E90</f>
        <v>24,1</v>
      </c>
      <c r="C443" s="46" t="str">
        <f>Source!G90</f>
        <v>Обои</v>
      </c>
      <c r="D443" s="46" t="str">
        <f>Source!F90</f>
        <v>01.6.02.01</v>
      </c>
      <c r="E443" s="31" t="str">
        <f>Source!H90</f>
        <v>100 м2</v>
      </c>
      <c r="F443" s="12">
        <f>Source!I90</f>
        <v>3.0284</v>
      </c>
      <c r="G443" s="22">
        <f>Source!AB90</f>
        <v>0</v>
      </c>
      <c r="H443" s="22">
        <f>Source!O90</f>
        <v>0</v>
      </c>
      <c r="T443">
        <f>Source!O90+Source!X90+Source!Y90</f>
        <v>0</v>
      </c>
      <c r="U443">
        <f>Source!P90</f>
        <v>0</v>
      </c>
      <c r="V443">
        <f>Source!S90</f>
        <v>0</v>
      </c>
      <c r="W443">
        <f>Source!Q90</f>
        <v>0</v>
      </c>
      <c r="X443">
        <f>Source!R90</f>
        <v>0</v>
      </c>
      <c r="Y443">
        <f>Source!U90</f>
        <v>0</v>
      </c>
      <c r="Z443">
        <f>Source!V90</f>
        <v>0</v>
      </c>
      <c r="AA443">
        <f>Source!X90</f>
        <v>0</v>
      </c>
      <c r="AB443">
        <f>Source!Y90</f>
        <v>0</v>
      </c>
    </row>
    <row r="444" spans="1:28" ht="14.25" x14ac:dyDescent="0.2">
      <c r="C444" s="23" t="s">
        <v>1216</v>
      </c>
      <c r="D444" s="23">
        <f>Source!BC90</f>
        <v>6.71</v>
      </c>
      <c r="F444" s="12"/>
      <c r="G444" s="12"/>
      <c r="H444" s="12"/>
    </row>
    <row r="445" spans="1:28" ht="28.5" x14ac:dyDescent="0.2">
      <c r="A445" s="46">
        <v>64</v>
      </c>
      <c r="B445" s="46" t="str">
        <f>Source!E91</f>
        <v>24,2</v>
      </c>
      <c r="C445" s="46" t="str">
        <f>Source!G91</f>
        <v>Стеклообои TASSOGLAS, елочка</v>
      </c>
      <c r="D445" s="46" t="str">
        <f>Source!F91</f>
        <v>01.6.02.02-0002</v>
      </c>
      <c r="E445" s="31" t="str">
        <f>Source!H91</f>
        <v>10 м2</v>
      </c>
      <c r="F445" s="12">
        <f>Source!I91</f>
        <v>30.283999999999999</v>
      </c>
      <c r="G445" s="22">
        <f>Source!AB91</f>
        <v>110.35</v>
      </c>
      <c r="H445" s="22">
        <f>Source!O91</f>
        <v>22423.74</v>
      </c>
      <c r="T445">
        <f>Source!O91+Source!X91+Source!Y91</f>
        <v>22423.74</v>
      </c>
      <c r="U445">
        <f>Source!P91</f>
        <v>22423.74</v>
      </c>
      <c r="V445">
        <f>Source!S91</f>
        <v>0</v>
      </c>
      <c r="W445">
        <f>Source!Q91</f>
        <v>0</v>
      </c>
      <c r="X445">
        <f>Source!R91</f>
        <v>0</v>
      </c>
      <c r="Y445">
        <f>Source!U91</f>
        <v>0</v>
      </c>
      <c r="Z445">
        <f>Source!V91</f>
        <v>0</v>
      </c>
      <c r="AA445">
        <f>Source!X91</f>
        <v>0</v>
      </c>
      <c r="AB445">
        <f>Source!Y91</f>
        <v>0</v>
      </c>
    </row>
    <row r="446" spans="1:28" ht="14.25" x14ac:dyDescent="0.2">
      <c r="C446" s="23" t="s">
        <v>1216</v>
      </c>
      <c r="D446" s="23">
        <f>Source!BC91</f>
        <v>6.71</v>
      </c>
      <c r="F446" s="12"/>
      <c r="G446" s="12"/>
      <c r="H446" s="12"/>
    </row>
    <row r="447" spans="1:28" ht="71.25" x14ac:dyDescent="0.2">
      <c r="A447" s="46">
        <v>65</v>
      </c>
      <c r="B447" s="46" t="str">
        <f>Source!E92</f>
        <v>25</v>
      </c>
      <c r="C447" s="46" t="str">
        <f>Source!G92</f>
        <v>Окраска поливинилацетатными водоэмульсионными составами улучшенная по сборным конструкциям стен, подготовленным под окраску(обои)</v>
      </c>
      <c r="D447" s="46" t="str">
        <f>Source!F92</f>
        <v>15-04-005-05</v>
      </c>
      <c r="E447" s="31" t="str">
        <f>Source!H92</f>
        <v>100 м2</v>
      </c>
      <c r="F447" s="12">
        <f>Source!I92</f>
        <v>2.68</v>
      </c>
      <c r="G447" s="22">
        <f>Source!AB92</f>
        <v>317.58999999999997</v>
      </c>
      <c r="H447" s="22">
        <f>Source!O92</f>
        <v>5711.16</v>
      </c>
      <c r="T447">
        <f>Source!O92+Source!X92+Source!Y92</f>
        <v>11564.68</v>
      </c>
      <c r="U447">
        <f>Source!P92</f>
        <v>1488.62</v>
      </c>
      <c r="V447">
        <f>Source!S92</f>
        <v>4098.82</v>
      </c>
      <c r="W447">
        <f>Source!Q92</f>
        <v>123.72</v>
      </c>
      <c r="X447">
        <f>Source!R92</f>
        <v>23.38</v>
      </c>
      <c r="Y447">
        <f>Source!U92</f>
        <v>68.098800000000011</v>
      </c>
      <c r="Z447">
        <f>Source!V92</f>
        <v>0.29480000000000001</v>
      </c>
      <c r="AA447">
        <f>Source!X92</f>
        <v>3916.09</v>
      </c>
      <c r="AB447">
        <f>Source!Y92</f>
        <v>1937.43</v>
      </c>
    </row>
    <row r="448" spans="1:28" ht="14.25" x14ac:dyDescent="0.2">
      <c r="C448" s="23" t="str">
        <f>"Объем: "&amp;Source!I92&amp;"=268/"&amp;"100"</f>
        <v>Объем: 2,68=268/100</v>
      </c>
      <c r="F448" s="12"/>
      <c r="G448" s="12"/>
      <c r="H448" s="12"/>
    </row>
    <row r="449" spans="1:28" x14ac:dyDescent="0.2">
      <c r="C449" s="23" t="s">
        <v>1214</v>
      </c>
      <c r="D449" s="23">
        <f>Source!BA92</f>
        <v>6.71</v>
      </c>
    </row>
    <row r="450" spans="1:28" x14ac:dyDescent="0.2">
      <c r="C450" s="23" t="s">
        <v>1215</v>
      </c>
      <c r="D450" s="23">
        <f>Source!BB92</f>
        <v>6.71</v>
      </c>
    </row>
    <row r="451" spans="1:28" x14ac:dyDescent="0.2">
      <c r="C451" s="23" t="s">
        <v>1216</v>
      </c>
      <c r="D451" s="23">
        <f>Source!BC92</f>
        <v>6.71</v>
      </c>
    </row>
    <row r="452" spans="1:28" x14ac:dyDescent="0.2">
      <c r="C452" s="23" t="s">
        <v>1217</v>
      </c>
      <c r="D452" s="23">
        <f>Source!BS92</f>
        <v>6.71</v>
      </c>
    </row>
    <row r="453" spans="1:28" x14ac:dyDescent="0.2">
      <c r="C453" s="9" t="s">
        <v>1218</v>
      </c>
      <c r="D453" s="34"/>
      <c r="E453" s="34"/>
      <c r="F453" s="34">
        <f>Source!BZ92</f>
        <v>105</v>
      </c>
      <c r="G453" s="57">
        <f>(Source!AF92+Source!AE92)*Source!FX92/100</f>
        <v>216.62235000000001</v>
      </c>
      <c r="H453" s="57">
        <f>Source!X92</f>
        <v>3916.09</v>
      </c>
    </row>
    <row r="454" spans="1:28" x14ac:dyDescent="0.2">
      <c r="C454" s="9" t="s">
        <v>1219</v>
      </c>
      <c r="D454" s="34"/>
      <c r="E454" s="34"/>
      <c r="F454" s="34"/>
      <c r="G454" s="34" t="str">
        <f>CONCATENATE(Source!DL92,Source!FT92, "=", Source!FX92, "%")</f>
        <v>*0,9=94,5%</v>
      </c>
      <c r="H454" s="34" t="str">
        <f>CONCATENATE(Source!AT92)</f>
        <v>95</v>
      </c>
    </row>
    <row r="455" spans="1:28" x14ac:dyDescent="0.2">
      <c r="C455" s="9" t="s">
        <v>1220</v>
      </c>
      <c r="D455" s="34"/>
      <c r="E455" s="34"/>
      <c r="F455" s="34">
        <f>Source!CA92</f>
        <v>55</v>
      </c>
      <c r="G455" s="57">
        <f>(Source!AF92+Source!AE92)*Source!FY92/100</f>
        <v>107.165025</v>
      </c>
      <c r="H455" s="57">
        <f>Source!Y92</f>
        <v>1937.43</v>
      </c>
    </row>
    <row r="456" spans="1:28" x14ac:dyDescent="0.2">
      <c r="C456" s="9" t="s">
        <v>1221</v>
      </c>
      <c r="D456" s="34"/>
      <c r="E456" s="34"/>
      <c r="F456" s="34"/>
      <c r="G456" s="34" t="str">
        <f>CONCATENATE(Source!DM92,Source!FU92, "=", Source!FY92, "%")</f>
        <v>*0,85=46,75%</v>
      </c>
      <c r="H456" s="34" t="str">
        <f>CONCATENATE(Source!AU92)</f>
        <v>47</v>
      </c>
    </row>
    <row r="457" spans="1:28" x14ac:dyDescent="0.2">
      <c r="C457" s="9" t="s">
        <v>1222</v>
      </c>
      <c r="D457" s="34"/>
      <c r="E457" s="34"/>
      <c r="F457" s="34"/>
      <c r="G457" s="57">
        <f>((Source!AF92+Source!AE92)*Source!FX92/100)+((Source!AF92+Source!AE92)*Source!FY92/100)+Source!AB92</f>
        <v>641.37737500000003</v>
      </c>
      <c r="H457" s="57">
        <f>Source!O92+Source!X92+Source!Y92</f>
        <v>11564.68</v>
      </c>
    </row>
    <row r="458" spans="1:28" ht="14.25" x14ac:dyDescent="0.2">
      <c r="A458" s="46">
        <v>66</v>
      </c>
      <c r="B458" s="46" t="str">
        <f>Source!E93</f>
        <v>25,1</v>
      </c>
      <c r="C458" s="46" t="str">
        <f>Source!G93</f>
        <v>Краска водоэмульсионная</v>
      </c>
      <c r="D458" s="46" t="str">
        <f>Source!F93</f>
        <v>14.3.02.01</v>
      </c>
      <c r="E458" s="31" t="str">
        <f>Source!H93</f>
        <v>т</v>
      </c>
      <c r="F458" s="12">
        <f>Source!I93</f>
        <v>0.16883999999999996</v>
      </c>
      <c r="G458" s="22">
        <f>Source!AB93</f>
        <v>0</v>
      </c>
      <c r="H458" s="22">
        <f>Source!O93</f>
        <v>0</v>
      </c>
      <c r="T458">
        <f>Source!O93+Source!X93+Source!Y93</f>
        <v>0</v>
      </c>
      <c r="U458">
        <f>Source!P93</f>
        <v>0</v>
      </c>
      <c r="V458">
        <f>Source!S93</f>
        <v>0</v>
      </c>
      <c r="W458">
        <f>Source!Q93</f>
        <v>0</v>
      </c>
      <c r="X458">
        <f>Source!R93</f>
        <v>0</v>
      </c>
      <c r="Y458">
        <f>Source!U93</f>
        <v>0</v>
      </c>
      <c r="Z458">
        <f>Source!V93</f>
        <v>0</v>
      </c>
      <c r="AA458">
        <f>Source!X93</f>
        <v>0</v>
      </c>
      <c r="AB458">
        <f>Source!Y93</f>
        <v>0</v>
      </c>
    </row>
    <row r="459" spans="1:28" ht="14.25" x14ac:dyDescent="0.2">
      <c r="C459" s="23" t="s">
        <v>1216</v>
      </c>
      <c r="D459" s="23">
        <f>Source!BC93</f>
        <v>6.71</v>
      </c>
      <c r="F459" s="12"/>
      <c r="G459" s="12"/>
      <c r="H459" s="12"/>
    </row>
    <row r="460" spans="1:28" ht="28.5" x14ac:dyDescent="0.2">
      <c r="A460" s="46">
        <v>67</v>
      </c>
      <c r="B460" s="46" t="str">
        <f>Source!E94</f>
        <v>25,2</v>
      </c>
      <c r="C460" s="46" t="str">
        <f>Source!G94</f>
        <v>Краска водоэмульсионная для внутренних работ ВАК-15</v>
      </c>
      <c r="D460" s="46" t="str">
        <f>Source!F94</f>
        <v>14.3.02.01-0223</v>
      </c>
      <c r="E460" s="31" t="str">
        <f>Source!H94</f>
        <v>т</v>
      </c>
      <c r="F460" s="12">
        <f>Source!I94</f>
        <v>0.16883999999999996</v>
      </c>
      <c r="G460" s="22">
        <f>Source!AB94</f>
        <v>19973.669999999998</v>
      </c>
      <c r="H460" s="22">
        <f>Source!O94</f>
        <v>22628.5</v>
      </c>
      <c r="T460">
        <f>Source!O94+Source!X94+Source!Y94</f>
        <v>22628.5</v>
      </c>
      <c r="U460">
        <f>Source!P94</f>
        <v>22628.5</v>
      </c>
      <c r="V460">
        <f>Source!S94</f>
        <v>0</v>
      </c>
      <c r="W460">
        <f>Source!Q94</f>
        <v>0</v>
      </c>
      <c r="X460">
        <f>Source!R94</f>
        <v>0</v>
      </c>
      <c r="Y460">
        <f>Source!U94</f>
        <v>0</v>
      </c>
      <c r="Z460">
        <f>Source!V94</f>
        <v>0</v>
      </c>
      <c r="AA460">
        <f>Source!X94</f>
        <v>0</v>
      </c>
      <c r="AB460">
        <f>Source!Y94</f>
        <v>0</v>
      </c>
    </row>
    <row r="461" spans="1:28" ht="14.25" x14ac:dyDescent="0.2">
      <c r="C461" s="23" t="s">
        <v>1216</v>
      </c>
      <c r="D461" s="23">
        <f>Source!BC94</f>
        <v>6.71</v>
      </c>
      <c r="F461" s="12"/>
      <c r="G461" s="12"/>
      <c r="H461" s="12"/>
    </row>
    <row r="462" spans="1:28" ht="28.5" x14ac:dyDescent="0.2">
      <c r="A462" s="46">
        <v>68</v>
      </c>
      <c r="B462" s="46" t="str">
        <f>Source!E95</f>
        <v>26</v>
      </c>
      <c r="C462" s="46" t="str">
        <f>Source!G95</f>
        <v>Вторая окраска стен, оклееных стеклообоями, красками</v>
      </c>
      <c r="D462" s="46" t="str">
        <f>Source!F95</f>
        <v>15-06-004-01</v>
      </c>
      <c r="E462" s="31" t="str">
        <f>Source!H95</f>
        <v>100 м2</v>
      </c>
      <c r="F462" s="12">
        <f>Source!I95</f>
        <v>2.68</v>
      </c>
      <c r="G462" s="22">
        <f>Source!AB95</f>
        <v>80.62</v>
      </c>
      <c r="H462" s="22">
        <f>Source!O95</f>
        <v>1449.77</v>
      </c>
      <c r="T462">
        <f>Source!O95+Source!X95+Source!Y95</f>
        <v>3508.44</v>
      </c>
      <c r="U462">
        <f>Source!P95</f>
        <v>0</v>
      </c>
      <c r="V462">
        <f>Source!S95</f>
        <v>1449.77</v>
      </c>
      <c r="W462">
        <f>Source!Q95</f>
        <v>0</v>
      </c>
      <c r="X462">
        <f>Source!R95</f>
        <v>0</v>
      </c>
      <c r="Y462">
        <f>Source!U95</f>
        <v>22.458400000000005</v>
      </c>
      <c r="Z462">
        <f>Source!V95</f>
        <v>0</v>
      </c>
      <c r="AA462">
        <f>Source!X95</f>
        <v>1377.28</v>
      </c>
      <c r="AB462">
        <f>Source!Y95</f>
        <v>681.39</v>
      </c>
    </row>
    <row r="463" spans="1:28" ht="14.25" x14ac:dyDescent="0.2">
      <c r="C463" s="23" t="str">
        <f>"Объем: "&amp;Source!I95&amp;"=268/"&amp;"100"</f>
        <v>Объем: 2,68=268/100</v>
      </c>
      <c r="F463" s="12"/>
      <c r="G463" s="12"/>
      <c r="H463" s="12"/>
    </row>
    <row r="464" spans="1:28" x14ac:dyDescent="0.2">
      <c r="C464" s="23" t="s">
        <v>1214</v>
      </c>
      <c r="D464" s="23">
        <f>Source!BA95</f>
        <v>6.71</v>
      </c>
    </row>
    <row r="465" spans="1:28" x14ac:dyDescent="0.2">
      <c r="C465" s="23" t="s">
        <v>1215</v>
      </c>
      <c r="D465" s="23">
        <f>Source!BB95</f>
        <v>6.71</v>
      </c>
    </row>
    <row r="466" spans="1:28" x14ac:dyDescent="0.2">
      <c r="C466" s="23" t="s">
        <v>1216</v>
      </c>
      <c r="D466" s="23">
        <f>Source!BC95</f>
        <v>6.71</v>
      </c>
    </row>
    <row r="467" spans="1:28" x14ac:dyDescent="0.2">
      <c r="C467" s="23" t="s">
        <v>1217</v>
      </c>
      <c r="D467" s="23">
        <f>Source!BS95</f>
        <v>6.71</v>
      </c>
    </row>
    <row r="468" spans="1:28" x14ac:dyDescent="0.2">
      <c r="C468" s="9" t="s">
        <v>1218</v>
      </c>
      <c r="D468" s="34"/>
      <c r="E468" s="34"/>
      <c r="F468" s="34">
        <f>Source!BZ95</f>
        <v>105</v>
      </c>
      <c r="G468" s="57">
        <f>(Source!AF95+Source!AE95)*Source!FX95/100</f>
        <v>76.185900000000004</v>
      </c>
      <c r="H468" s="57">
        <f>Source!X95</f>
        <v>1377.28</v>
      </c>
    </row>
    <row r="469" spans="1:28" x14ac:dyDescent="0.2">
      <c r="C469" s="9" t="s">
        <v>1219</v>
      </c>
      <c r="D469" s="34"/>
      <c r="E469" s="34"/>
      <c r="F469" s="34"/>
      <c r="G469" s="34" t="str">
        <f>CONCATENATE(Source!DL95,Source!FT95, "=", Source!FX95, "%")</f>
        <v>*0,9=94,5%</v>
      </c>
      <c r="H469" s="34" t="str">
        <f>CONCATENATE(Source!AT95)</f>
        <v>95</v>
      </c>
    </row>
    <row r="470" spans="1:28" x14ac:dyDescent="0.2">
      <c r="C470" s="9" t="s">
        <v>1220</v>
      </c>
      <c r="D470" s="34"/>
      <c r="E470" s="34"/>
      <c r="F470" s="34">
        <f>Source!CA95</f>
        <v>55</v>
      </c>
      <c r="G470" s="57">
        <f>(Source!AF95+Source!AE95)*Source!FY95/100</f>
        <v>37.68985</v>
      </c>
      <c r="H470" s="57">
        <f>Source!Y95</f>
        <v>681.39</v>
      </c>
    </row>
    <row r="471" spans="1:28" x14ac:dyDescent="0.2">
      <c r="C471" s="9" t="s">
        <v>1221</v>
      </c>
      <c r="D471" s="34"/>
      <c r="E471" s="34"/>
      <c r="F471" s="34"/>
      <c r="G471" s="34" t="str">
        <f>CONCATENATE(Source!DM95,Source!FU95, "=", Source!FY95, "%")</f>
        <v>*0,85=46,75%</v>
      </c>
      <c r="H471" s="34" t="str">
        <f>CONCATENATE(Source!AU95)</f>
        <v>47</v>
      </c>
    </row>
    <row r="472" spans="1:28" x14ac:dyDescent="0.2">
      <c r="C472" s="9" t="s">
        <v>1222</v>
      </c>
      <c r="D472" s="34"/>
      <c r="E472" s="34"/>
      <c r="F472" s="34"/>
      <c r="G472" s="57">
        <f>((Source!AF95+Source!AE95)*Source!FX95/100)+((Source!AF95+Source!AE95)*Source!FY95/100)+Source!AB95</f>
        <v>194.49575000000002</v>
      </c>
      <c r="H472" s="57">
        <f>Source!O95+Source!X95+Source!Y95</f>
        <v>3508.44</v>
      </c>
    </row>
    <row r="473" spans="1:28" ht="28.5" x14ac:dyDescent="0.2">
      <c r="A473" s="46">
        <v>69</v>
      </c>
      <c r="B473" s="46" t="str">
        <f>Source!E96</f>
        <v>26,1</v>
      </c>
      <c r="C473" s="46" t="str">
        <f>Source!G96</f>
        <v>Краска водоэмульсионная для внутренних работ ВАК-15</v>
      </c>
      <c r="D473" s="46" t="str">
        <f>Source!F96</f>
        <v>14.3.02.01-0223</v>
      </c>
      <c r="E473" s="31" t="str">
        <f>Source!H96</f>
        <v>т</v>
      </c>
      <c r="F473" s="12">
        <f>Source!I96</f>
        <v>4.2880000000000001E-2</v>
      </c>
      <c r="G473" s="22">
        <f>Source!AB96</f>
        <v>19973.669999999998</v>
      </c>
      <c r="H473" s="22">
        <f>Source!O96</f>
        <v>5746.92</v>
      </c>
      <c r="T473">
        <f>Source!O96+Source!X96+Source!Y96</f>
        <v>5746.92</v>
      </c>
      <c r="U473">
        <f>Source!P96</f>
        <v>5746.92</v>
      </c>
      <c r="V473">
        <f>Source!S96</f>
        <v>0</v>
      </c>
      <c r="W473">
        <f>Source!Q96</f>
        <v>0</v>
      </c>
      <c r="X473">
        <f>Source!R96</f>
        <v>0</v>
      </c>
      <c r="Y473">
        <f>Source!U96</f>
        <v>0</v>
      </c>
      <c r="Z473">
        <f>Source!V96</f>
        <v>0</v>
      </c>
      <c r="AA473">
        <f>Source!X96</f>
        <v>0</v>
      </c>
      <c r="AB473">
        <f>Source!Y96</f>
        <v>0</v>
      </c>
    </row>
    <row r="474" spans="1:28" ht="14.25" x14ac:dyDescent="0.2">
      <c r="C474" s="23" t="s">
        <v>1216</v>
      </c>
      <c r="D474" s="23">
        <f>Source!BC96</f>
        <v>6.71</v>
      </c>
      <c r="F474" s="12"/>
      <c r="G474" s="12"/>
      <c r="H474" s="12"/>
    </row>
    <row r="475" spans="1:28" ht="14.25" x14ac:dyDescent="0.2">
      <c r="A475" s="46">
        <v>70</v>
      </c>
      <c r="B475" s="46" t="str">
        <f>Source!E97</f>
        <v>26,2</v>
      </c>
      <c r="C475" s="46" t="str">
        <f>Source!G97</f>
        <v>Краска</v>
      </c>
      <c r="D475" s="46" t="str">
        <f>Source!F97</f>
        <v>14.4.02.09</v>
      </c>
      <c r="E475" s="31" t="str">
        <f>Source!H97</f>
        <v>т</v>
      </c>
      <c r="F475" s="12">
        <f>Source!I97</f>
        <v>4.2880000000000001E-2</v>
      </c>
      <c r="G475" s="22">
        <f>Source!AB97</f>
        <v>0</v>
      </c>
      <c r="H475" s="22">
        <f>Source!O97</f>
        <v>0</v>
      </c>
      <c r="T475">
        <f>Source!O97+Source!X97+Source!Y97</f>
        <v>0</v>
      </c>
      <c r="U475">
        <f>Source!P97</f>
        <v>0</v>
      </c>
      <c r="V475">
        <f>Source!S97</f>
        <v>0</v>
      </c>
      <c r="W475">
        <f>Source!Q97</f>
        <v>0</v>
      </c>
      <c r="X475">
        <f>Source!R97</f>
        <v>0</v>
      </c>
      <c r="Y475">
        <f>Source!U97</f>
        <v>0</v>
      </c>
      <c r="Z475">
        <f>Source!V97</f>
        <v>0</v>
      </c>
      <c r="AA475">
        <f>Source!X97</f>
        <v>0</v>
      </c>
      <c r="AB475">
        <f>Source!Y97</f>
        <v>0</v>
      </c>
    </row>
    <row r="476" spans="1:28" ht="14.25" x14ac:dyDescent="0.2">
      <c r="C476" s="23" t="s">
        <v>1216</v>
      </c>
      <c r="D476" s="23">
        <f>Source!BC97</f>
        <v>6.71</v>
      </c>
      <c r="F476" s="12"/>
      <c r="G476" s="12"/>
      <c r="H476" s="12"/>
    </row>
    <row r="477" spans="1:28" ht="57" x14ac:dyDescent="0.2">
      <c r="A477" s="46">
        <v>71</v>
      </c>
      <c r="B477" s="46" t="str">
        <f>Source!E98</f>
        <v>27</v>
      </c>
      <c r="C477" s="46" t="str">
        <f>Source!G98</f>
        <v>Окраска поливинилацетатными водоэмульсионными составами улучшенная по штукатурке стен  ( оконных откосов)</v>
      </c>
      <c r="D477" s="46" t="str">
        <f>Source!F98</f>
        <v>15-04-005-03</v>
      </c>
      <c r="E477" s="31" t="str">
        <f>Source!H98</f>
        <v>100 м2</v>
      </c>
      <c r="F477" s="12">
        <f>Source!I98</f>
        <v>0.10725</v>
      </c>
      <c r="G477" s="22">
        <f>Source!AB98</f>
        <v>735.94</v>
      </c>
      <c r="H477" s="22">
        <f>Source!O98</f>
        <v>529.62</v>
      </c>
      <c r="T477">
        <f>Source!O98+Source!X98+Source!Y98</f>
        <v>984.42</v>
      </c>
      <c r="U477">
        <f>Source!P98</f>
        <v>201.72</v>
      </c>
      <c r="V477">
        <f>Source!S98</f>
        <v>318.47000000000003</v>
      </c>
      <c r="W477">
        <f>Source!Q98</f>
        <v>9.43</v>
      </c>
      <c r="X477">
        <f>Source!R98</f>
        <v>1.81</v>
      </c>
      <c r="Y477">
        <f>Source!U98</f>
        <v>5.2911787499999994</v>
      </c>
      <c r="Z477">
        <f>Source!V98</f>
        <v>2.2790625000000002E-2</v>
      </c>
      <c r="AA477">
        <f>Source!X98</f>
        <v>304.27</v>
      </c>
      <c r="AB477">
        <f>Source!Y98</f>
        <v>150.53</v>
      </c>
    </row>
    <row r="478" spans="1:28" ht="14.25" x14ac:dyDescent="0.2">
      <c r="C478" s="23" t="str">
        <f>"Объем: "&amp;Source!I98&amp;"=10,725/"&amp;"100"</f>
        <v>Объем: 0,10725=10,725/100</v>
      </c>
      <c r="F478" s="12"/>
      <c r="G478" s="12"/>
      <c r="H478" s="12"/>
    </row>
    <row r="479" spans="1:28" x14ac:dyDescent="0.2">
      <c r="C479" s="23" t="s">
        <v>1214</v>
      </c>
      <c r="D479" s="23">
        <f>Source!BA98</f>
        <v>6.71</v>
      </c>
    </row>
    <row r="480" spans="1:28" x14ac:dyDescent="0.2">
      <c r="C480" s="23" t="s">
        <v>1215</v>
      </c>
      <c r="D480" s="23">
        <f>Source!BB98</f>
        <v>6.71</v>
      </c>
    </row>
    <row r="481" spans="1:28" x14ac:dyDescent="0.2">
      <c r="C481" s="23" t="s">
        <v>1216</v>
      </c>
      <c r="D481" s="23">
        <f>Source!BC98</f>
        <v>6.71</v>
      </c>
    </row>
    <row r="482" spans="1:28" x14ac:dyDescent="0.2">
      <c r="C482" s="23" t="s">
        <v>1217</v>
      </c>
      <c r="D482" s="23">
        <f>Source!BS98</f>
        <v>6.71</v>
      </c>
    </row>
    <row r="483" spans="1:28" x14ac:dyDescent="0.2">
      <c r="C483" s="23" t="s">
        <v>1224</v>
      </c>
      <c r="D483" s="89" t="s">
        <v>103</v>
      </c>
      <c r="E483" s="89"/>
      <c r="F483" s="89"/>
      <c r="G483" s="89"/>
      <c r="H483" s="89"/>
    </row>
    <row r="484" spans="1:28" x14ac:dyDescent="0.2">
      <c r="C484" s="23" t="s">
        <v>1225</v>
      </c>
      <c r="D484" s="89" t="s">
        <v>103</v>
      </c>
      <c r="E484" s="89"/>
      <c r="F484" s="89"/>
      <c r="G484" s="89"/>
      <c r="H484" s="89"/>
    </row>
    <row r="485" spans="1:28" x14ac:dyDescent="0.2">
      <c r="C485" s="23" t="s">
        <v>1226</v>
      </c>
      <c r="D485" s="89" t="s">
        <v>104</v>
      </c>
      <c r="E485" s="89"/>
      <c r="F485" s="89"/>
      <c r="G485" s="89"/>
      <c r="H485" s="89"/>
    </row>
    <row r="486" spans="1:28" x14ac:dyDescent="0.2">
      <c r="C486" s="23" t="s">
        <v>1227</v>
      </c>
      <c r="D486" s="89" t="s">
        <v>104</v>
      </c>
      <c r="E486" s="89"/>
      <c r="F486" s="89"/>
      <c r="G486" s="89"/>
      <c r="H486" s="89"/>
    </row>
    <row r="487" spans="1:28" x14ac:dyDescent="0.2">
      <c r="C487" s="23" t="s">
        <v>1228</v>
      </c>
      <c r="D487" s="89" t="s">
        <v>103</v>
      </c>
      <c r="E487" s="89"/>
      <c r="F487" s="89"/>
      <c r="G487" s="89"/>
      <c r="H487" s="89"/>
    </row>
    <row r="488" spans="1:28" x14ac:dyDescent="0.2">
      <c r="C488" s="9" t="s">
        <v>1218</v>
      </c>
      <c r="D488" s="34"/>
      <c r="E488" s="34"/>
      <c r="F488" s="34">
        <f>Source!BZ98</f>
        <v>105</v>
      </c>
      <c r="G488" s="57">
        <f>(Source!AF98+Source!AE98)*Source!FX98/100</f>
        <v>420.56279999999998</v>
      </c>
      <c r="H488" s="57">
        <f>Source!X98</f>
        <v>304.27</v>
      </c>
    </row>
    <row r="489" spans="1:28" x14ac:dyDescent="0.2">
      <c r="C489" s="9" t="s">
        <v>1219</v>
      </c>
      <c r="D489" s="34"/>
      <c r="E489" s="34"/>
      <c r="F489" s="34"/>
      <c r="G489" s="34" t="str">
        <f>CONCATENATE(Source!DL98,Source!FT98, "=", Source!FX98, "%")</f>
        <v>*0,9=94,5%</v>
      </c>
      <c r="H489" s="34" t="str">
        <f>CONCATENATE(Source!AT98)</f>
        <v>95</v>
      </c>
    </row>
    <row r="490" spans="1:28" x14ac:dyDescent="0.2">
      <c r="C490" s="9" t="s">
        <v>1220</v>
      </c>
      <c r="D490" s="34"/>
      <c r="E490" s="34"/>
      <c r="F490" s="34">
        <f>Source!CA98</f>
        <v>55</v>
      </c>
      <c r="G490" s="57">
        <f>(Source!AF98+Source!AE98)*Source!FY98/100</f>
        <v>208.05619999999999</v>
      </c>
      <c r="H490" s="57">
        <f>Source!Y98</f>
        <v>150.53</v>
      </c>
    </row>
    <row r="491" spans="1:28" x14ac:dyDescent="0.2">
      <c r="C491" s="9" t="s">
        <v>1221</v>
      </c>
      <c r="D491" s="34"/>
      <c r="E491" s="34"/>
      <c r="F491" s="34"/>
      <c r="G491" s="34" t="str">
        <f>CONCATENATE(Source!DM98,Source!FU98, "=", Source!FY98, "%")</f>
        <v>*0,85=46,75%</v>
      </c>
      <c r="H491" s="34" t="str">
        <f>CONCATENATE(Source!AU98)</f>
        <v>47</v>
      </c>
    </row>
    <row r="492" spans="1:28" x14ac:dyDescent="0.2">
      <c r="C492" s="9" t="s">
        <v>1222</v>
      </c>
      <c r="D492" s="34"/>
      <c r="E492" s="34"/>
      <c r="F492" s="34"/>
      <c r="G492" s="57">
        <f>((Source!AF98+Source!AE98)*Source!FX98/100)+((Source!AF98+Source!AE98)*Source!FY98/100)+Source!AB98</f>
        <v>1364.559</v>
      </c>
      <c r="H492" s="57">
        <f>Source!O98+Source!X98+Source!Y98</f>
        <v>984.42</v>
      </c>
    </row>
    <row r="493" spans="1:28" ht="14.25" x14ac:dyDescent="0.2">
      <c r="A493" s="46">
        <v>72</v>
      </c>
      <c r="B493" s="46" t="str">
        <f>Source!E99</f>
        <v>27,1</v>
      </c>
      <c r="C493" s="46" t="str">
        <f>Source!G99</f>
        <v>Краска водоэмульсионная</v>
      </c>
      <c r="D493" s="46" t="str">
        <f>Source!F99</f>
        <v>14.3.02.01</v>
      </c>
      <c r="E493" s="31" t="str">
        <f>Source!H99</f>
        <v>т</v>
      </c>
      <c r="F493" s="12">
        <f>Source!I99</f>
        <v>6.757E-3</v>
      </c>
      <c r="G493" s="22">
        <f>Source!AB99</f>
        <v>0</v>
      </c>
      <c r="H493" s="22">
        <f>Source!O99</f>
        <v>0</v>
      </c>
      <c r="T493">
        <f>Source!O99+Source!X99+Source!Y99</f>
        <v>0</v>
      </c>
      <c r="U493">
        <f>Source!P99</f>
        <v>0</v>
      </c>
      <c r="V493">
        <f>Source!S99</f>
        <v>0</v>
      </c>
      <c r="W493">
        <f>Source!Q99</f>
        <v>0</v>
      </c>
      <c r="X493">
        <f>Source!R99</f>
        <v>0</v>
      </c>
      <c r="Y493">
        <f>Source!U99</f>
        <v>0</v>
      </c>
      <c r="Z493">
        <f>Source!V99</f>
        <v>0</v>
      </c>
      <c r="AA493">
        <f>Source!X99</f>
        <v>0</v>
      </c>
      <c r="AB493">
        <f>Source!Y99</f>
        <v>0</v>
      </c>
    </row>
    <row r="494" spans="1:28" ht="14.25" x14ac:dyDescent="0.2">
      <c r="C494" s="23" t="s">
        <v>1216</v>
      </c>
      <c r="D494" s="23">
        <f>Source!BC99</f>
        <v>6.71</v>
      </c>
      <c r="F494" s="12"/>
      <c r="G494" s="12"/>
      <c r="H494" s="12"/>
    </row>
    <row r="495" spans="1:28" ht="28.5" x14ac:dyDescent="0.2">
      <c r="A495" s="46">
        <v>73</v>
      </c>
      <c r="B495" s="46" t="str">
        <f>Source!E100</f>
        <v>27,2</v>
      </c>
      <c r="C495" s="46" t="str">
        <f>Source!G100</f>
        <v>Краска водоэмульсионная для внутренних работ ВАК-15</v>
      </c>
      <c r="D495" s="46" t="str">
        <f>Source!F100</f>
        <v>14.3.02.01-0223</v>
      </c>
      <c r="E495" s="31" t="str">
        <f>Source!H100</f>
        <v>т</v>
      </c>
      <c r="F495" s="12">
        <f>Source!I100</f>
        <v>6.757E-3</v>
      </c>
      <c r="G495" s="22">
        <f>Source!AB100</f>
        <v>19973.669999999998</v>
      </c>
      <c r="H495" s="22">
        <f>Source!O100</f>
        <v>905.6</v>
      </c>
      <c r="T495">
        <f>Source!O100+Source!X100+Source!Y100</f>
        <v>905.6</v>
      </c>
      <c r="U495">
        <f>Source!P100</f>
        <v>905.6</v>
      </c>
      <c r="V495">
        <f>Source!S100</f>
        <v>0</v>
      </c>
      <c r="W495">
        <f>Source!Q100</f>
        <v>0</v>
      </c>
      <c r="X495">
        <f>Source!R100</f>
        <v>0</v>
      </c>
      <c r="Y495">
        <f>Source!U100</f>
        <v>0</v>
      </c>
      <c r="Z495">
        <f>Source!V100</f>
        <v>0</v>
      </c>
      <c r="AA495">
        <f>Source!X100</f>
        <v>0</v>
      </c>
      <c r="AB495">
        <f>Source!Y100</f>
        <v>0</v>
      </c>
    </row>
    <row r="496" spans="1:28" ht="14.25" x14ac:dyDescent="0.2">
      <c r="C496" s="23" t="s">
        <v>1216</v>
      </c>
      <c r="D496" s="23">
        <f>Source!BC100</f>
        <v>6.71</v>
      </c>
      <c r="F496" s="12"/>
      <c r="G496" s="12"/>
      <c r="H496" s="12"/>
    </row>
    <row r="497" spans="1:28" ht="42.75" x14ac:dyDescent="0.2">
      <c r="A497" s="46">
        <v>74</v>
      </c>
      <c r="B497" s="46" t="str">
        <f>Source!E101</f>
        <v>28</v>
      </c>
      <c r="C497" s="46" t="str">
        <f>Source!G101</f>
        <v>Штукатурка поверхностей оконных и дверных откосов по бетону и камню плоских</v>
      </c>
      <c r="D497" s="46" t="str">
        <f>Source!F101</f>
        <v>15-02-031-01</v>
      </c>
      <c r="E497" s="31" t="str">
        <f>Source!H101</f>
        <v>100 м2</v>
      </c>
      <c r="F497" s="12">
        <f>Source!I101</f>
        <v>0.10725</v>
      </c>
      <c r="G497" s="22">
        <f>Source!AB101</f>
        <v>4507.09</v>
      </c>
      <c r="H497" s="22">
        <f>Source!O101</f>
        <v>3243.52</v>
      </c>
      <c r="T497">
        <f>Source!O101+Source!X101+Source!Y101</f>
        <v>5506.86</v>
      </c>
      <c r="U497">
        <f>Source!P101</f>
        <v>1616.7</v>
      </c>
      <c r="V497">
        <f>Source!S101</f>
        <v>1568.89</v>
      </c>
      <c r="W497">
        <f>Source!Q101</f>
        <v>57.93</v>
      </c>
      <c r="X497">
        <f>Source!R101</f>
        <v>25.01</v>
      </c>
      <c r="Y497">
        <f>Source!U101</f>
        <v>25.168250249999996</v>
      </c>
      <c r="Z497">
        <f>Source!V101</f>
        <v>0.27616875000000002</v>
      </c>
      <c r="AA497">
        <f>Source!X101</f>
        <v>1514.21</v>
      </c>
      <c r="AB497">
        <f>Source!Y101</f>
        <v>749.13</v>
      </c>
    </row>
    <row r="498" spans="1:28" ht="14.25" x14ac:dyDescent="0.2">
      <c r="C498" s="23" t="str">
        <f>"Объем: "&amp;Source!I101&amp;"=10,725/"&amp;"100"</f>
        <v>Объем: 0,10725=10,725/100</v>
      </c>
      <c r="F498" s="12"/>
      <c r="G498" s="12"/>
      <c r="H498" s="12"/>
    </row>
    <row r="499" spans="1:28" x14ac:dyDescent="0.2">
      <c r="C499" s="23" t="s">
        <v>1214</v>
      </c>
      <c r="D499" s="23">
        <f>Source!BA101</f>
        <v>6.71</v>
      </c>
    </row>
    <row r="500" spans="1:28" x14ac:dyDescent="0.2">
      <c r="C500" s="23" t="s">
        <v>1215</v>
      </c>
      <c r="D500" s="23">
        <f>Source!BB101</f>
        <v>6.71</v>
      </c>
    </row>
    <row r="501" spans="1:28" x14ac:dyDescent="0.2">
      <c r="C501" s="23" t="s">
        <v>1216</v>
      </c>
      <c r="D501" s="23">
        <f>Source!BC101</f>
        <v>6.71</v>
      </c>
    </row>
    <row r="502" spans="1:28" x14ac:dyDescent="0.2">
      <c r="C502" s="23" t="s">
        <v>1217</v>
      </c>
      <c r="D502" s="23">
        <f>Source!BS101</f>
        <v>6.71</v>
      </c>
    </row>
    <row r="503" spans="1:28" x14ac:dyDescent="0.2">
      <c r="C503" s="23" t="s">
        <v>1224</v>
      </c>
      <c r="D503" s="89" t="s">
        <v>103</v>
      </c>
      <c r="E503" s="89"/>
      <c r="F503" s="89"/>
      <c r="G503" s="89"/>
      <c r="H503" s="89"/>
    </row>
    <row r="504" spans="1:28" x14ac:dyDescent="0.2">
      <c r="C504" s="23" t="s">
        <v>1225</v>
      </c>
      <c r="D504" s="89" t="s">
        <v>103</v>
      </c>
      <c r="E504" s="89"/>
      <c r="F504" s="89"/>
      <c r="G504" s="89"/>
      <c r="H504" s="89"/>
    </row>
    <row r="505" spans="1:28" x14ac:dyDescent="0.2">
      <c r="C505" s="23" t="s">
        <v>1226</v>
      </c>
      <c r="D505" s="89" t="s">
        <v>104</v>
      </c>
      <c r="E505" s="89"/>
      <c r="F505" s="89"/>
      <c r="G505" s="89"/>
      <c r="H505" s="89"/>
    </row>
    <row r="506" spans="1:28" x14ac:dyDescent="0.2">
      <c r="C506" s="23" t="s">
        <v>1227</v>
      </c>
      <c r="D506" s="89" t="s">
        <v>104</v>
      </c>
      <c r="E506" s="89"/>
      <c r="F506" s="89"/>
      <c r="G506" s="89"/>
      <c r="H506" s="89"/>
    </row>
    <row r="507" spans="1:28" x14ac:dyDescent="0.2">
      <c r="C507" s="23" t="s">
        <v>1228</v>
      </c>
      <c r="D507" s="89" t="s">
        <v>103</v>
      </c>
      <c r="E507" s="89"/>
      <c r="F507" s="89"/>
      <c r="G507" s="89"/>
      <c r="H507" s="89"/>
    </row>
    <row r="508" spans="1:28" x14ac:dyDescent="0.2">
      <c r="C508" s="9" t="s">
        <v>1218</v>
      </c>
      <c r="D508" s="34"/>
      <c r="E508" s="34"/>
      <c r="F508" s="34">
        <f>Source!BZ101</f>
        <v>105</v>
      </c>
      <c r="G508" s="57">
        <f>(Source!AF101+Source!AE101)*Source!FX101/100</f>
        <v>2093.0237999999999</v>
      </c>
      <c r="H508" s="57">
        <f>Source!X101</f>
        <v>1514.21</v>
      </c>
    </row>
    <row r="509" spans="1:28" x14ac:dyDescent="0.2">
      <c r="C509" s="9" t="s">
        <v>1219</v>
      </c>
      <c r="D509" s="34"/>
      <c r="E509" s="34"/>
      <c r="F509" s="34"/>
      <c r="G509" s="34" t="str">
        <f>CONCATENATE(Source!DL101,Source!FT101, "=", Source!FX101, "%")</f>
        <v>*0,9=94,5%</v>
      </c>
      <c r="H509" s="34" t="str">
        <f>CONCATENATE(Source!AT101)</f>
        <v>95</v>
      </c>
    </row>
    <row r="510" spans="1:28" x14ac:dyDescent="0.2">
      <c r="C510" s="9" t="s">
        <v>1220</v>
      </c>
      <c r="D510" s="34"/>
      <c r="E510" s="34"/>
      <c r="F510" s="34">
        <f>Source!CA101</f>
        <v>55</v>
      </c>
      <c r="G510" s="57">
        <f>(Source!AF101+Source!AE101)*Source!FY101/100</f>
        <v>1035.4376999999999</v>
      </c>
      <c r="H510" s="57">
        <f>Source!Y101</f>
        <v>749.13</v>
      </c>
    </row>
    <row r="511" spans="1:28" x14ac:dyDescent="0.2">
      <c r="C511" s="9" t="s">
        <v>1221</v>
      </c>
      <c r="D511" s="34"/>
      <c r="E511" s="34"/>
      <c r="F511" s="34"/>
      <c r="G511" s="34" t="str">
        <f>CONCATENATE(Source!DM101,Source!FU101, "=", Source!FY101, "%")</f>
        <v>*0,85=46,75%</v>
      </c>
      <c r="H511" s="34" t="str">
        <f>CONCATENATE(Source!AU101)</f>
        <v>47</v>
      </c>
    </row>
    <row r="512" spans="1:28" x14ac:dyDescent="0.2">
      <c r="C512" s="9" t="s">
        <v>1222</v>
      </c>
      <c r="D512" s="34"/>
      <c r="E512" s="34"/>
      <c r="F512" s="34"/>
      <c r="G512" s="57">
        <f>((Source!AF101+Source!AE101)*Source!FX101/100)+((Source!AF101+Source!AE101)*Source!FY101/100)+Source!AB101</f>
        <v>7635.5514999999996</v>
      </c>
      <c r="H512" s="57">
        <f>Source!O101+Source!X101+Source!Y101</f>
        <v>5506.86</v>
      </c>
    </row>
    <row r="513" spans="1:28" ht="28.5" x14ac:dyDescent="0.2">
      <c r="A513" s="46">
        <v>75</v>
      </c>
      <c r="B513" s="46" t="str">
        <f>Source!E102</f>
        <v>29</v>
      </c>
      <c r="C513" s="46" t="str">
        <f>Source!G102</f>
        <v>Ремонт оконных коробок в каменных стенах при одном переплете</v>
      </c>
      <c r="D513" s="46" t="str">
        <f>Source!F102</f>
        <v>56-4-1</v>
      </c>
      <c r="E513" s="31" t="str">
        <f>Source!H102</f>
        <v>100 ШТ</v>
      </c>
      <c r="F513" s="12">
        <f>Source!I102</f>
        <v>0.11</v>
      </c>
      <c r="G513" s="22">
        <f>Source!AB102</f>
        <v>6411.01</v>
      </c>
      <c r="H513" s="22">
        <f>Source!O102</f>
        <v>4731.97</v>
      </c>
      <c r="T513">
        <f>Source!O102+Source!X102+Source!Y102</f>
        <v>9601.86</v>
      </c>
      <c r="U513">
        <f>Source!P102</f>
        <v>1344.91</v>
      </c>
      <c r="V513">
        <f>Source!S102</f>
        <v>3380.76</v>
      </c>
      <c r="W513">
        <f>Source!Q102</f>
        <v>6.3</v>
      </c>
      <c r="X513">
        <f>Source!R102</f>
        <v>1.1100000000000001</v>
      </c>
      <c r="Y513">
        <f>Source!U102</f>
        <v>55.55</v>
      </c>
      <c r="Z513">
        <f>Source!V102</f>
        <v>1.43E-2</v>
      </c>
      <c r="AA513">
        <f>Source!X102</f>
        <v>2773.13</v>
      </c>
      <c r="AB513">
        <f>Source!Y102</f>
        <v>2096.7600000000002</v>
      </c>
    </row>
    <row r="514" spans="1:28" ht="14.25" x14ac:dyDescent="0.2">
      <c r="C514" s="23" t="str">
        <f>"Объем: "&amp;Source!I102&amp;"=11/"&amp;"100"</f>
        <v>Объем: 0,11=11/100</v>
      </c>
      <c r="F514" s="12"/>
      <c r="G514" s="12"/>
      <c r="H514" s="12"/>
    </row>
    <row r="515" spans="1:28" x14ac:dyDescent="0.2">
      <c r="C515" s="23" t="s">
        <v>1214</v>
      </c>
      <c r="D515" s="23">
        <f>Source!BA102</f>
        <v>6.71</v>
      </c>
    </row>
    <row r="516" spans="1:28" x14ac:dyDescent="0.2">
      <c r="C516" s="23" t="s">
        <v>1215</v>
      </c>
      <c r="D516" s="23">
        <f>Source!BB102</f>
        <v>6.71</v>
      </c>
    </row>
    <row r="517" spans="1:28" x14ac:dyDescent="0.2">
      <c r="C517" s="23" t="s">
        <v>1216</v>
      </c>
      <c r="D517" s="23">
        <f>Source!BC102</f>
        <v>6.71</v>
      </c>
    </row>
    <row r="518" spans="1:28" x14ac:dyDescent="0.2">
      <c r="C518" s="23" t="s">
        <v>1217</v>
      </c>
      <c r="D518" s="23">
        <f>Source!BS102</f>
        <v>6.71</v>
      </c>
    </row>
    <row r="519" spans="1:28" x14ac:dyDescent="0.2">
      <c r="C519" s="9" t="s">
        <v>1218</v>
      </c>
      <c r="D519" s="34"/>
      <c r="E519" s="34"/>
      <c r="F519" s="34">
        <f>Source!BZ102</f>
        <v>82</v>
      </c>
      <c r="G519" s="57">
        <f>(Source!AF102+Source!AE102)*Source!FX102/100</f>
        <v>3757.1252000000004</v>
      </c>
      <c r="H519" s="57">
        <f>Source!X102</f>
        <v>2773.13</v>
      </c>
    </row>
    <row r="520" spans="1:28" x14ac:dyDescent="0.2">
      <c r="C520" s="9" t="s">
        <v>1220</v>
      </c>
      <c r="D520" s="34"/>
      <c r="E520" s="34"/>
      <c r="F520" s="34">
        <f>Source!CA102</f>
        <v>62</v>
      </c>
      <c r="G520" s="57">
        <f>(Source!AF102+Source!AE102)*Source!FY102/100</f>
        <v>2840.7532000000006</v>
      </c>
      <c r="H520" s="57">
        <f>Source!Y102</f>
        <v>2096.7600000000002</v>
      </c>
    </row>
    <row r="521" spans="1:28" x14ac:dyDescent="0.2">
      <c r="C521" s="9" t="s">
        <v>1222</v>
      </c>
      <c r="D521" s="34"/>
      <c r="E521" s="34"/>
      <c r="F521" s="34"/>
      <c r="G521" s="57">
        <f>((Source!AF102+Source!AE102)*Source!FX102/100)+((Source!AF102+Source!AE102)*Source!FY102/100)+Source!AB102</f>
        <v>13008.888400000002</v>
      </c>
      <c r="H521" s="57">
        <f>Source!O102+Source!X102+Source!Y102</f>
        <v>9601.86</v>
      </c>
    </row>
    <row r="522" spans="1:28" ht="14.25" x14ac:dyDescent="0.2">
      <c r="A522" s="46">
        <v>76</v>
      </c>
      <c r="B522" s="46" t="str">
        <f>Source!E103</f>
        <v>29,1</v>
      </c>
      <c r="C522" s="46" t="str">
        <f>Source!G103</f>
        <v>Строительный мусор</v>
      </c>
      <c r="D522" s="46" t="str">
        <f>Source!F103</f>
        <v>01.7.07.07</v>
      </c>
      <c r="E522" s="31" t="str">
        <f>Source!H103</f>
        <v>т</v>
      </c>
      <c r="F522" s="12">
        <f>Source!I103</f>
        <v>6.4899999999999999E-2</v>
      </c>
      <c r="G522" s="22">
        <f>Source!AB103</f>
        <v>0</v>
      </c>
      <c r="H522" s="22">
        <f>Source!O103</f>
        <v>0</v>
      </c>
      <c r="T522">
        <f>Source!O103+Source!X103+Source!Y103</f>
        <v>0</v>
      </c>
      <c r="U522">
        <f>Source!P103</f>
        <v>0</v>
      </c>
      <c r="V522">
        <f>Source!S103</f>
        <v>0</v>
      </c>
      <c r="W522">
        <f>Source!Q103</f>
        <v>0</v>
      </c>
      <c r="X522">
        <f>Source!R103</f>
        <v>0</v>
      </c>
      <c r="Y522">
        <f>Source!U103</f>
        <v>0</v>
      </c>
      <c r="Z522">
        <f>Source!V103</f>
        <v>0</v>
      </c>
      <c r="AA522">
        <f>Source!X103</f>
        <v>0</v>
      </c>
      <c r="AB522">
        <f>Source!Y103</f>
        <v>0</v>
      </c>
    </row>
    <row r="523" spans="1:28" ht="14.25" x14ac:dyDescent="0.2">
      <c r="C523" s="23" t="s">
        <v>1216</v>
      </c>
      <c r="D523" s="23">
        <f>Source!BC103</f>
        <v>6.71</v>
      </c>
      <c r="F523" s="12"/>
      <c r="G523" s="12"/>
      <c r="H523" s="12"/>
    </row>
    <row r="524" spans="1:28" ht="28.5" x14ac:dyDescent="0.2">
      <c r="A524" s="46">
        <v>77</v>
      </c>
      <c r="B524" s="46" t="str">
        <f>Source!E104</f>
        <v>30</v>
      </c>
      <c r="C524" s="46" t="str">
        <f>Source!G104</f>
        <v>Затаривание строительного мусора в мешки</v>
      </c>
      <c r="D524" s="46" t="str">
        <f>Source!F104</f>
        <v>69-15-1</v>
      </c>
      <c r="E524" s="31" t="str">
        <f>Source!H104</f>
        <v>т</v>
      </c>
      <c r="F524" s="12">
        <f>Source!I104</f>
        <v>12.5</v>
      </c>
      <c r="G524" s="22">
        <f>Source!AB104</f>
        <v>23.81</v>
      </c>
      <c r="H524" s="22">
        <f>Source!O104</f>
        <v>1997.06</v>
      </c>
      <c r="T524">
        <f>Source!O104+Source!X104+Source!Y104</f>
        <v>2792.6000000000004</v>
      </c>
      <c r="U524">
        <f>Source!P104</f>
        <v>1375.55</v>
      </c>
      <c r="V524">
        <f>Source!S104</f>
        <v>621.51</v>
      </c>
      <c r="W524">
        <f>Source!Q104</f>
        <v>0</v>
      </c>
      <c r="X524">
        <f>Source!R104</f>
        <v>0</v>
      </c>
      <c r="Y524">
        <f>Source!U104</f>
        <v>12.875</v>
      </c>
      <c r="Z524">
        <f>Source!V104</f>
        <v>0</v>
      </c>
      <c r="AA524">
        <f>Source!X104</f>
        <v>484.78</v>
      </c>
      <c r="AB524">
        <f>Source!Y104</f>
        <v>310.76</v>
      </c>
    </row>
    <row r="525" spans="1:28" ht="14.25" x14ac:dyDescent="0.2">
      <c r="C525" s="23" t="s">
        <v>1214</v>
      </c>
      <c r="D525" s="23">
        <f>Source!BA104</f>
        <v>6.71</v>
      </c>
      <c r="F525" s="12"/>
      <c r="G525" s="12"/>
      <c r="H525" s="12"/>
    </row>
    <row r="526" spans="1:28" x14ac:dyDescent="0.2">
      <c r="C526" s="23" t="s">
        <v>1215</v>
      </c>
      <c r="D526" s="23">
        <f>Source!BB104</f>
        <v>6.71</v>
      </c>
    </row>
    <row r="527" spans="1:28" x14ac:dyDescent="0.2">
      <c r="C527" s="23" t="s">
        <v>1216</v>
      </c>
      <c r="D527" s="23">
        <f>Source!BC104</f>
        <v>6.71</v>
      </c>
    </row>
    <row r="528" spans="1:28" x14ac:dyDescent="0.2">
      <c r="C528" s="23" t="s">
        <v>1217</v>
      </c>
      <c r="D528" s="23">
        <f>Source!BS104</f>
        <v>6.71</v>
      </c>
    </row>
    <row r="529" spans="1:28" x14ac:dyDescent="0.2">
      <c r="C529" s="9" t="s">
        <v>1218</v>
      </c>
      <c r="D529" s="34"/>
      <c r="E529" s="34"/>
      <c r="F529" s="34">
        <f>Source!BZ104</f>
        <v>78</v>
      </c>
      <c r="G529" s="57">
        <f>(Source!AF104+Source!AE104)*Source!FX104/100</f>
        <v>5.7797999999999998</v>
      </c>
      <c r="H529" s="57">
        <f>Source!X104</f>
        <v>484.78</v>
      </c>
    </row>
    <row r="530" spans="1:28" x14ac:dyDescent="0.2">
      <c r="C530" s="9" t="s">
        <v>1220</v>
      </c>
      <c r="D530" s="34"/>
      <c r="E530" s="34"/>
      <c r="F530" s="34">
        <f>Source!CA104</f>
        <v>50</v>
      </c>
      <c r="G530" s="57">
        <f>(Source!AF104+Source!AE104)*Source!FY104/100</f>
        <v>3.7050000000000001</v>
      </c>
      <c r="H530" s="57">
        <f>Source!Y104</f>
        <v>310.76</v>
      </c>
    </row>
    <row r="531" spans="1:28" x14ac:dyDescent="0.2">
      <c r="C531" s="9" t="s">
        <v>1222</v>
      </c>
      <c r="D531" s="34"/>
      <c r="E531" s="34"/>
      <c r="F531" s="34"/>
      <c r="G531" s="57">
        <f>((Source!AF104+Source!AE104)*Source!FX104/100)+((Source!AF104+Source!AE104)*Source!FY104/100)+Source!AB104</f>
        <v>33.294799999999995</v>
      </c>
      <c r="H531" s="57">
        <f>Source!O104+Source!X104+Source!Y104</f>
        <v>2792.6000000000004</v>
      </c>
    </row>
    <row r="532" spans="1:28" ht="42.75" x14ac:dyDescent="0.2">
      <c r="A532" s="46">
        <v>78</v>
      </c>
      <c r="B532" s="46" t="str">
        <f>Source!E105</f>
        <v>31</v>
      </c>
      <c r="C532" s="46" t="str">
        <f>Source!G105</f>
        <v>Погрузочные работы при автомобильных перевозках мусора строительного с погрузкой вручную</v>
      </c>
      <c r="D532" s="46" t="str">
        <f>Source!F105</f>
        <v>т01-01-01-041</v>
      </c>
      <c r="E532" s="31" t="str">
        <f>Source!H105</f>
        <v>1 Т ГРУЗА</v>
      </c>
      <c r="F532" s="12">
        <f>Source!I105</f>
        <v>12.5</v>
      </c>
      <c r="G532" s="22">
        <f>Source!AB105</f>
        <v>42.98</v>
      </c>
      <c r="H532" s="22">
        <f>Source!GM105</f>
        <v>3604.95</v>
      </c>
      <c r="T532">
        <f>Source!GM105</f>
        <v>3604.95</v>
      </c>
      <c r="U532">
        <f>Source!P105</f>
        <v>0</v>
      </c>
      <c r="V532">
        <f>Source!S105</f>
        <v>0</v>
      </c>
      <c r="W532">
        <f>Source!Q105</f>
        <v>0</v>
      </c>
      <c r="X532">
        <f>Source!R105</f>
        <v>0</v>
      </c>
      <c r="Y532">
        <f>Source!U105</f>
        <v>0</v>
      </c>
      <c r="Z532">
        <f>Source!V105</f>
        <v>0</v>
      </c>
      <c r="AA532">
        <f>Source!X105</f>
        <v>0</v>
      </c>
      <c r="AB532">
        <f>Source!Y105</f>
        <v>0</v>
      </c>
    </row>
    <row r="533" spans="1:28" ht="14.25" x14ac:dyDescent="0.2">
      <c r="C533" s="23" t="s">
        <v>1230</v>
      </c>
      <c r="D533" s="23">
        <f>Source!AZ105</f>
        <v>6.71</v>
      </c>
      <c r="F533" s="12"/>
      <c r="G533" s="12"/>
      <c r="H533" s="12"/>
    </row>
    <row r="534" spans="1:28" ht="57" x14ac:dyDescent="0.2">
      <c r="A534" s="46">
        <v>79</v>
      </c>
      <c r="B534" s="46" t="str">
        <f>Source!E106</f>
        <v>32</v>
      </c>
      <c r="C534" s="46" t="str">
        <f>Source!G106</f>
        <v>Перевозка грузов I класса автомобилями бортовыми грузоподъемностью до 15 т на расстояние до 35 км</v>
      </c>
      <c r="D534" s="46" t="str">
        <f>Source!F106</f>
        <v>т03-01-01-035</v>
      </c>
      <c r="E534" s="31" t="str">
        <f>Source!H106</f>
        <v>1 Т ГРУЗА</v>
      </c>
      <c r="F534" s="12">
        <f>Source!I106</f>
        <v>12.5</v>
      </c>
      <c r="G534" s="22">
        <f>Source!AB106</f>
        <v>19.54</v>
      </c>
      <c r="H534" s="22">
        <f>Source!GM106</f>
        <v>1638.92</v>
      </c>
      <c r="T534">
        <f>Source!GM106</f>
        <v>1638.92</v>
      </c>
      <c r="U534">
        <f>Source!P106</f>
        <v>0</v>
      </c>
      <c r="V534">
        <f>Source!S106</f>
        <v>0</v>
      </c>
      <c r="W534">
        <f>Source!Q106</f>
        <v>0</v>
      </c>
      <c r="X534">
        <f>Source!R106</f>
        <v>0</v>
      </c>
      <c r="Y534">
        <f>Source!U106</f>
        <v>0</v>
      </c>
      <c r="Z534">
        <f>Source!V106</f>
        <v>0</v>
      </c>
      <c r="AA534">
        <f>Source!X106</f>
        <v>0</v>
      </c>
      <c r="AB534">
        <f>Source!Y106</f>
        <v>0</v>
      </c>
    </row>
    <row r="535" spans="1:28" ht="14.25" x14ac:dyDescent="0.2">
      <c r="C535" s="23" t="s">
        <v>1230</v>
      </c>
      <c r="D535" s="23">
        <f>Source!AZ106</f>
        <v>6.71</v>
      </c>
      <c r="F535" s="12"/>
      <c r="G535" s="12"/>
      <c r="H535" s="12"/>
    </row>
    <row r="537" spans="1:28" ht="15" x14ac:dyDescent="0.25">
      <c r="A537" s="58"/>
      <c r="B537" s="58"/>
      <c r="C537" s="70" t="str">
        <f>CONCATENATE("Итого по разделу: ",IF(Source!G108&lt;&gt;"Новый раздел", Source!G108, ""))</f>
        <v>Итого по разделу: 1 Общестроительные работы</v>
      </c>
      <c r="D537" s="70"/>
      <c r="E537" s="70"/>
      <c r="F537" s="70"/>
      <c r="G537" s="58"/>
      <c r="H537" s="59">
        <f>IF(SUM(T39:T536)=0, "-", SUM(T39:T536))</f>
        <v>1081313.5900000003</v>
      </c>
    </row>
    <row r="538" spans="1:28" ht="15" x14ac:dyDescent="0.25">
      <c r="A538" s="58"/>
      <c r="B538" s="58"/>
      <c r="C538" s="58"/>
      <c r="D538" s="58"/>
      <c r="E538" s="58"/>
      <c r="F538" s="58"/>
      <c r="G538" s="58"/>
      <c r="H538" s="58"/>
    </row>
    <row r="541" spans="1:28" ht="16.5" x14ac:dyDescent="0.25">
      <c r="A541" s="73" t="str">
        <f>CONCATENATE("Раздел: ",IF(Source!G137&lt;&gt;"Новый раздел", Source!G137, ""))</f>
        <v>Раздел: 2 Отопление</v>
      </c>
      <c r="B541" s="73"/>
      <c r="C541" s="73"/>
      <c r="D541" s="73"/>
      <c r="E541" s="73"/>
      <c r="F541" s="73"/>
      <c r="G541" s="73"/>
      <c r="H541" s="73"/>
    </row>
    <row r="542" spans="1:28" ht="14.25" x14ac:dyDescent="0.2">
      <c r="A542" s="46">
        <v>80</v>
      </c>
      <c r="B542" s="46" t="str">
        <f>Source!E141</f>
        <v>33</v>
      </c>
      <c r="C542" s="46" t="str">
        <f>Source!G141</f>
        <v>Демонтаж радиаторов весом до 80 кг</v>
      </c>
      <c r="D542" s="46" t="str">
        <f>Source!F141</f>
        <v>65-19-1</v>
      </c>
      <c r="E542" s="31" t="str">
        <f>Source!H141</f>
        <v>100 ШТ</v>
      </c>
      <c r="F542" s="12">
        <f>Source!I141</f>
        <v>0.11</v>
      </c>
      <c r="G542" s="22">
        <f>Source!AB141</f>
        <v>935.72</v>
      </c>
      <c r="H542" s="22">
        <f>Source!O141</f>
        <v>690.65</v>
      </c>
      <c r="T542">
        <f>Source!O141+Source!X141+Source!Y141</f>
        <v>1510.65</v>
      </c>
      <c r="U542">
        <f>Source!P141</f>
        <v>0</v>
      </c>
      <c r="V542">
        <f>Source!S141</f>
        <v>638.97</v>
      </c>
      <c r="W542">
        <f>Source!Q141</f>
        <v>51.68</v>
      </c>
      <c r="X542">
        <f>Source!R141</f>
        <v>22.32</v>
      </c>
      <c r="Y542">
        <f>Source!U141</f>
        <v>12.1</v>
      </c>
      <c r="Z542">
        <f>Source!V141</f>
        <v>0.24640000000000004</v>
      </c>
      <c r="AA542">
        <f>Source!X141</f>
        <v>489.35</v>
      </c>
      <c r="AB542">
        <f>Source!Y141</f>
        <v>330.65</v>
      </c>
    </row>
    <row r="543" spans="1:28" ht="14.25" x14ac:dyDescent="0.2">
      <c r="C543" s="23" t="str">
        <f>"Объем: "&amp;Source!I141&amp;"=11/"&amp;"100"</f>
        <v>Объем: 0,11=11/100</v>
      </c>
      <c r="F543" s="12"/>
      <c r="G543" s="12"/>
      <c r="H543" s="12"/>
    </row>
    <row r="544" spans="1:28" x14ac:dyDescent="0.2">
      <c r="C544" s="23" t="s">
        <v>1214</v>
      </c>
      <c r="D544" s="23">
        <f>Source!BA141</f>
        <v>6.71</v>
      </c>
    </row>
    <row r="545" spans="1:28" x14ac:dyDescent="0.2">
      <c r="C545" s="23" t="s">
        <v>1215</v>
      </c>
      <c r="D545" s="23">
        <f>Source!BB141</f>
        <v>6.71</v>
      </c>
    </row>
    <row r="546" spans="1:28" x14ac:dyDescent="0.2">
      <c r="C546" s="23" t="s">
        <v>1216</v>
      </c>
      <c r="D546" s="23">
        <f>Source!BC141</f>
        <v>6.71</v>
      </c>
    </row>
    <row r="547" spans="1:28" x14ac:dyDescent="0.2">
      <c r="C547" s="23" t="s">
        <v>1217</v>
      </c>
      <c r="D547" s="23">
        <f>Source!BS141</f>
        <v>6.71</v>
      </c>
    </row>
    <row r="548" spans="1:28" x14ac:dyDescent="0.2">
      <c r="C548" s="9" t="s">
        <v>1218</v>
      </c>
      <c r="D548" s="34"/>
      <c r="E548" s="34"/>
      <c r="F548" s="34">
        <f>Source!BZ141</f>
        <v>74</v>
      </c>
      <c r="G548" s="57">
        <f>(Source!AF141+Source!AE141)*Source!FX141/100</f>
        <v>662.99559999999997</v>
      </c>
      <c r="H548" s="57">
        <f>Source!X141</f>
        <v>489.35</v>
      </c>
    </row>
    <row r="549" spans="1:28" x14ac:dyDescent="0.2">
      <c r="C549" s="9" t="s">
        <v>1220</v>
      </c>
      <c r="D549" s="34"/>
      <c r="E549" s="34"/>
      <c r="F549" s="34">
        <f>Source!CA141</f>
        <v>50</v>
      </c>
      <c r="G549" s="57">
        <f>(Source!AF141+Source!AE141)*Source!FY141/100</f>
        <v>447.97</v>
      </c>
      <c r="H549" s="57">
        <f>Source!Y141</f>
        <v>330.65</v>
      </c>
    </row>
    <row r="550" spans="1:28" x14ac:dyDescent="0.2">
      <c r="C550" s="9" t="s">
        <v>1222</v>
      </c>
      <c r="D550" s="34"/>
      <c r="E550" s="34"/>
      <c r="F550" s="34"/>
      <c r="G550" s="57">
        <f>((Source!AF141+Source!AE141)*Source!FX141/100)+((Source!AF141+Source!AE141)*Source!FY141/100)+Source!AB141</f>
        <v>2046.6856</v>
      </c>
      <c r="H550" s="57">
        <f>Source!O141+Source!X141+Source!Y141</f>
        <v>1510.65</v>
      </c>
    </row>
    <row r="551" spans="1:28" ht="28.5" x14ac:dyDescent="0.2">
      <c r="A551" s="46">
        <v>81</v>
      </c>
      <c r="B551" s="46" t="str">
        <f>Source!E142</f>
        <v>34</v>
      </c>
      <c r="C551" s="46" t="str">
        <f>Source!G142</f>
        <v>Установка радиаторов стальных</v>
      </c>
      <c r="D551" s="46" t="str">
        <f>Source!F142</f>
        <v>18-03-001-02</v>
      </c>
      <c r="E551" s="31" t="str">
        <f>Source!H142</f>
        <v>100 квт</v>
      </c>
      <c r="F551" s="12">
        <f>Source!I142</f>
        <v>0.23039999999999999</v>
      </c>
      <c r="G551" s="22">
        <f>Source!AB142</f>
        <v>1942.27</v>
      </c>
      <c r="H551" s="22">
        <f>Source!O142</f>
        <v>3002.72</v>
      </c>
      <c r="T551">
        <f>Source!O142+Source!X142+Source!Y142</f>
        <v>4806.1899999999996</v>
      </c>
      <c r="U551">
        <f>Source!P142</f>
        <v>1795.29</v>
      </c>
      <c r="V551">
        <f>Source!S142</f>
        <v>909.7</v>
      </c>
      <c r="W551">
        <f>Source!Q142</f>
        <v>297.73</v>
      </c>
      <c r="X551">
        <f>Source!R142</f>
        <v>59.91</v>
      </c>
      <c r="Y551">
        <f>Source!U142</f>
        <v>15.114239999999999</v>
      </c>
      <c r="Z551">
        <f>Source!V142</f>
        <v>0.7211519999999999</v>
      </c>
      <c r="AA551">
        <f>Source!X142</f>
        <v>1115.05</v>
      </c>
      <c r="AB551">
        <f>Source!Y142</f>
        <v>688.42</v>
      </c>
    </row>
    <row r="552" spans="1:28" ht="14.25" x14ac:dyDescent="0.2">
      <c r="C552" s="23" t="str">
        <f>"Объем: "&amp;Source!I142&amp;"=23,04/"&amp;"100"</f>
        <v>Объем: 0,2304=23,04/100</v>
      </c>
      <c r="F552" s="12"/>
      <c r="G552" s="12"/>
      <c r="H552" s="12"/>
    </row>
    <row r="553" spans="1:28" x14ac:dyDescent="0.2">
      <c r="C553" s="23" t="s">
        <v>1214</v>
      </c>
      <c r="D553" s="23">
        <f>Source!BA142</f>
        <v>6.71</v>
      </c>
    </row>
    <row r="554" spans="1:28" x14ac:dyDescent="0.2">
      <c r="C554" s="23" t="s">
        <v>1215</v>
      </c>
      <c r="D554" s="23">
        <f>Source!BB142</f>
        <v>6.71</v>
      </c>
    </row>
    <row r="555" spans="1:28" x14ac:dyDescent="0.2">
      <c r="C555" s="23" t="s">
        <v>1216</v>
      </c>
      <c r="D555" s="23">
        <f>Source!BC142</f>
        <v>6.71</v>
      </c>
    </row>
    <row r="556" spans="1:28" x14ac:dyDescent="0.2">
      <c r="C556" s="23" t="s">
        <v>1217</v>
      </c>
      <c r="D556" s="23">
        <f>Source!BS142</f>
        <v>6.71</v>
      </c>
    </row>
    <row r="557" spans="1:28" x14ac:dyDescent="0.2">
      <c r="C557" s="9" t="s">
        <v>1218</v>
      </c>
      <c r="D557" s="34"/>
      <c r="E557" s="34"/>
      <c r="F557" s="34">
        <f>Source!BZ142</f>
        <v>128</v>
      </c>
      <c r="G557" s="57">
        <f>(Source!AF142+Source!AE142)*Source!FX142/100</f>
        <v>722.51135999999997</v>
      </c>
      <c r="H557" s="57">
        <f>Source!X142</f>
        <v>1115.05</v>
      </c>
    </row>
    <row r="558" spans="1:28" x14ac:dyDescent="0.2">
      <c r="C558" s="9" t="s">
        <v>1219</v>
      </c>
      <c r="D558" s="34"/>
      <c r="E558" s="34"/>
      <c r="F558" s="34"/>
      <c r="G558" s="34" t="str">
        <f>CONCATENATE(Source!DL142,Source!FT142, "=", Source!FX142, "%")</f>
        <v>*0,9=115,2%</v>
      </c>
      <c r="H558" s="34" t="str">
        <f>CONCATENATE(Source!AT142)</f>
        <v>115</v>
      </c>
    </row>
    <row r="559" spans="1:28" x14ac:dyDescent="0.2">
      <c r="C559" s="9" t="s">
        <v>1220</v>
      </c>
      <c r="D559" s="34"/>
      <c r="E559" s="34"/>
      <c r="F559" s="34">
        <f>Source!CA142</f>
        <v>83</v>
      </c>
      <c r="G559" s="57">
        <f>(Source!AF142+Source!AE142)*Source!FY142/100</f>
        <v>442.47548999999992</v>
      </c>
      <c r="H559" s="57">
        <f>Source!Y142</f>
        <v>688.42</v>
      </c>
    </row>
    <row r="560" spans="1:28" x14ac:dyDescent="0.2">
      <c r="C560" s="9" t="s">
        <v>1221</v>
      </c>
      <c r="D560" s="34"/>
      <c r="E560" s="34"/>
      <c r="F560" s="34"/>
      <c r="G560" s="34" t="str">
        <f>CONCATENATE(Source!DM142,Source!FU142, "=", Source!FY142, "%")</f>
        <v>*0,85=70,55%</v>
      </c>
      <c r="H560" s="34" t="str">
        <f>CONCATENATE(Source!AU142)</f>
        <v>71</v>
      </c>
    </row>
    <row r="561" spans="1:28" x14ac:dyDescent="0.2">
      <c r="C561" s="9" t="s">
        <v>1222</v>
      </c>
      <c r="D561" s="34"/>
      <c r="E561" s="34"/>
      <c r="F561" s="34"/>
      <c r="G561" s="57">
        <f>((Source!AF142+Source!AE142)*Source!FX142/100)+((Source!AF142+Source!AE142)*Source!FY142/100)+Source!AB142</f>
        <v>3107.2568499999998</v>
      </c>
      <c r="H561" s="57">
        <f>Source!O142+Source!X142+Source!Y142</f>
        <v>4806.1899999999996</v>
      </c>
    </row>
    <row r="562" spans="1:28" ht="42.75" x14ac:dyDescent="0.2">
      <c r="A562" s="46">
        <v>82</v>
      </c>
      <c r="B562" s="46" t="str">
        <f>Source!E143</f>
        <v>34,1</v>
      </c>
      <c r="C562" s="46" t="str">
        <f>Source!G143</f>
        <v>Радиаторы биметаллические, марка «Rifar-A 500», количество секций 12, мощность 2304 Вт прим.</v>
      </c>
      <c r="D562" s="46" t="str">
        <f>Source!F143</f>
        <v>18.5.10.05-0009</v>
      </c>
      <c r="E562" s="31" t="str">
        <f>Source!H143</f>
        <v>шт.</v>
      </c>
      <c r="F562" s="12">
        <f>Source!I143</f>
        <v>11</v>
      </c>
      <c r="G562" s="22">
        <f>Source!AB143</f>
        <v>1503.69</v>
      </c>
      <c r="H562" s="22">
        <f>Source!O143</f>
        <v>110987.36</v>
      </c>
      <c r="T562">
        <f>Source!O143+Source!X143+Source!Y143</f>
        <v>110987.36</v>
      </c>
      <c r="U562">
        <f>Source!P143</f>
        <v>110987.36</v>
      </c>
      <c r="V562">
        <f>Source!S143</f>
        <v>0</v>
      </c>
      <c r="W562">
        <f>Source!Q143</f>
        <v>0</v>
      </c>
      <c r="X562">
        <f>Source!R143</f>
        <v>0</v>
      </c>
      <c r="Y562">
        <f>Source!U143</f>
        <v>0</v>
      </c>
      <c r="Z562">
        <f>Source!V143</f>
        <v>0</v>
      </c>
      <c r="AA562">
        <f>Source!X143</f>
        <v>0</v>
      </c>
      <c r="AB562">
        <f>Source!Y143</f>
        <v>0</v>
      </c>
    </row>
    <row r="563" spans="1:28" ht="14.25" x14ac:dyDescent="0.2">
      <c r="C563" s="23" t="s">
        <v>1216</v>
      </c>
      <c r="D563" s="23">
        <f>Source!BC143</f>
        <v>6.71</v>
      </c>
      <c r="F563" s="12"/>
      <c r="G563" s="12"/>
      <c r="H563" s="12"/>
    </row>
    <row r="564" spans="1:28" ht="14.25" x14ac:dyDescent="0.2">
      <c r="A564" s="46">
        <v>83</v>
      </c>
      <c r="B564" s="46" t="str">
        <f>Source!E144</f>
        <v>34,2</v>
      </c>
      <c r="C564" s="46" t="str">
        <f>Source!G144</f>
        <v>Радиаторы</v>
      </c>
      <c r="D564" s="46" t="str">
        <f>Source!F144</f>
        <v>18.5.10.06</v>
      </c>
      <c r="E564" s="31" t="str">
        <f>Source!H144</f>
        <v>квт</v>
      </c>
      <c r="F564" s="12">
        <f>Source!I144</f>
        <v>23.04</v>
      </c>
      <c r="G564" s="22">
        <f>Source!AB144</f>
        <v>0</v>
      </c>
      <c r="H564" s="22">
        <f>Source!O144</f>
        <v>0</v>
      </c>
      <c r="T564">
        <f>Source!O144+Source!X144+Source!Y144</f>
        <v>0</v>
      </c>
      <c r="U564">
        <f>Source!P144</f>
        <v>0</v>
      </c>
      <c r="V564">
        <f>Source!S144</f>
        <v>0</v>
      </c>
      <c r="W564">
        <f>Source!Q144</f>
        <v>0</v>
      </c>
      <c r="X564">
        <f>Source!R144</f>
        <v>0</v>
      </c>
      <c r="Y564">
        <f>Source!U144</f>
        <v>0</v>
      </c>
      <c r="Z564">
        <f>Source!V144</f>
        <v>0</v>
      </c>
      <c r="AA564">
        <f>Source!X144</f>
        <v>0</v>
      </c>
      <c r="AB564">
        <f>Source!Y144</f>
        <v>0</v>
      </c>
    </row>
    <row r="565" spans="1:28" ht="14.25" x14ac:dyDescent="0.2">
      <c r="C565" s="23" t="s">
        <v>1216</v>
      </c>
      <c r="D565" s="23">
        <f>Source!BC144</f>
        <v>6.71</v>
      </c>
      <c r="F565" s="12"/>
      <c r="G565" s="12"/>
      <c r="H565" s="12"/>
    </row>
    <row r="566" spans="1:28" ht="57" x14ac:dyDescent="0.2">
      <c r="A566" s="46">
        <v>84</v>
      </c>
      <c r="B566" s="46" t="str">
        <f>Source!E145</f>
        <v>35</v>
      </c>
      <c r="C566" s="46" t="str">
        <f>Source!G145</f>
        <v>Установка вентилей, задвижек, затворов, клапанов обратных, кранов проходных на трубопроводах из стальных труб диаметром до 25 мм</v>
      </c>
      <c r="D566" s="46" t="str">
        <f>Source!F145</f>
        <v>16-05-001-01</v>
      </c>
      <c r="E566" s="31" t="str">
        <f>Source!H145</f>
        <v>ШТ</v>
      </c>
      <c r="F566" s="12">
        <f>Source!I145</f>
        <v>22</v>
      </c>
      <c r="G566" s="22">
        <f>Source!AB145</f>
        <v>42.04</v>
      </c>
      <c r="H566" s="22">
        <f>Source!O145</f>
        <v>6205.94</v>
      </c>
      <c r="T566">
        <f>Source!O145+Source!X145+Source!Y145</f>
        <v>9898.93</v>
      </c>
      <c r="U566">
        <f>Source!P145</f>
        <v>3721.5</v>
      </c>
      <c r="V566">
        <f>Source!S145</f>
        <v>1967.77</v>
      </c>
      <c r="W566">
        <f>Source!Q145</f>
        <v>516.66999999999996</v>
      </c>
      <c r="X566">
        <f>Source!R145</f>
        <v>17.71</v>
      </c>
      <c r="Y566">
        <f>Source!U145</f>
        <v>32.339999999999996</v>
      </c>
      <c r="Z566">
        <f>Source!V145</f>
        <v>0.22</v>
      </c>
      <c r="AA566">
        <f>Source!X145</f>
        <v>2283.3000000000002</v>
      </c>
      <c r="AB566">
        <f>Source!Y145</f>
        <v>1409.69</v>
      </c>
    </row>
    <row r="567" spans="1:28" ht="14.25" x14ac:dyDescent="0.2">
      <c r="C567" s="23" t="s">
        <v>1214</v>
      </c>
      <c r="D567" s="23">
        <f>Source!BA145</f>
        <v>6.71</v>
      </c>
      <c r="F567" s="12"/>
      <c r="G567" s="12"/>
      <c r="H567" s="12"/>
    </row>
    <row r="568" spans="1:28" x14ac:dyDescent="0.2">
      <c r="C568" s="23" t="s">
        <v>1215</v>
      </c>
      <c r="D568" s="23">
        <f>Source!BB145</f>
        <v>6.71</v>
      </c>
    </row>
    <row r="569" spans="1:28" x14ac:dyDescent="0.2">
      <c r="C569" s="23" t="s">
        <v>1216</v>
      </c>
      <c r="D569" s="23">
        <f>Source!BC145</f>
        <v>6.71</v>
      </c>
    </row>
    <row r="570" spans="1:28" x14ac:dyDescent="0.2">
      <c r="C570" s="23" t="s">
        <v>1217</v>
      </c>
      <c r="D570" s="23">
        <f>Source!BS145</f>
        <v>6.71</v>
      </c>
    </row>
    <row r="571" spans="1:28" x14ac:dyDescent="0.2">
      <c r="C571" s="9" t="s">
        <v>1218</v>
      </c>
      <c r="D571" s="34"/>
      <c r="E571" s="34"/>
      <c r="F571" s="34">
        <f>Source!BZ145</f>
        <v>128</v>
      </c>
      <c r="G571" s="57">
        <f>(Source!AF145+Source!AE145)*Source!FX145/100</f>
        <v>15.494400000000001</v>
      </c>
      <c r="H571" s="57">
        <f>Source!X145</f>
        <v>2283.3000000000002</v>
      </c>
    </row>
    <row r="572" spans="1:28" x14ac:dyDescent="0.2">
      <c r="C572" s="9" t="s">
        <v>1219</v>
      </c>
      <c r="D572" s="34"/>
      <c r="E572" s="34"/>
      <c r="F572" s="34"/>
      <c r="G572" s="34" t="str">
        <f>CONCATENATE(Source!DL145,Source!FT145, "=", Source!FX145, "%")</f>
        <v>*0,9=115,2%</v>
      </c>
      <c r="H572" s="34" t="str">
        <f>CONCATENATE(Source!AT145)</f>
        <v>115</v>
      </c>
    </row>
    <row r="573" spans="1:28" x14ac:dyDescent="0.2">
      <c r="C573" s="9" t="s">
        <v>1220</v>
      </c>
      <c r="D573" s="34"/>
      <c r="E573" s="34"/>
      <c r="F573" s="34">
        <f>Source!CA145</f>
        <v>83</v>
      </c>
      <c r="G573" s="57">
        <f>(Source!AF145+Source!AE145)*Source!FY145/100</f>
        <v>9.4889749999999999</v>
      </c>
      <c r="H573" s="57">
        <f>Source!Y145</f>
        <v>1409.69</v>
      </c>
    </row>
    <row r="574" spans="1:28" x14ac:dyDescent="0.2">
      <c r="C574" s="9" t="s">
        <v>1221</v>
      </c>
      <c r="D574" s="34"/>
      <c r="E574" s="34"/>
      <c r="F574" s="34"/>
      <c r="G574" s="34" t="str">
        <f>CONCATENATE(Source!DM145,Source!FU145, "=", Source!FY145, "%")</f>
        <v>*0,85=70,55%</v>
      </c>
      <c r="H574" s="34" t="str">
        <f>CONCATENATE(Source!AU145)</f>
        <v>71</v>
      </c>
    </row>
    <row r="575" spans="1:28" x14ac:dyDescent="0.2">
      <c r="C575" s="9" t="s">
        <v>1222</v>
      </c>
      <c r="D575" s="34"/>
      <c r="E575" s="34"/>
      <c r="F575" s="34"/>
      <c r="G575" s="57">
        <f>((Source!AF145+Source!AE145)*Source!FX145/100)+((Source!AF145+Source!AE145)*Source!FY145/100)+Source!AB145</f>
        <v>67.023375000000001</v>
      </c>
      <c r="H575" s="57">
        <f>Source!O145+Source!X145+Source!Y145</f>
        <v>9898.93</v>
      </c>
    </row>
    <row r="576" spans="1:28" ht="28.5" x14ac:dyDescent="0.2">
      <c r="A576" s="46">
        <v>85</v>
      </c>
      <c r="B576" s="46" t="str">
        <f>Source!E146</f>
        <v>35,1</v>
      </c>
      <c r="C576" s="46" t="str">
        <f>Source!G146</f>
        <v>Кран шаровый муфтовый Valtec для воды диаметром 20 мм со сгоном</v>
      </c>
      <c r="D576" s="46" t="str">
        <f>Source!F146</f>
        <v>18.1.09.06-0067</v>
      </c>
      <c r="E576" s="31" t="str">
        <f>Source!H146</f>
        <v>шт.</v>
      </c>
      <c r="F576" s="12">
        <f>Source!I146</f>
        <v>22</v>
      </c>
      <c r="G576" s="22">
        <f>Source!AB146</f>
        <v>54.73</v>
      </c>
      <c r="H576" s="22">
        <f>Source!O146</f>
        <v>8079.24</v>
      </c>
      <c r="T576">
        <f>Source!O146+Source!X146+Source!Y146</f>
        <v>8079.24</v>
      </c>
      <c r="U576">
        <f>Source!P146</f>
        <v>8079.24</v>
      </c>
      <c r="V576">
        <f>Source!S146</f>
        <v>0</v>
      </c>
      <c r="W576">
        <f>Source!Q146</f>
        <v>0</v>
      </c>
      <c r="X576">
        <f>Source!R146</f>
        <v>0</v>
      </c>
      <c r="Y576">
        <f>Source!U146</f>
        <v>0</v>
      </c>
      <c r="Z576">
        <f>Source!V146</f>
        <v>0</v>
      </c>
      <c r="AA576">
        <f>Source!X146</f>
        <v>0</v>
      </c>
      <c r="AB576">
        <f>Source!Y146</f>
        <v>0</v>
      </c>
    </row>
    <row r="577" spans="1:28" ht="14.25" x14ac:dyDescent="0.2">
      <c r="C577" s="23" t="s">
        <v>1216</v>
      </c>
      <c r="D577" s="23">
        <f>Source!BC146</f>
        <v>6.71</v>
      </c>
      <c r="F577" s="12"/>
      <c r="G577" s="12"/>
      <c r="H577" s="12"/>
    </row>
    <row r="578" spans="1:28" ht="57" x14ac:dyDescent="0.2">
      <c r="A578" s="46">
        <v>86</v>
      </c>
      <c r="B578" s="46" t="str">
        <f>Source!E147</f>
        <v>36</v>
      </c>
      <c r="C578" s="46" t="str">
        <f>Source!G147</f>
        <v>Масляная окраска металлических поверхностей решеток, переплетов, труб диаметром менее 50 мм и т.п., количество окрасок 2</v>
      </c>
      <c r="D578" s="46" t="str">
        <f>Source!F147</f>
        <v>15-04-030-04</v>
      </c>
      <c r="E578" s="31" t="str">
        <f>Source!H147</f>
        <v>100 м2</v>
      </c>
      <c r="F578" s="12">
        <f>Source!I147</f>
        <v>6.2399999999999997E-2</v>
      </c>
      <c r="G578" s="22">
        <f>Source!AB147</f>
        <v>720.44</v>
      </c>
      <c r="H578" s="22">
        <f>Source!O147</f>
        <v>301.64</v>
      </c>
      <c r="T578">
        <f>Source!O147+Source!X147+Source!Y147</f>
        <v>676.27</v>
      </c>
      <c r="U578">
        <f>Source!P147</f>
        <v>37.08</v>
      </c>
      <c r="V578">
        <f>Source!S147</f>
        <v>263.61</v>
      </c>
      <c r="W578">
        <f>Source!Q147</f>
        <v>0.95</v>
      </c>
      <c r="X578">
        <f>Source!R147</f>
        <v>0.21</v>
      </c>
      <c r="Y578">
        <f>Source!U147</f>
        <v>4.4341439999999999</v>
      </c>
      <c r="Z578">
        <f>Source!V147</f>
        <v>2.496E-3</v>
      </c>
      <c r="AA578">
        <f>Source!X147</f>
        <v>250.63</v>
      </c>
      <c r="AB578">
        <f>Source!Y147</f>
        <v>124</v>
      </c>
    </row>
    <row r="579" spans="1:28" ht="14.25" x14ac:dyDescent="0.2">
      <c r="C579" s="23" t="str">
        <f>"Объем: "&amp;Source!I147&amp;"=6,24/"&amp;"100"</f>
        <v>Объем: 0,0624=6,24/100</v>
      </c>
      <c r="F579" s="12"/>
      <c r="G579" s="12"/>
      <c r="H579" s="12"/>
    </row>
    <row r="580" spans="1:28" x14ac:dyDescent="0.2">
      <c r="C580" s="23" t="s">
        <v>1214</v>
      </c>
      <c r="D580" s="23">
        <f>Source!BA147</f>
        <v>6.71</v>
      </c>
    </row>
    <row r="581" spans="1:28" x14ac:dyDescent="0.2">
      <c r="C581" s="23" t="s">
        <v>1215</v>
      </c>
      <c r="D581" s="23">
        <f>Source!BB147</f>
        <v>6.71</v>
      </c>
    </row>
    <row r="582" spans="1:28" x14ac:dyDescent="0.2">
      <c r="C582" s="23" t="s">
        <v>1216</v>
      </c>
      <c r="D582" s="23">
        <f>Source!BC147</f>
        <v>6.71</v>
      </c>
    </row>
    <row r="583" spans="1:28" x14ac:dyDescent="0.2">
      <c r="C583" s="23" t="s">
        <v>1217</v>
      </c>
      <c r="D583" s="23">
        <f>Source!BS147</f>
        <v>6.71</v>
      </c>
    </row>
    <row r="584" spans="1:28" x14ac:dyDescent="0.2">
      <c r="C584" s="9" t="s">
        <v>1218</v>
      </c>
      <c r="D584" s="34"/>
      <c r="E584" s="34"/>
      <c r="F584" s="34">
        <f>Source!BZ147</f>
        <v>105</v>
      </c>
      <c r="G584" s="57">
        <f>(Source!AF147+Source!AE147)*Source!FX147/100</f>
        <v>595.42560000000003</v>
      </c>
      <c r="H584" s="57">
        <f>Source!X147</f>
        <v>250.63</v>
      </c>
    </row>
    <row r="585" spans="1:28" x14ac:dyDescent="0.2">
      <c r="C585" s="9" t="s">
        <v>1219</v>
      </c>
      <c r="D585" s="34"/>
      <c r="E585" s="34"/>
      <c r="F585" s="34"/>
      <c r="G585" s="34" t="str">
        <f>CONCATENATE(Source!DL147,Source!FT147, "=", Source!FX147, "%")</f>
        <v>*0,9=94,5%</v>
      </c>
      <c r="H585" s="34" t="str">
        <f>CONCATENATE(Source!AT147)</f>
        <v>95</v>
      </c>
    </row>
    <row r="586" spans="1:28" x14ac:dyDescent="0.2">
      <c r="C586" s="9" t="s">
        <v>1220</v>
      </c>
      <c r="D586" s="34"/>
      <c r="E586" s="34"/>
      <c r="F586" s="34">
        <f>Source!CA147</f>
        <v>55</v>
      </c>
      <c r="G586" s="57">
        <f>(Source!AF147+Source!AE147)*Source!FY147/100</f>
        <v>294.56240000000003</v>
      </c>
      <c r="H586" s="57">
        <f>Source!Y147</f>
        <v>124</v>
      </c>
    </row>
    <row r="587" spans="1:28" x14ac:dyDescent="0.2">
      <c r="C587" s="9" t="s">
        <v>1221</v>
      </c>
      <c r="D587" s="34"/>
      <c r="E587" s="34"/>
      <c r="F587" s="34"/>
      <c r="G587" s="34" t="str">
        <f>CONCATENATE(Source!DM147,Source!FU147, "=", Source!FY147, "%")</f>
        <v>*0,85=46,75%</v>
      </c>
      <c r="H587" s="34" t="str">
        <f>CONCATENATE(Source!AU147)</f>
        <v>47</v>
      </c>
    </row>
    <row r="588" spans="1:28" x14ac:dyDescent="0.2">
      <c r="C588" s="9" t="s">
        <v>1222</v>
      </c>
      <c r="D588" s="34"/>
      <c r="E588" s="34"/>
      <c r="F588" s="34"/>
      <c r="G588" s="57">
        <f>((Source!AF147+Source!AE147)*Source!FX147/100)+((Source!AF147+Source!AE147)*Source!FY147/100)+Source!AB147</f>
        <v>1610.4280000000001</v>
      </c>
      <c r="H588" s="57">
        <f>Source!O147+Source!X147+Source!Y147</f>
        <v>676.27</v>
      </c>
    </row>
    <row r="589" spans="1:28" ht="28.5" x14ac:dyDescent="0.2">
      <c r="A589" s="46">
        <v>87</v>
      </c>
      <c r="B589" s="46" t="str">
        <f>Source!E148</f>
        <v>36,1</v>
      </c>
      <c r="C589" s="46" t="str">
        <f>Source!G148</f>
        <v>Краски для внутренних работ масляные готовые к применению</v>
      </c>
      <c r="D589" s="46" t="str">
        <f>Source!F148</f>
        <v>14.4.02.04</v>
      </c>
      <c r="E589" s="31" t="str">
        <f>Source!H148</f>
        <v>т</v>
      </c>
      <c r="F589" s="12">
        <f>Source!I148</f>
        <v>1.5349999999999999E-3</v>
      </c>
      <c r="G589" s="22">
        <f>Source!AB148</f>
        <v>0</v>
      </c>
      <c r="H589" s="22">
        <f>Source!O148</f>
        <v>0</v>
      </c>
      <c r="T589">
        <f>Source!O148+Source!X148+Source!Y148</f>
        <v>0</v>
      </c>
      <c r="U589">
        <f>Source!P148</f>
        <v>0</v>
      </c>
      <c r="V589">
        <f>Source!S148</f>
        <v>0</v>
      </c>
      <c r="W589">
        <f>Source!Q148</f>
        <v>0</v>
      </c>
      <c r="X589">
        <f>Source!R148</f>
        <v>0</v>
      </c>
      <c r="Y589">
        <f>Source!U148</f>
        <v>0</v>
      </c>
      <c r="Z589">
        <f>Source!V148</f>
        <v>0</v>
      </c>
      <c r="AA589">
        <f>Source!X148</f>
        <v>0</v>
      </c>
      <c r="AB589">
        <f>Source!Y148</f>
        <v>0</v>
      </c>
    </row>
    <row r="590" spans="1:28" ht="14.25" x14ac:dyDescent="0.2">
      <c r="C590" s="23" t="s">
        <v>1216</v>
      </c>
      <c r="D590" s="23">
        <f>Source!BC148</f>
        <v>6.71</v>
      </c>
      <c r="F590" s="12"/>
      <c r="G590" s="12"/>
      <c r="H590" s="12"/>
    </row>
    <row r="591" spans="1:28" ht="42.75" x14ac:dyDescent="0.2">
      <c r="A591" s="46">
        <v>88</v>
      </c>
      <c r="B591" s="46" t="str">
        <f>Source!E149</f>
        <v>36,2</v>
      </c>
      <c r="C591" s="46" t="str">
        <f>Source!G149</f>
        <v>Краски для внутренних работ масляные готовые к применению МА-15 БИО</v>
      </c>
      <c r="D591" s="46" t="str">
        <f>Source!F149</f>
        <v>14.4.02.04-0101</v>
      </c>
      <c r="E591" s="31" t="str">
        <f>Source!H149</f>
        <v>т</v>
      </c>
      <c r="F591" s="12">
        <f>Source!I149</f>
        <v>1.5349999999999999E-3</v>
      </c>
      <c r="G591" s="22">
        <f>Source!AB149</f>
        <v>42508.19</v>
      </c>
      <c r="H591" s="22">
        <f>Source!O149</f>
        <v>437.83</v>
      </c>
      <c r="T591">
        <f>Source!O149+Source!X149+Source!Y149</f>
        <v>437.83</v>
      </c>
      <c r="U591">
        <f>Source!P149</f>
        <v>437.83</v>
      </c>
      <c r="V591">
        <f>Source!S149</f>
        <v>0</v>
      </c>
      <c r="W591">
        <f>Source!Q149</f>
        <v>0</v>
      </c>
      <c r="X591">
        <f>Source!R149</f>
        <v>0</v>
      </c>
      <c r="Y591">
        <f>Source!U149</f>
        <v>0</v>
      </c>
      <c r="Z591">
        <f>Source!V149</f>
        <v>0</v>
      </c>
      <c r="AA591">
        <f>Source!X149</f>
        <v>0</v>
      </c>
      <c r="AB591">
        <f>Source!Y149</f>
        <v>0</v>
      </c>
    </row>
    <row r="592" spans="1:28" ht="14.25" x14ac:dyDescent="0.2">
      <c r="C592" s="23" t="s">
        <v>1216</v>
      </c>
      <c r="D592" s="23">
        <f>Source!BC149</f>
        <v>6.71</v>
      </c>
      <c r="F592" s="12"/>
      <c r="G592" s="12"/>
      <c r="H592" s="12"/>
    </row>
    <row r="593" spans="1:28" ht="28.5" x14ac:dyDescent="0.2">
      <c r="A593" s="46">
        <v>89</v>
      </c>
      <c r="B593" s="46" t="str">
        <f>Source!E150</f>
        <v>37</v>
      </c>
      <c r="C593" s="46" t="str">
        <f>Source!G150</f>
        <v>Проверка на прогрев отопительных приборов с регулировкой</v>
      </c>
      <c r="D593" s="46" t="str">
        <f>Source!F150</f>
        <v>65-24-1</v>
      </c>
      <c r="E593" s="31" t="str">
        <f>Source!H150</f>
        <v>100 ШТ</v>
      </c>
      <c r="F593" s="12">
        <f>Source!I150</f>
        <v>0.11</v>
      </c>
      <c r="G593" s="22">
        <f>Source!AB150</f>
        <v>134.18</v>
      </c>
      <c r="H593" s="22">
        <f>Source!O150</f>
        <v>99.04</v>
      </c>
      <c r="T593">
        <f>Source!O150+Source!X150+Source!Y150</f>
        <v>221.85000000000002</v>
      </c>
      <c r="U593">
        <f>Source!P150</f>
        <v>0</v>
      </c>
      <c r="V593">
        <f>Source!S150</f>
        <v>99.04</v>
      </c>
      <c r="W593">
        <f>Source!Q150</f>
        <v>0</v>
      </c>
      <c r="X593">
        <f>Source!R150</f>
        <v>0</v>
      </c>
      <c r="Y593">
        <f>Source!U150</f>
        <v>1.7302999999999999</v>
      </c>
      <c r="Z593">
        <f>Source!V150</f>
        <v>0</v>
      </c>
      <c r="AA593">
        <f>Source!X150</f>
        <v>73.290000000000006</v>
      </c>
      <c r="AB593">
        <f>Source!Y150</f>
        <v>49.52</v>
      </c>
    </row>
    <row r="594" spans="1:28" ht="14.25" x14ac:dyDescent="0.2">
      <c r="C594" s="23" t="str">
        <f>"Объем: "&amp;Source!I150&amp;"=11/"&amp;"100"</f>
        <v>Объем: 0,11=11/100</v>
      </c>
      <c r="F594" s="12"/>
      <c r="G594" s="12"/>
      <c r="H594" s="12"/>
    </row>
    <row r="595" spans="1:28" x14ac:dyDescent="0.2">
      <c r="C595" s="23" t="s">
        <v>1214</v>
      </c>
      <c r="D595" s="23">
        <f>Source!BA150</f>
        <v>6.71</v>
      </c>
    </row>
    <row r="596" spans="1:28" x14ac:dyDescent="0.2">
      <c r="C596" s="23" t="s">
        <v>1215</v>
      </c>
      <c r="D596" s="23">
        <f>Source!BB150</f>
        <v>6.71</v>
      </c>
    </row>
    <row r="597" spans="1:28" x14ac:dyDescent="0.2">
      <c r="C597" s="23" t="s">
        <v>1216</v>
      </c>
      <c r="D597" s="23">
        <f>Source!BC150</f>
        <v>6.71</v>
      </c>
    </row>
    <row r="598" spans="1:28" x14ac:dyDescent="0.2">
      <c r="C598" s="23" t="s">
        <v>1217</v>
      </c>
      <c r="D598" s="23">
        <f>Source!BS150</f>
        <v>6.71</v>
      </c>
    </row>
    <row r="599" spans="1:28" x14ac:dyDescent="0.2">
      <c r="C599" s="9" t="s">
        <v>1218</v>
      </c>
      <c r="D599" s="34"/>
      <c r="E599" s="34"/>
      <c r="F599" s="34">
        <f>Source!BZ150</f>
        <v>74</v>
      </c>
      <c r="G599" s="57">
        <f>(Source!AF150+Source!AE150)*Source!FX150/100</f>
        <v>99.293199999999999</v>
      </c>
      <c r="H599" s="57">
        <f>Source!X150</f>
        <v>73.290000000000006</v>
      </c>
    </row>
    <row r="600" spans="1:28" x14ac:dyDescent="0.2">
      <c r="C600" s="9" t="s">
        <v>1220</v>
      </c>
      <c r="D600" s="34"/>
      <c r="E600" s="34"/>
      <c r="F600" s="34">
        <f>Source!CA150</f>
        <v>50</v>
      </c>
      <c r="G600" s="57">
        <f>(Source!AF150+Source!AE150)*Source!FY150/100</f>
        <v>67.09</v>
      </c>
      <c r="H600" s="57">
        <f>Source!Y150</f>
        <v>49.52</v>
      </c>
    </row>
    <row r="601" spans="1:28" x14ac:dyDescent="0.2">
      <c r="C601" s="9" t="s">
        <v>1222</v>
      </c>
      <c r="D601" s="34"/>
      <c r="E601" s="34"/>
      <c r="F601" s="34"/>
      <c r="G601" s="57">
        <f>((Source!AF150+Source!AE150)*Source!FX150/100)+((Source!AF150+Source!AE150)*Source!FY150/100)+Source!AB150</f>
        <v>300.56319999999999</v>
      </c>
      <c r="H601" s="57">
        <f>Source!O150+Source!X150+Source!Y150</f>
        <v>221.85000000000002</v>
      </c>
    </row>
    <row r="603" spans="1:28" ht="15" x14ac:dyDescent="0.25">
      <c r="A603" s="58"/>
      <c r="B603" s="58"/>
      <c r="C603" s="70" t="str">
        <f>CONCATENATE("Итого по разделу: ",IF(Source!G152&lt;&gt;"Новый раздел", Source!G152, ""))</f>
        <v>Итого по разделу: 2 Отопление</v>
      </c>
      <c r="D603" s="70"/>
      <c r="E603" s="70"/>
      <c r="F603" s="70"/>
      <c r="G603" s="58"/>
      <c r="H603" s="59">
        <f>IF(SUM(T541:T602)=0, "-", SUM(T541:T602))</f>
        <v>136618.31999999998</v>
      </c>
    </row>
    <row r="604" spans="1:28" ht="15" x14ac:dyDescent="0.25">
      <c r="A604" s="58"/>
      <c r="B604" s="58"/>
      <c r="C604" s="58"/>
      <c r="D604" s="58"/>
      <c r="E604" s="58"/>
      <c r="F604" s="58"/>
      <c r="G604" s="58"/>
      <c r="H604" s="58"/>
    </row>
    <row r="607" spans="1:28" ht="16.5" x14ac:dyDescent="0.25">
      <c r="A607" s="73" t="str">
        <f>CONCATENATE("Раздел: ",IF(Source!G181&lt;&gt;"Новый раздел", Source!G181, ""))</f>
        <v>Раздел: 3 Электромонтажные работы</v>
      </c>
      <c r="B607" s="73"/>
      <c r="C607" s="73"/>
      <c r="D607" s="73"/>
      <c r="E607" s="73"/>
      <c r="F607" s="73"/>
      <c r="G607" s="73"/>
      <c r="H607" s="73"/>
    </row>
    <row r="608" spans="1:28" ht="14.25" x14ac:dyDescent="0.2">
      <c r="A608" s="46">
        <v>90</v>
      </c>
      <c r="B608" s="46" t="str">
        <f>Source!E185</f>
        <v>38</v>
      </c>
      <c r="C608" s="46" t="str">
        <f>Source!G185</f>
        <v>Демонтаж кабеля</v>
      </c>
      <c r="D608" s="46" t="str">
        <f>Source!F185</f>
        <v>67-3-1</v>
      </c>
      <c r="E608" s="31" t="str">
        <f>Source!H185</f>
        <v>100 м</v>
      </c>
      <c r="F608" s="12">
        <f>Source!I185</f>
        <v>2.42</v>
      </c>
      <c r="G608" s="22">
        <f>Source!AB185</f>
        <v>75.5</v>
      </c>
      <c r="H608" s="22">
        <f>Source!O185</f>
        <v>1225.98</v>
      </c>
      <c r="T608">
        <f>Source!O185+Source!X185+Source!Y185</f>
        <v>3060.8100000000004</v>
      </c>
      <c r="U608">
        <f>Source!P185</f>
        <v>0</v>
      </c>
      <c r="V608">
        <f>Source!S185</f>
        <v>1220.95</v>
      </c>
      <c r="W608">
        <f>Source!Q185</f>
        <v>5.03</v>
      </c>
      <c r="X608">
        <f>Source!R185</f>
        <v>2.27</v>
      </c>
      <c r="Y608">
        <f>Source!U185</f>
        <v>23.328800000000001</v>
      </c>
      <c r="Z608">
        <f>Source!V185</f>
        <v>2.4199999999999999E-2</v>
      </c>
      <c r="AA608">
        <f>Source!X185</f>
        <v>1039.74</v>
      </c>
      <c r="AB608">
        <f>Source!Y185</f>
        <v>795.09</v>
      </c>
    </row>
    <row r="609" spans="1:28" ht="14.25" x14ac:dyDescent="0.2">
      <c r="C609" s="23" t="str">
        <f>"Объем: "&amp;Source!I185&amp;"=242/"&amp;"100"</f>
        <v>Объем: 2,42=242/100</v>
      </c>
      <c r="F609" s="12"/>
      <c r="G609" s="12"/>
      <c r="H609" s="12"/>
    </row>
    <row r="610" spans="1:28" x14ac:dyDescent="0.2">
      <c r="C610" s="23" t="s">
        <v>1214</v>
      </c>
      <c r="D610" s="23">
        <f>Source!BA185</f>
        <v>6.71</v>
      </c>
    </row>
    <row r="611" spans="1:28" x14ac:dyDescent="0.2">
      <c r="C611" s="23" t="s">
        <v>1215</v>
      </c>
      <c r="D611" s="23">
        <f>Source!BB185</f>
        <v>6.71</v>
      </c>
    </row>
    <row r="612" spans="1:28" x14ac:dyDescent="0.2">
      <c r="C612" s="23" t="s">
        <v>1216</v>
      </c>
      <c r="D612" s="23">
        <f>Source!BC185</f>
        <v>6.71</v>
      </c>
    </row>
    <row r="613" spans="1:28" x14ac:dyDescent="0.2">
      <c r="C613" s="23" t="s">
        <v>1217</v>
      </c>
      <c r="D613" s="23">
        <f>Source!BS185</f>
        <v>6.71</v>
      </c>
    </row>
    <row r="614" spans="1:28" x14ac:dyDescent="0.2">
      <c r="C614" s="9" t="s">
        <v>1218</v>
      </c>
      <c r="D614" s="34"/>
      <c r="E614" s="34"/>
      <c r="F614" s="34">
        <f>Source!BZ185</f>
        <v>85</v>
      </c>
      <c r="G614" s="57">
        <f>(Source!AF185+Source!AE185)*Source!FX185/100</f>
        <v>64.030500000000004</v>
      </c>
      <c r="H614" s="57">
        <f>Source!X185</f>
        <v>1039.74</v>
      </c>
    </row>
    <row r="615" spans="1:28" x14ac:dyDescent="0.2">
      <c r="C615" s="9" t="s">
        <v>1220</v>
      </c>
      <c r="D615" s="34"/>
      <c r="E615" s="34"/>
      <c r="F615" s="34">
        <f>Source!CA185</f>
        <v>65</v>
      </c>
      <c r="G615" s="57">
        <f>(Source!AF185+Source!AE185)*Source!FY185/100</f>
        <v>48.964500000000001</v>
      </c>
      <c r="H615" s="57">
        <f>Source!Y185</f>
        <v>795.09</v>
      </c>
    </row>
    <row r="616" spans="1:28" x14ac:dyDescent="0.2">
      <c r="C616" s="9" t="s">
        <v>1222</v>
      </c>
      <c r="D616" s="34"/>
      <c r="E616" s="34"/>
      <c r="F616" s="34"/>
      <c r="G616" s="57">
        <f>((Source!AF185+Source!AE185)*Source!FX185/100)+((Source!AF185+Source!AE185)*Source!FY185/100)+Source!AB185</f>
        <v>188.495</v>
      </c>
      <c r="H616" s="57">
        <f>Source!O185+Source!X185+Source!Y185</f>
        <v>3060.8100000000004</v>
      </c>
    </row>
    <row r="617" spans="1:28" ht="28.5" x14ac:dyDescent="0.2">
      <c r="A617" s="46">
        <v>91</v>
      </c>
      <c r="B617" s="46" t="str">
        <f>Source!E186</f>
        <v>39</v>
      </c>
      <c r="C617" s="46" t="str">
        <f>Source!G186</f>
        <v>Демонтаж:Короба пластмассовые шириной до 40 мм</v>
      </c>
      <c r="D617" s="46" t="str">
        <f>Source!F186</f>
        <v>м08-02-390-01</v>
      </c>
      <c r="E617" s="31" t="str">
        <f>Source!H186</f>
        <v>100 м</v>
      </c>
      <c r="F617" s="12">
        <f>Source!I186</f>
        <v>0.96</v>
      </c>
      <c r="G617" s="22">
        <f>Source!AB186</f>
        <v>46.57</v>
      </c>
      <c r="H617" s="22">
        <f>Source!O186</f>
        <v>299.99</v>
      </c>
      <c r="T617">
        <f>Source!O186+Source!X186+Source!Y186</f>
        <v>779.47</v>
      </c>
      <c r="U617">
        <f>Source!P186</f>
        <v>0</v>
      </c>
      <c r="V617">
        <f>Source!S186</f>
        <v>299.41000000000003</v>
      </c>
      <c r="W617">
        <f>Source!Q186</f>
        <v>0.57999999999999996</v>
      </c>
      <c r="X617">
        <f>Source!R186</f>
        <v>0.26</v>
      </c>
      <c r="Y617">
        <f>Source!U186</f>
        <v>4.6915199999999997</v>
      </c>
      <c r="Z617">
        <f>Source!V186</f>
        <v>2.8799999999999997E-3</v>
      </c>
      <c r="AA617">
        <f>Source!X186</f>
        <v>284.69</v>
      </c>
      <c r="AB617">
        <f>Source!Y186</f>
        <v>194.79</v>
      </c>
    </row>
    <row r="618" spans="1:28" ht="14.25" x14ac:dyDescent="0.2">
      <c r="C618" s="23" t="str">
        <f>"Объем: "&amp;Source!I186&amp;"=96/"&amp;"100"</f>
        <v>Объем: 0,96=96/100</v>
      </c>
      <c r="F618" s="12"/>
      <c r="G618" s="12"/>
      <c r="H618" s="12"/>
    </row>
    <row r="619" spans="1:28" x14ac:dyDescent="0.2">
      <c r="C619" s="23" t="s">
        <v>1214</v>
      </c>
      <c r="D619" s="23">
        <f>Source!BA186</f>
        <v>6.71</v>
      </c>
    </row>
    <row r="620" spans="1:28" x14ac:dyDescent="0.2">
      <c r="C620" s="23" t="s">
        <v>1215</v>
      </c>
      <c r="D620" s="23">
        <f>Source!BB186</f>
        <v>6.71</v>
      </c>
    </row>
    <row r="621" spans="1:28" x14ac:dyDescent="0.2">
      <c r="C621" s="23" t="s">
        <v>1216</v>
      </c>
      <c r="D621" s="23">
        <f>Source!BC186</f>
        <v>6.71</v>
      </c>
    </row>
    <row r="622" spans="1:28" x14ac:dyDescent="0.2">
      <c r="C622" s="23" t="s">
        <v>1217</v>
      </c>
      <c r="D622" s="23">
        <f>Source!BS186</f>
        <v>6.71</v>
      </c>
    </row>
    <row r="623" spans="1:28" x14ac:dyDescent="0.2">
      <c r="C623" s="23" t="s">
        <v>1223</v>
      </c>
      <c r="D623" s="89" t="s">
        <v>31</v>
      </c>
      <c r="E623" s="89"/>
      <c r="F623" s="89"/>
      <c r="G623" s="89"/>
      <c r="H623" s="89"/>
    </row>
    <row r="624" spans="1:28" x14ac:dyDescent="0.2">
      <c r="C624" s="23" t="s">
        <v>1224</v>
      </c>
      <c r="D624" s="89" t="s">
        <v>471</v>
      </c>
      <c r="E624" s="89"/>
      <c r="F624" s="89"/>
      <c r="G624" s="89"/>
      <c r="H624" s="89"/>
    </row>
    <row r="625" spans="1:28" x14ac:dyDescent="0.2">
      <c r="C625" s="23" t="s">
        <v>1225</v>
      </c>
      <c r="D625" s="89" t="s">
        <v>471</v>
      </c>
      <c r="E625" s="89"/>
      <c r="F625" s="89"/>
      <c r="G625" s="89"/>
      <c r="H625" s="89"/>
    </row>
    <row r="626" spans="1:28" x14ac:dyDescent="0.2">
      <c r="C626" s="23" t="s">
        <v>1226</v>
      </c>
      <c r="D626" s="89" t="s">
        <v>471</v>
      </c>
      <c r="E626" s="89"/>
      <c r="F626" s="89"/>
      <c r="G626" s="89"/>
      <c r="H626" s="89"/>
    </row>
    <row r="627" spans="1:28" x14ac:dyDescent="0.2">
      <c r="C627" s="23" t="s">
        <v>1227</v>
      </c>
      <c r="D627" s="89" t="s">
        <v>471</v>
      </c>
      <c r="E627" s="89"/>
      <c r="F627" s="89"/>
      <c r="G627" s="89"/>
      <c r="H627" s="89"/>
    </row>
    <row r="628" spans="1:28" x14ac:dyDescent="0.2">
      <c r="C628" s="23" t="s">
        <v>1228</v>
      </c>
      <c r="D628" s="89" t="s">
        <v>471</v>
      </c>
      <c r="E628" s="89"/>
      <c r="F628" s="89"/>
      <c r="G628" s="89"/>
      <c r="H628" s="89"/>
    </row>
    <row r="629" spans="1:28" x14ac:dyDescent="0.2">
      <c r="C629" s="9" t="s">
        <v>1218</v>
      </c>
      <c r="D629" s="34"/>
      <c r="E629" s="34"/>
      <c r="F629" s="34">
        <f>Source!BZ186</f>
        <v>95</v>
      </c>
      <c r="G629" s="57">
        <f>(Source!AF186+Source!AE186)*Source!FX186/100</f>
        <v>44.193999999999996</v>
      </c>
      <c r="H629" s="57">
        <f>Source!X186</f>
        <v>284.69</v>
      </c>
    </row>
    <row r="630" spans="1:28" x14ac:dyDescent="0.2">
      <c r="C630" s="9" t="s">
        <v>1220</v>
      </c>
      <c r="D630" s="34"/>
      <c r="E630" s="34"/>
      <c r="F630" s="34">
        <f>Source!CA186</f>
        <v>65</v>
      </c>
      <c r="G630" s="57">
        <f>(Source!AF186+Source!AE186)*Source!FY186/100</f>
        <v>30.237999999999996</v>
      </c>
      <c r="H630" s="57">
        <f>Source!Y186</f>
        <v>194.79</v>
      </c>
    </row>
    <row r="631" spans="1:28" x14ac:dyDescent="0.2">
      <c r="C631" s="9" t="s">
        <v>1222</v>
      </c>
      <c r="D631" s="34"/>
      <c r="E631" s="34"/>
      <c r="F631" s="34"/>
      <c r="G631" s="57">
        <f>((Source!AF186+Source!AE186)*Source!FX186/100)+((Source!AF186+Source!AE186)*Source!FY186/100)+Source!AB186</f>
        <v>121.00199999999998</v>
      </c>
      <c r="H631" s="57">
        <f>Source!O186+Source!X186+Source!Y186</f>
        <v>779.47</v>
      </c>
    </row>
    <row r="632" spans="1:28" ht="71.25" x14ac:dyDescent="0.2">
      <c r="A632" s="46">
        <v>92</v>
      </c>
      <c r="B632" s="46" t="str">
        <f>Source!E187</f>
        <v>40</v>
      </c>
      <c r="C632" s="46" t="str">
        <f>Source!G187</f>
        <v>Демонтаж :Светильник отдельно устанавливаемый на подвесах (штангах) с количеством ламп в светильнике до 4 (на склад для хранения)</v>
      </c>
      <c r="D632" s="46" t="str">
        <f>Source!F187</f>
        <v>м08-03-594-08</v>
      </c>
      <c r="E632" s="31" t="str">
        <f>Source!H187</f>
        <v>100 ШТ</v>
      </c>
      <c r="F632" s="12">
        <f>Source!I187</f>
        <v>0.22</v>
      </c>
      <c r="G632" s="22">
        <f>Source!AB187</f>
        <v>1065.03</v>
      </c>
      <c r="H632" s="22">
        <f>Source!O187</f>
        <v>1572.2</v>
      </c>
      <c r="T632">
        <f>Source!O187+Source!X187+Source!Y187</f>
        <v>4012.03</v>
      </c>
      <c r="U632">
        <f>Source!P187</f>
        <v>0</v>
      </c>
      <c r="V632">
        <f>Source!S187</f>
        <v>1517.11</v>
      </c>
      <c r="W632">
        <f>Source!Q187</f>
        <v>55.09</v>
      </c>
      <c r="X632">
        <f>Source!R187</f>
        <v>7.78</v>
      </c>
      <c r="Y632">
        <f>Source!U187</f>
        <v>22.791999999999998</v>
      </c>
      <c r="Z632">
        <f>Source!V187</f>
        <v>9.2399999999999996E-2</v>
      </c>
      <c r="AA632">
        <f>Source!X187</f>
        <v>1448.65</v>
      </c>
      <c r="AB632">
        <f>Source!Y187</f>
        <v>991.18</v>
      </c>
    </row>
    <row r="633" spans="1:28" ht="14.25" x14ac:dyDescent="0.2">
      <c r="C633" s="23" t="str">
        <f>"Объем: "&amp;Source!I187&amp;"=22/"&amp;"100"</f>
        <v>Объем: 0,22=22/100</v>
      </c>
      <c r="F633" s="12"/>
      <c r="G633" s="12"/>
      <c r="H633" s="12"/>
    </row>
    <row r="634" spans="1:28" x14ac:dyDescent="0.2">
      <c r="C634" s="23" t="s">
        <v>1214</v>
      </c>
      <c r="D634" s="23">
        <f>Source!BA187</f>
        <v>6.71</v>
      </c>
    </row>
    <row r="635" spans="1:28" x14ac:dyDescent="0.2">
      <c r="C635" s="23" t="s">
        <v>1215</v>
      </c>
      <c r="D635" s="23">
        <f>Source!BB187</f>
        <v>6.71</v>
      </c>
    </row>
    <row r="636" spans="1:28" x14ac:dyDescent="0.2">
      <c r="C636" s="23" t="s">
        <v>1216</v>
      </c>
      <c r="D636" s="23">
        <f>Source!BC187</f>
        <v>6.71</v>
      </c>
    </row>
    <row r="637" spans="1:28" x14ac:dyDescent="0.2">
      <c r="C637" s="23" t="s">
        <v>1217</v>
      </c>
      <c r="D637" s="23">
        <f>Source!BS187</f>
        <v>6.71</v>
      </c>
    </row>
    <row r="638" spans="1:28" x14ac:dyDescent="0.2">
      <c r="C638" s="23" t="s">
        <v>1223</v>
      </c>
      <c r="D638" s="89" t="s">
        <v>31</v>
      </c>
      <c r="E638" s="89"/>
      <c r="F638" s="89"/>
      <c r="G638" s="89"/>
      <c r="H638" s="89"/>
    </row>
    <row r="639" spans="1:28" x14ac:dyDescent="0.2">
      <c r="C639" s="23" t="s">
        <v>1224</v>
      </c>
      <c r="D639" s="89" t="s">
        <v>32</v>
      </c>
      <c r="E639" s="89"/>
      <c r="F639" s="89"/>
      <c r="G639" s="89"/>
      <c r="H639" s="89"/>
    </row>
    <row r="640" spans="1:28" x14ac:dyDescent="0.2">
      <c r="C640" s="23" t="s">
        <v>1225</v>
      </c>
      <c r="D640" s="89" t="s">
        <v>32</v>
      </c>
      <c r="E640" s="89"/>
      <c r="F640" s="89"/>
      <c r="G640" s="89"/>
      <c r="H640" s="89"/>
    </row>
    <row r="641" spans="1:28" x14ac:dyDescent="0.2">
      <c r="C641" s="23" t="s">
        <v>1226</v>
      </c>
      <c r="D641" s="89" t="s">
        <v>32</v>
      </c>
      <c r="E641" s="89"/>
      <c r="F641" s="89"/>
      <c r="G641" s="89"/>
      <c r="H641" s="89"/>
    </row>
    <row r="642" spans="1:28" x14ac:dyDescent="0.2">
      <c r="C642" s="23" t="s">
        <v>1227</v>
      </c>
      <c r="D642" s="89" t="s">
        <v>32</v>
      </c>
      <c r="E642" s="89"/>
      <c r="F642" s="89"/>
      <c r="G642" s="89"/>
      <c r="H642" s="89"/>
    </row>
    <row r="643" spans="1:28" x14ac:dyDescent="0.2">
      <c r="C643" s="23" t="s">
        <v>1228</v>
      </c>
      <c r="D643" s="89" t="s">
        <v>32</v>
      </c>
      <c r="E643" s="89"/>
      <c r="F643" s="89"/>
      <c r="G643" s="89"/>
      <c r="H643" s="89"/>
    </row>
    <row r="644" spans="1:28" x14ac:dyDescent="0.2">
      <c r="C644" s="9" t="s">
        <v>1218</v>
      </c>
      <c r="D644" s="34"/>
      <c r="E644" s="34"/>
      <c r="F644" s="34">
        <f>Source!BZ187</f>
        <v>95</v>
      </c>
      <c r="G644" s="57">
        <f>(Source!AF187+Source!AE187)*Source!FX187/100</f>
        <v>981.33100000000002</v>
      </c>
      <c r="H644" s="57">
        <f>Source!X187</f>
        <v>1448.65</v>
      </c>
    </row>
    <row r="645" spans="1:28" x14ac:dyDescent="0.2">
      <c r="C645" s="9" t="s">
        <v>1220</v>
      </c>
      <c r="D645" s="34"/>
      <c r="E645" s="34"/>
      <c r="F645" s="34">
        <f>Source!CA187</f>
        <v>65</v>
      </c>
      <c r="G645" s="57">
        <f>(Source!AF187+Source!AE187)*Source!FY187/100</f>
        <v>671.43700000000001</v>
      </c>
      <c r="H645" s="57">
        <f>Source!Y187</f>
        <v>991.18</v>
      </c>
    </row>
    <row r="646" spans="1:28" x14ac:dyDescent="0.2">
      <c r="C646" s="9" t="s">
        <v>1222</v>
      </c>
      <c r="D646" s="34"/>
      <c r="E646" s="34"/>
      <c r="F646" s="34"/>
      <c r="G646" s="57">
        <f>((Source!AF187+Source!AE187)*Source!FX187/100)+((Source!AF187+Source!AE187)*Source!FY187/100)+Source!AB187</f>
        <v>2717.7979999999998</v>
      </c>
      <c r="H646" s="57">
        <f>Source!O187+Source!X187+Source!Y187</f>
        <v>4012.03</v>
      </c>
    </row>
    <row r="647" spans="1:28" ht="85.5" x14ac:dyDescent="0.2">
      <c r="A647" s="46">
        <v>93</v>
      </c>
      <c r="B647" s="46" t="str">
        <f>Source!E188</f>
        <v>41</v>
      </c>
      <c r="C647" s="46" t="str">
        <f>Source!G188</f>
        <v>Демонтаж проектора и проекторной доски :Аппарат штепсельный общего назначения, устанавливаемый на конструкции на стене или колонне, с контактами силовых цепей на ток до 63 А</v>
      </c>
      <c r="D647" s="46" t="str">
        <f>Source!F188</f>
        <v>м08-03-525-09 прим.</v>
      </c>
      <c r="E647" s="31" t="str">
        <f>Source!H188</f>
        <v>КОМПЛ</v>
      </c>
      <c r="F647" s="12">
        <f>Source!I188</f>
        <v>2</v>
      </c>
      <c r="G647" s="22">
        <f>Source!AB188</f>
        <v>13.33</v>
      </c>
      <c r="H647" s="22">
        <f>Source!O188</f>
        <v>178.89</v>
      </c>
      <c r="T647">
        <f>Source!O188+Source!X188+Source!Y188</f>
        <v>457.59000000000003</v>
      </c>
      <c r="U647">
        <f>Source!P188</f>
        <v>0</v>
      </c>
      <c r="V647">
        <f>Source!S188</f>
        <v>174.19</v>
      </c>
      <c r="W647">
        <f>Source!Q188</f>
        <v>4.7</v>
      </c>
      <c r="X647">
        <f>Source!R188</f>
        <v>0</v>
      </c>
      <c r="Y647">
        <f>Source!U188</f>
        <v>2.5079999999999996</v>
      </c>
      <c r="Z647">
        <f>Source!V188</f>
        <v>0</v>
      </c>
      <c r="AA647">
        <f>Source!X188</f>
        <v>165.48</v>
      </c>
      <c r="AB647">
        <f>Source!Y188</f>
        <v>113.22</v>
      </c>
    </row>
    <row r="648" spans="1:28" ht="14.25" x14ac:dyDescent="0.2">
      <c r="C648" s="23" t="s">
        <v>1214</v>
      </c>
      <c r="D648" s="23">
        <f>Source!BA188</f>
        <v>6.71</v>
      </c>
      <c r="F648" s="12"/>
      <c r="G648" s="12"/>
      <c r="H648" s="12"/>
    </row>
    <row r="649" spans="1:28" x14ac:dyDescent="0.2">
      <c r="C649" s="23" t="s">
        <v>1215</v>
      </c>
      <c r="D649" s="23">
        <f>Source!BB188</f>
        <v>6.71</v>
      </c>
    </row>
    <row r="650" spans="1:28" x14ac:dyDescent="0.2">
      <c r="C650" s="23" t="s">
        <v>1216</v>
      </c>
      <c r="D650" s="23">
        <f>Source!BC188</f>
        <v>6.71</v>
      </c>
    </row>
    <row r="651" spans="1:28" x14ac:dyDescent="0.2">
      <c r="C651" s="23" t="s">
        <v>1217</v>
      </c>
      <c r="D651" s="23">
        <f>Source!BS188</f>
        <v>6.71</v>
      </c>
    </row>
    <row r="652" spans="1:28" x14ac:dyDescent="0.2">
      <c r="C652" s="23" t="s">
        <v>1223</v>
      </c>
      <c r="D652" s="89" t="s">
        <v>31</v>
      </c>
      <c r="E652" s="89"/>
      <c r="F652" s="89"/>
      <c r="G652" s="89"/>
      <c r="H652" s="89"/>
    </row>
    <row r="653" spans="1:28" x14ac:dyDescent="0.2">
      <c r="C653" s="23" t="s">
        <v>1224</v>
      </c>
      <c r="D653" s="89" t="s">
        <v>486</v>
      </c>
      <c r="E653" s="89"/>
      <c r="F653" s="89"/>
      <c r="G653" s="89"/>
      <c r="H653" s="89"/>
    </row>
    <row r="654" spans="1:28" x14ac:dyDescent="0.2">
      <c r="C654" s="23" t="s">
        <v>1225</v>
      </c>
      <c r="D654" s="89" t="s">
        <v>486</v>
      </c>
      <c r="E654" s="89"/>
      <c r="F654" s="89"/>
      <c r="G654" s="89"/>
      <c r="H654" s="89"/>
    </row>
    <row r="655" spans="1:28" x14ac:dyDescent="0.2">
      <c r="C655" s="23" t="s">
        <v>1226</v>
      </c>
      <c r="D655" s="89" t="s">
        <v>486</v>
      </c>
      <c r="E655" s="89"/>
      <c r="F655" s="89"/>
      <c r="G655" s="89"/>
      <c r="H655" s="89"/>
    </row>
    <row r="656" spans="1:28" x14ac:dyDescent="0.2">
      <c r="C656" s="23" t="s">
        <v>1227</v>
      </c>
      <c r="D656" s="89" t="s">
        <v>486</v>
      </c>
      <c r="E656" s="89"/>
      <c r="F656" s="89"/>
      <c r="G656" s="89"/>
      <c r="H656" s="89"/>
    </row>
    <row r="657" spans="1:28" x14ac:dyDescent="0.2">
      <c r="C657" s="23" t="s">
        <v>1228</v>
      </c>
      <c r="D657" s="89" t="s">
        <v>486</v>
      </c>
      <c r="E657" s="89"/>
      <c r="F657" s="89"/>
      <c r="G657" s="89"/>
      <c r="H657" s="89"/>
    </row>
    <row r="658" spans="1:28" x14ac:dyDescent="0.2">
      <c r="C658" s="9" t="s">
        <v>1218</v>
      </c>
      <c r="D658" s="34"/>
      <c r="E658" s="34"/>
      <c r="F658" s="34">
        <f>Source!BZ188</f>
        <v>95</v>
      </c>
      <c r="G658" s="57">
        <f>(Source!AF188+Source!AE188)*Source!FX188/100</f>
        <v>12.331000000000001</v>
      </c>
      <c r="H658" s="57">
        <f>Source!X188</f>
        <v>165.48</v>
      </c>
    </row>
    <row r="659" spans="1:28" x14ac:dyDescent="0.2">
      <c r="C659" s="9" t="s">
        <v>1220</v>
      </c>
      <c r="D659" s="34"/>
      <c r="E659" s="34"/>
      <c r="F659" s="34">
        <f>Source!CA188</f>
        <v>65</v>
      </c>
      <c r="G659" s="57">
        <f>(Source!AF188+Source!AE188)*Source!FY188/100</f>
        <v>8.4370000000000012</v>
      </c>
      <c r="H659" s="57">
        <f>Source!Y188</f>
        <v>113.22</v>
      </c>
    </row>
    <row r="660" spans="1:28" x14ac:dyDescent="0.2">
      <c r="C660" s="9" t="s">
        <v>1222</v>
      </c>
      <c r="D660" s="34"/>
      <c r="E660" s="34"/>
      <c r="F660" s="34"/>
      <c r="G660" s="57">
        <f>((Source!AF188+Source!AE188)*Source!FX188/100)+((Source!AF188+Source!AE188)*Source!FY188/100)+Source!AB188</f>
        <v>34.097999999999999</v>
      </c>
      <c r="H660" s="57">
        <f>Source!O188+Source!X188+Source!Y188</f>
        <v>457.59000000000003</v>
      </c>
    </row>
    <row r="661" spans="1:28" ht="85.5" x14ac:dyDescent="0.2">
      <c r="A661" s="46">
        <v>94</v>
      </c>
      <c r="B661" s="46" t="str">
        <f>Source!E189</f>
        <v>42</v>
      </c>
      <c r="C661" s="46" t="str">
        <f>Source!G189</f>
        <v>Аппарат штепсельный общего назначения, устанавливаемый на конструкции на стене или колонне, с контактами силовых цепей на ток до 63 А (проектор и проекторная доска без материалов)</v>
      </c>
      <c r="D661" s="46" t="str">
        <f>Source!F189</f>
        <v>м08-03-525-09 прим.</v>
      </c>
      <c r="E661" s="31" t="str">
        <f>Source!H189</f>
        <v>КОМПЛ</v>
      </c>
      <c r="F661" s="12">
        <f>Source!I189</f>
        <v>2</v>
      </c>
      <c r="G661" s="22">
        <f>Source!AB189</f>
        <v>65.78</v>
      </c>
      <c r="H661" s="22">
        <f>Source!O189</f>
        <v>882.77</v>
      </c>
      <c r="T661">
        <f>Source!O189+Source!X189+Source!Y189</f>
        <v>1347.21</v>
      </c>
      <c r="U661">
        <f>Source!P189</f>
        <v>584.58000000000004</v>
      </c>
      <c r="V661">
        <f>Source!S189</f>
        <v>290.27</v>
      </c>
      <c r="W661">
        <f>Source!Q189</f>
        <v>7.92</v>
      </c>
      <c r="X661">
        <f>Source!R189</f>
        <v>0</v>
      </c>
      <c r="Y661">
        <f>Source!U189</f>
        <v>4.18</v>
      </c>
      <c r="Z661">
        <f>Source!V189</f>
        <v>0</v>
      </c>
      <c r="AA661">
        <f>Source!X189</f>
        <v>275.76</v>
      </c>
      <c r="AB661">
        <f>Source!Y189</f>
        <v>188.68</v>
      </c>
    </row>
    <row r="662" spans="1:28" ht="14.25" x14ac:dyDescent="0.2">
      <c r="C662" s="23" t="s">
        <v>1214</v>
      </c>
      <c r="D662" s="23">
        <f>Source!BA189</f>
        <v>6.71</v>
      </c>
      <c r="F662" s="12"/>
      <c r="G662" s="12"/>
      <c r="H662" s="12"/>
    </row>
    <row r="663" spans="1:28" x14ac:dyDescent="0.2">
      <c r="C663" s="23" t="s">
        <v>1215</v>
      </c>
      <c r="D663" s="23">
        <f>Source!BB189</f>
        <v>6.71</v>
      </c>
    </row>
    <row r="664" spans="1:28" x14ac:dyDescent="0.2">
      <c r="C664" s="23" t="s">
        <v>1216</v>
      </c>
      <c r="D664" s="23">
        <f>Source!BC189</f>
        <v>6.71</v>
      </c>
    </row>
    <row r="665" spans="1:28" x14ac:dyDescent="0.2">
      <c r="C665" s="23" t="s">
        <v>1217</v>
      </c>
      <c r="D665" s="23">
        <f>Source!BS189</f>
        <v>6.71</v>
      </c>
    </row>
    <row r="666" spans="1:28" x14ac:dyDescent="0.2">
      <c r="C666" s="9" t="s">
        <v>1218</v>
      </c>
      <c r="D666" s="34"/>
      <c r="E666" s="34"/>
      <c r="F666" s="34">
        <f>Source!BZ189</f>
        <v>95</v>
      </c>
      <c r="G666" s="57">
        <f>(Source!AF189+Source!AE189)*Source!FX189/100</f>
        <v>20.548500000000001</v>
      </c>
      <c r="H666" s="57">
        <f>Source!X189</f>
        <v>275.76</v>
      </c>
    </row>
    <row r="667" spans="1:28" x14ac:dyDescent="0.2">
      <c r="C667" s="9" t="s">
        <v>1220</v>
      </c>
      <c r="D667" s="34"/>
      <c r="E667" s="34"/>
      <c r="F667" s="34">
        <f>Source!CA189</f>
        <v>65</v>
      </c>
      <c r="G667" s="57">
        <f>(Source!AF189+Source!AE189)*Source!FY189/100</f>
        <v>14.0595</v>
      </c>
      <c r="H667" s="57">
        <f>Source!Y189</f>
        <v>188.68</v>
      </c>
    </row>
    <row r="668" spans="1:28" x14ac:dyDescent="0.2">
      <c r="C668" s="9" t="s">
        <v>1222</v>
      </c>
      <c r="D668" s="34"/>
      <c r="E668" s="34"/>
      <c r="F668" s="34"/>
      <c r="G668" s="57">
        <f>((Source!AF189+Source!AE189)*Source!FX189/100)+((Source!AF189+Source!AE189)*Source!FY189/100)+Source!AB189</f>
        <v>100.38800000000001</v>
      </c>
      <c r="H668" s="57">
        <f>Source!O189+Source!X189+Source!Y189</f>
        <v>1347.21</v>
      </c>
    </row>
    <row r="669" spans="1:28" ht="14.25" x14ac:dyDescent="0.2">
      <c r="A669" s="46">
        <v>95</v>
      </c>
      <c r="B669" s="46" t="str">
        <f>Source!E190</f>
        <v>43</v>
      </c>
      <c r="C669" s="46" t="str">
        <f>Source!G190</f>
        <v>Демонтаж выключателей, розеток</v>
      </c>
      <c r="D669" s="46" t="str">
        <f>Source!F190</f>
        <v>67-4-1</v>
      </c>
      <c r="E669" s="31" t="str">
        <f>Source!H190</f>
        <v>100 ШТ</v>
      </c>
      <c r="F669" s="12">
        <f>Source!I190</f>
        <v>1.1599999999999999</v>
      </c>
      <c r="G669" s="22">
        <f>Source!AB190</f>
        <v>45.55</v>
      </c>
      <c r="H669" s="22">
        <f>Source!O190</f>
        <v>354.54</v>
      </c>
      <c r="T669">
        <f>Source!O190+Source!X190+Source!Y190</f>
        <v>886.35000000000014</v>
      </c>
      <c r="U669">
        <f>Source!P190</f>
        <v>0</v>
      </c>
      <c r="V669">
        <f>Source!S190</f>
        <v>354.54</v>
      </c>
      <c r="W669">
        <f>Source!Q190</f>
        <v>0</v>
      </c>
      <c r="X669">
        <f>Source!R190</f>
        <v>0</v>
      </c>
      <c r="Y669">
        <f>Source!U190</f>
        <v>6.7743999999999991</v>
      </c>
      <c r="Z669">
        <f>Source!V190</f>
        <v>0</v>
      </c>
      <c r="AA669">
        <f>Source!X190</f>
        <v>301.36</v>
      </c>
      <c r="AB669">
        <f>Source!Y190</f>
        <v>230.45</v>
      </c>
    </row>
    <row r="670" spans="1:28" ht="14.25" x14ac:dyDescent="0.2">
      <c r="C670" s="23" t="str">
        <f>"Объем: "&amp;Source!I190&amp;"=116/"&amp;"100"</f>
        <v>Объем: 1,16=116/100</v>
      </c>
      <c r="F670" s="12"/>
      <c r="G670" s="12"/>
      <c r="H670" s="12"/>
    </row>
    <row r="671" spans="1:28" x14ac:dyDescent="0.2">
      <c r="C671" s="23" t="s">
        <v>1214</v>
      </c>
      <c r="D671" s="23">
        <f>Source!BA190</f>
        <v>6.71</v>
      </c>
    </row>
    <row r="672" spans="1:28" x14ac:dyDescent="0.2">
      <c r="C672" s="23" t="s">
        <v>1215</v>
      </c>
      <c r="D672" s="23">
        <f>Source!BB190</f>
        <v>6.71</v>
      </c>
    </row>
    <row r="673" spans="1:28" x14ac:dyDescent="0.2">
      <c r="C673" s="23" t="s">
        <v>1216</v>
      </c>
      <c r="D673" s="23">
        <f>Source!BC190</f>
        <v>6.71</v>
      </c>
    </row>
    <row r="674" spans="1:28" x14ac:dyDescent="0.2">
      <c r="C674" s="23" t="s">
        <v>1217</v>
      </c>
      <c r="D674" s="23">
        <f>Source!BS190</f>
        <v>6.71</v>
      </c>
    </row>
    <row r="675" spans="1:28" x14ac:dyDescent="0.2">
      <c r="C675" s="9" t="s">
        <v>1218</v>
      </c>
      <c r="D675" s="34"/>
      <c r="E675" s="34"/>
      <c r="F675" s="34">
        <f>Source!BZ190</f>
        <v>85</v>
      </c>
      <c r="G675" s="57">
        <f>(Source!AF190+Source!AE190)*Source!FX190/100</f>
        <v>38.717499999999994</v>
      </c>
      <c r="H675" s="57">
        <f>Source!X190</f>
        <v>301.36</v>
      </c>
    </row>
    <row r="676" spans="1:28" x14ac:dyDescent="0.2">
      <c r="C676" s="9" t="s">
        <v>1220</v>
      </c>
      <c r="D676" s="34"/>
      <c r="E676" s="34"/>
      <c r="F676" s="34">
        <f>Source!CA190</f>
        <v>65</v>
      </c>
      <c r="G676" s="57">
        <f>(Source!AF190+Source!AE190)*Source!FY190/100</f>
        <v>29.607500000000002</v>
      </c>
      <c r="H676" s="57">
        <f>Source!Y190</f>
        <v>230.45</v>
      </c>
    </row>
    <row r="677" spans="1:28" x14ac:dyDescent="0.2">
      <c r="C677" s="9" t="s">
        <v>1222</v>
      </c>
      <c r="D677" s="34"/>
      <c r="E677" s="34"/>
      <c r="F677" s="34"/>
      <c r="G677" s="57">
        <f>((Source!AF190+Source!AE190)*Source!FX190/100)+((Source!AF190+Source!AE190)*Source!FY190/100)+Source!AB190</f>
        <v>113.87499999999999</v>
      </c>
      <c r="H677" s="57">
        <f>Source!O190+Source!X190+Source!Y190</f>
        <v>886.35000000000014</v>
      </c>
    </row>
    <row r="678" spans="1:28" ht="42.75" x14ac:dyDescent="0.2">
      <c r="A678" s="46">
        <v>96</v>
      </c>
      <c r="B678" s="46" t="str">
        <f>Source!E191</f>
        <v>44</v>
      </c>
      <c r="C678" s="46" t="str">
        <f>Source!G191</f>
        <v>Пробивка отверстий в кирпичных стенах для  вручную при толщине стен в 1 кирпич</v>
      </c>
      <c r="D678" s="46" t="str">
        <f>Source!F191</f>
        <v>69-1-2</v>
      </c>
      <c r="E678" s="31" t="str">
        <f>Source!H191</f>
        <v>100 ШТ</v>
      </c>
      <c r="F678" s="12">
        <f>Source!I191</f>
        <v>0.08</v>
      </c>
      <c r="G678" s="22">
        <f>Source!AB191</f>
        <v>666.9</v>
      </c>
      <c r="H678" s="22">
        <f>Source!O191</f>
        <v>357.99</v>
      </c>
      <c r="T678">
        <f>Source!O191+Source!X191+Source!Y191</f>
        <v>816.22</v>
      </c>
      <c r="U678">
        <f>Source!P191</f>
        <v>0</v>
      </c>
      <c r="V678">
        <f>Source!S191</f>
        <v>357.99</v>
      </c>
      <c r="W678">
        <f>Source!Q191</f>
        <v>0</v>
      </c>
      <c r="X678">
        <f>Source!R191</f>
        <v>0</v>
      </c>
      <c r="Y678">
        <f>Source!U191</f>
        <v>6.84</v>
      </c>
      <c r="Z678">
        <f>Source!V191</f>
        <v>0</v>
      </c>
      <c r="AA678">
        <f>Source!X191</f>
        <v>279.23</v>
      </c>
      <c r="AB678">
        <f>Source!Y191</f>
        <v>179</v>
      </c>
    </row>
    <row r="679" spans="1:28" ht="14.25" x14ac:dyDescent="0.2">
      <c r="C679" s="23" t="str">
        <f>"Объем: "&amp;Source!I191&amp;"=8/"&amp;"100"</f>
        <v>Объем: 0,08=8/100</v>
      </c>
      <c r="F679" s="12"/>
      <c r="G679" s="12"/>
      <c r="H679" s="12"/>
    </row>
    <row r="680" spans="1:28" x14ac:dyDescent="0.2">
      <c r="C680" s="23" t="s">
        <v>1214</v>
      </c>
      <c r="D680" s="23">
        <f>Source!BA191</f>
        <v>6.71</v>
      </c>
    </row>
    <row r="681" spans="1:28" x14ac:dyDescent="0.2">
      <c r="C681" s="23" t="s">
        <v>1215</v>
      </c>
      <c r="D681" s="23">
        <f>Source!BB191</f>
        <v>6.71</v>
      </c>
    </row>
    <row r="682" spans="1:28" x14ac:dyDescent="0.2">
      <c r="C682" s="23" t="s">
        <v>1216</v>
      </c>
      <c r="D682" s="23">
        <f>Source!BC191</f>
        <v>6.71</v>
      </c>
    </row>
    <row r="683" spans="1:28" x14ac:dyDescent="0.2">
      <c r="C683" s="23" t="s">
        <v>1217</v>
      </c>
      <c r="D683" s="23">
        <f>Source!BS191</f>
        <v>6.71</v>
      </c>
    </row>
    <row r="684" spans="1:28" x14ac:dyDescent="0.2">
      <c r="C684" s="9" t="s">
        <v>1218</v>
      </c>
      <c r="D684" s="34"/>
      <c r="E684" s="34"/>
      <c r="F684" s="34">
        <f>Source!BZ191</f>
        <v>78</v>
      </c>
      <c r="G684" s="57">
        <f>(Source!AF191+Source!AE191)*Source!FX191/100</f>
        <v>520.18200000000002</v>
      </c>
      <c r="H684" s="57">
        <f>Source!X191</f>
        <v>279.23</v>
      </c>
    </row>
    <row r="685" spans="1:28" x14ac:dyDescent="0.2">
      <c r="C685" s="9" t="s">
        <v>1220</v>
      </c>
      <c r="D685" s="34"/>
      <c r="E685" s="34"/>
      <c r="F685" s="34">
        <f>Source!CA191</f>
        <v>50</v>
      </c>
      <c r="G685" s="57">
        <f>(Source!AF191+Source!AE191)*Source!FY191/100</f>
        <v>333.45</v>
      </c>
      <c r="H685" s="57">
        <f>Source!Y191</f>
        <v>179</v>
      </c>
    </row>
    <row r="686" spans="1:28" x14ac:dyDescent="0.2">
      <c r="C686" s="9" t="s">
        <v>1222</v>
      </c>
      <c r="D686" s="34"/>
      <c r="E686" s="34"/>
      <c r="F686" s="34"/>
      <c r="G686" s="57">
        <f>((Source!AF191+Source!AE191)*Source!FX191/100)+((Source!AF191+Source!AE191)*Source!FY191/100)+Source!AB191</f>
        <v>1520.5320000000002</v>
      </c>
      <c r="H686" s="57">
        <f>Source!O191+Source!X191+Source!Y191</f>
        <v>816.22</v>
      </c>
    </row>
    <row r="687" spans="1:28" ht="28.5" x14ac:dyDescent="0.2">
      <c r="A687" s="46">
        <v>97</v>
      </c>
      <c r="B687" s="46" t="str">
        <f>Source!E192</f>
        <v>45</v>
      </c>
      <c r="C687" s="46" t="str">
        <f>Source!G192</f>
        <v>Труба полиэтиленовая по основанию пола, диаметр до 50 мм</v>
      </c>
      <c r="D687" s="46" t="str">
        <f>Source!F192</f>
        <v>м08-02-410-02 прим.</v>
      </c>
      <c r="E687" s="31" t="str">
        <f>Source!H192</f>
        <v>100 м</v>
      </c>
      <c r="F687" s="12">
        <f>Source!I192</f>
        <v>0.08</v>
      </c>
      <c r="G687" s="22">
        <f>Source!AB192</f>
        <v>250.92</v>
      </c>
      <c r="H687" s="22">
        <f>Source!O192</f>
        <v>134.69</v>
      </c>
      <c r="T687">
        <f>Source!O192+Source!X192+Source!Y192</f>
        <v>260.43</v>
      </c>
      <c r="U687">
        <f>Source!P192</f>
        <v>47.1</v>
      </c>
      <c r="V687">
        <f>Source!S192</f>
        <v>77.099999999999994</v>
      </c>
      <c r="W687">
        <f>Source!Q192</f>
        <v>10.49</v>
      </c>
      <c r="X687">
        <f>Source!R192</f>
        <v>1.49</v>
      </c>
      <c r="Y687">
        <f>Source!U192</f>
        <v>1.2223999999999999</v>
      </c>
      <c r="Z687">
        <f>Source!V192</f>
        <v>1.7600000000000001E-2</v>
      </c>
      <c r="AA687">
        <f>Source!X192</f>
        <v>74.66</v>
      </c>
      <c r="AB687">
        <f>Source!Y192</f>
        <v>51.08</v>
      </c>
    </row>
    <row r="688" spans="1:28" ht="14.25" x14ac:dyDescent="0.2">
      <c r="C688" s="23" t="str">
        <f>"Объем: "&amp;Source!I192&amp;"=8/"&amp;"100"</f>
        <v>Объем: 0,08=8/100</v>
      </c>
      <c r="F688" s="12"/>
      <c r="G688" s="12"/>
      <c r="H688" s="12"/>
    </row>
    <row r="689" spans="1:28" x14ac:dyDescent="0.2">
      <c r="C689" s="23" t="s">
        <v>1214</v>
      </c>
      <c r="D689" s="23">
        <f>Source!BA192</f>
        <v>6.71</v>
      </c>
    </row>
    <row r="690" spans="1:28" x14ac:dyDescent="0.2">
      <c r="C690" s="23" t="s">
        <v>1215</v>
      </c>
      <c r="D690" s="23">
        <f>Source!BB192</f>
        <v>6.71</v>
      </c>
    </row>
    <row r="691" spans="1:28" x14ac:dyDescent="0.2">
      <c r="C691" s="23" t="s">
        <v>1216</v>
      </c>
      <c r="D691" s="23">
        <f>Source!BC192</f>
        <v>6.71</v>
      </c>
    </row>
    <row r="692" spans="1:28" x14ac:dyDescent="0.2">
      <c r="C692" s="23" t="s">
        <v>1217</v>
      </c>
      <c r="D692" s="23">
        <f>Source!BS192</f>
        <v>6.71</v>
      </c>
    </row>
    <row r="693" spans="1:28" x14ac:dyDescent="0.2">
      <c r="C693" s="9" t="s">
        <v>1218</v>
      </c>
      <c r="D693" s="34"/>
      <c r="E693" s="34"/>
      <c r="F693" s="34">
        <f>Source!BZ192</f>
        <v>95</v>
      </c>
      <c r="G693" s="57">
        <f>(Source!AF192+Source!AE192)*Source!FX192/100</f>
        <v>139.08000000000001</v>
      </c>
      <c r="H693" s="57">
        <f>Source!X192</f>
        <v>74.66</v>
      </c>
    </row>
    <row r="694" spans="1:28" x14ac:dyDescent="0.2">
      <c r="C694" s="9" t="s">
        <v>1220</v>
      </c>
      <c r="D694" s="34"/>
      <c r="E694" s="34"/>
      <c r="F694" s="34">
        <f>Source!CA192</f>
        <v>65</v>
      </c>
      <c r="G694" s="57">
        <f>(Source!AF192+Source!AE192)*Source!FY192/100</f>
        <v>95.16</v>
      </c>
      <c r="H694" s="57">
        <f>Source!Y192</f>
        <v>51.08</v>
      </c>
    </row>
    <row r="695" spans="1:28" x14ac:dyDescent="0.2">
      <c r="C695" s="9" t="s">
        <v>1222</v>
      </c>
      <c r="D695" s="34"/>
      <c r="E695" s="34"/>
      <c r="F695" s="34"/>
      <c r="G695" s="57">
        <f>((Source!AF192+Source!AE192)*Source!FX192/100)+((Source!AF192+Source!AE192)*Source!FY192/100)+Source!AB192</f>
        <v>485.15999999999997</v>
      </c>
      <c r="H695" s="57">
        <f>Source!O192+Source!X192+Source!Y192</f>
        <v>260.43</v>
      </c>
    </row>
    <row r="696" spans="1:28" ht="28.5" x14ac:dyDescent="0.2">
      <c r="A696" s="46">
        <v>98</v>
      </c>
      <c r="B696" s="46" t="str">
        <f>Source!E193</f>
        <v>45,1</v>
      </c>
      <c r="C696" s="46" t="str">
        <f>Source!G193</f>
        <v>Трубы гладкие одностенные легкие из ПНД, диаметром 32 мм</v>
      </c>
      <c r="D696" s="46" t="str">
        <f>Source!F193</f>
        <v>24.3.03.13-0304</v>
      </c>
      <c r="E696" s="31" t="str">
        <f>Source!H193</f>
        <v>10 м</v>
      </c>
      <c r="F696" s="12">
        <f>Source!I193</f>
        <v>0.8</v>
      </c>
      <c r="G696" s="22">
        <f>Source!AB193</f>
        <v>99.42</v>
      </c>
      <c r="H696" s="22">
        <f>Source!O193</f>
        <v>533.69000000000005</v>
      </c>
      <c r="T696">
        <f>Source!O193+Source!X193+Source!Y193</f>
        <v>533.69000000000005</v>
      </c>
      <c r="U696">
        <f>Source!P193</f>
        <v>533.69000000000005</v>
      </c>
      <c r="V696">
        <f>Source!S193</f>
        <v>0</v>
      </c>
      <c r="W696">
        <f>Source!Q193</f>
        <v>0</v>
      </c>
      <c r="X696">
        <f>Source!R193</f>
        <v>0</v>
      </c>
      <c r="Y696">
        <f>Source!U193</f>
        <v>0</v>
      </c>
      <c r="Z696">
        <f>Source!V193</f>
        <v>0</v>
      </c>
      <c r="AA696">
        <f>Source!X193</f>
        <v>0</v>
      </c>
      <c r="AB696">
        <f>Source!Y193</f>
        <v>0</v>
      </c>
    </row>
    <row r="697" spans="1:28" ht="14.25" x14ac:dyDescent="0.2">
      <c r="C697" s="23" t="s">
        <v>1216</v>
      </c>
      <c r="D697" s="23">
        <f>Source!BC193</f>
        <v>6.71</v>
      </c>
      <c r="F697" s="12"/>
      <c r="G697" s="12"/>
      <c r="H697" s="12"/>
    </row>
    <row r="698" spans="1:28" ht="28.5" x14ac:dyDescent="0.2">
      <c r="A698" s="46">
        <v>99</v>
      </c>
      <c r="B698" s="46" t="str">
        <f>Source!E194</f>
        <v>46</v>
      </c>
      <c r="C698" s="46" t="str">
        <f>Source!G194</f>
        <v>Коробка ответвительная на стене</v>
      </c>
      <c r="D698" s="46" t="str">
        <f>Source!F194</f>
        <v>м10-08-019-01</v>
      </c>
      <c r="E698" s="31" t="str">
        <f>Source!H194</f>
        <v>ШТ</v>
      </c>
      <c r="F698" s="12">
        <f>Source!I194</f>
        <v>62</v>
      </c>
      <c r="G698" s="22">
        <f>Source!AB194</f>
        <v>5.29</v>
      </c>
      <c r="H698" s="22">
        <f>Source!O194</f>
        <v>2200.75</v>
      </c>
      <c r="T698">
        <f>Source!O194+Source!X194+Source!Y194</f>
        <v>5043</v>
      </c>
      <c r="U698">
        <f>Source!P194</f>
        <v>170.57</v>
      </c>
      <c r="V698">
        <f>Source!S194</f>
        <v>2030.18</v>
      </c>
      <c r="W698">
        <f>Source!Q194</f>
        <v>0</v>
      </c>
      <c r="X698">
        <f>Source!R194</f>
        <v>0</v>
      </c>
      <c r="Y698">
        <f>Source!U194</f>
        <v>31</v>
      </c>
      <c r="Z698">
        <f>Source!V194</f>
        <v>0</v>
      </c>
      <c r="AA698">
        <f>Source!X194</f>
        <v>1624.14</v>
      </c>
      <c r="AB698">
        <f>Source!Y194</f>
        <v>1218.1099999999999</v>
      </c>
    </row>
    <row r="699" spans="1:28" ht="14.25" x14ac:dyDescent="0.2">
      <c r="C699" s="23" t="s">
        <v>1214</v>
      </c>
      <c r="D699" s="23">
        <f>Source!BA194</f>
        <v>6.71</v>
      </c>
      <c r="F699" s="12"/>
      <c r="G699" s="12"/>
      <c r="H699" s="12"/>
    </row>
    <row r="700" spans="1:28" x14ac:dyDescent="0.2">
      <c r="C700" s="23" t="s">
        <v>1215</v>
      </c>
      <c r="D700" s="23">
        <f>Source!BB194</f>
        <v>6.71</v>
      </c>
    </row>
    <row r="701" spans="1:28" x14ac:dyDescent="0.2">
      <c r="C701" s="23" t="s">
        <v>1216</v>
      </c>
      <c r="D701" s="23">
        <f>Source!BC194</f>
        <v>6.71</v>
      </c>
    </row>
    <row r="702" spans="1:28" x14ac:dyDescent="0.2">
      <c r="C702" s="23" t="s">
        <v>1217</v>
      </c>
      <c r="D702" s="23">
        <f>Source!BS194</f>
        <v>6.71</v>
      </c>
    </row>
    <row r="703" spans="1:28" x14ac:dyDescent="0.2">
      <c r="C703" s="9" t="s">
        <v>1218</v>
      </c>
      <c r="D703" s="34"/>
      <c r="E703" s="34"/>
      <c r="F703" s="34">
        <f>Source!BZ194</f>
        <v>80</v>
      </c>
      <c r="G703" s="57">
        <f>(Source!AF194+Source!AE194)*Source!FX194/100</f>
        <v>3.9039999999999999</v>
      </c>
      <c r="H703" s="57">
        <f>Source!X194</f>
        <v>1624.14</v>
      </c>
    </row>
    <row r="704" spans="1:28" x14ac:dyDescent="0.2">
      <c r="C704" s="9" t="s">
        <v>1220</v>
      </c>
      <c r="D704" s="34"/>
      <c r="E704" s="34"/>
      <c r="F704" s="34">
        <f>Source!CA194</f>
        <v>60</v>
      </c>
      <c r="G704" s="57">
        <f>(Source!AF194+Source!AE194)*Source!FY194/100</f>
        <v>2.9279999999999999</v>
      </c>
      <c r="H704" s="57">
        <f>Source!Y194</f>
        <v>1218.1099999999999</v>
      </c>
    </row>
    <row r="705" spans="1:28" x14ac:dyDescent="0.2">
      <c r="C705" s="9" t="s">
        <v>1222</v>
      </c>
      <c r="D705" s="34"/>
      <c r="E705" s="34"/>
      <c r="F705" s="34"/>
      <c r="G705" s="57">
        <f>((Source!AF194+Source!AE194)*Source!FX194/100)+((Source!AF194+Source!AE194)*Source!FY194/100)+Source!AB194</f>
        <v>12.122</v>
      </c>
      <c r="H705" s="57">
        <f>Source!O194+Source!X194+Source!Y194</f>
        <v>5043</v>
      </c>
    </row>
    <row r="706" spans="1:28" ht="28.5" x14ac:dyDescent="0.2">
      <c r="A706" s="46">
        <v>100</v>
      </c>
      <c r="B706" s="46" t="str">
        <f>Source!E195</f>
        <v>46,1</v>
      </c>
      <c r="C706" s="46" t="str">
        <f>Source!G195</f>
        <v>Коробка ответвительная SchneiderElectrik 100x100x50мм прим.</v>
      </c>
      <c r="D706" s="46" t="str">
        <f>Source!F195</f>
        <v>20.5.02.04-0004</v>
      </c>
      <c r="E706" s="31" t="str">
        <f>Source!H195</f>
        <v>10 шт.</v>
      </c>
      <c r="F706" s="12">
        <f>Source!I195</f>
        <v>6.2</v>
      </c>
      <c r="G706" s="22">
        <f>Source!AB195</f>
        <v>62.4</v>
      </c>
      <c r="H706" s="22">
        <f>Source!O195</f>
        <v>2595.96</v>
      </c>
      <c r="T706">
        <f>Source!O195+Source!X195+Source!Y195</f>
        <v>2595.96</v>
      </c>
      <c r="U706">
        <f>Source!P195</f>
        <v>2595.96</v>
      </c>
      <c r="V706">
        <f>Source!S195</f>
        <v>0</v>
      </c>
      <c r="W706">
        <f>Source!Q195</f>
        <v>0</v>
      </c>
      <c r="X706">
        <f>Source!R195</f>
        <v>0</v>
      </c>
      <c r="Y706">
        <f>Source!U195</f>
        <v>0</v>
      </c>
      <c r="Z706">
        <f>Source!V195</f>
        <v>0</v>
      </c>
      <c r="AA706">
        <f>Source!X195</f>
        <v>0</v>
      </c>
      <c r="AB706">
        <f>Source!Y195</f>
        <v>0</v>
      </c>
    </row>
    <row r="707" spans="1:28" ht="14.25" x14ac:dyDescent="0.2">
      <c r="C707" s="23" t="s">
        <v>1216</v>
      </c>
      <c r="D707" s="23">
        <f>Source!BC195</f>
        <v>6.71</v>
      </c>
      <c r="F707" s="12"/>
      <c r="G707" s="12"/>
      <c r="H707" s="12"/>
    </row>
    <row r="708" spans="1:28" ht="28.5" x14ac:dyDescent="0.2">
      <c r="A708" s="46">
        <v>101</v>
      </c>
      <c r="B708" s="46" t="str">
        <f>Source!E196</f>
        <v>47</v>
      </c>
      <c r="C708" s="46" t="str">
        <f>Source!G196</f>
        <v>Короба пластмассовые шириной до 120 мм</v>
      </c>
      <c r="D708" s="46" t="str">
        <f>Source!F196</f>
        <v>м08-02-390-03</v>
      </c>
      <c r="E708" s="31" t="str">
        <f>Source!H196</f>
        <v>100 м</v>
      </c>
      <c r="F708" s="12">
        <f>Source!I196</f>
        <v>0.79</v>
      </c>
      <c r="G708" s="22">
        <f>Source!AB196</f>
        <v>286.92</v>
      </c>
      <c r="H708" s="22">
        <f>Source!O196</f>
        <v>1520.93</v>
      </c>
      <c r="T708">
        <f>Source!O196+Source!X196+Source!Y196</f>
        <v>3161.92</v>
      </c>
      <c r="U708">
        <f>Source!P196</f>
        <v>494.41</v>
      </c>
      <c r="V708">
        <f>Source!S196</f>
        <v>1024.8800000000001</v>
      </c>
      <c r="W708">
        <f>Source!Q196</f>
        <v>1.64</v>
      </c>
      <c r="X708">
        <f>Source!R196</f>
        <v>0.74</v>
      </c>
      <c r="Y708">
        <f>Source!U196</f>
        <v>16.060700000000001</v>
      </c>
      <c r="Z708">
        <f>Source!V196</f>
        <v>7.9000000000000008E-3</v>
      </c>
      <c r="AA708">
        <f>Source!X196</f>
        <v>974.34</v>
      </c>
      <c r="AB708">
        <f>Source!Y196</f>
        <v>666.65</v>
      </c>
    </row>
    <row r="709" spans="1:28" ht="14.25" x14ac:dyDescent="0.2">
      <c r="C709" s="23" t="str">
        <f>"Объем: "&amp;Source!I196&amp;"=79/"&amp;"100"</f>
        <v>Объем: 0,79=79/100</v>
      </c>
      <c r="F709" s="12"/>
      <c r="G709" s="12"/>
      <c r="H709" s="12"/>
    </row>
    <row r="710" spans="1:28" x14ac:dyDescent="0.2">
      <c r="C710" s="23" t="s">
        <v>1214</v>
      </c>
      <c r="D710" s="23">
        <f>Source!BA196</f>
        <v>6.71</v>
      </c>
    </row>
    <row r="711" spans="1:28" x14ac:dyDescent="0.2">
      <c r="C711" s="23" t="s">
        <v>1215</v>
      </c>
      <c r="D711" s="23">
        <f>Source!BB196</f>
        <v>6.71</v>
      </c>
    </row>
    <row r="712" spans="1:28" x14ac:dyDescent="0.2">
      <c r="C712" s="23" t="s">
        <v>1216</v>
      </c>
      <c r="D712" s="23">
        <f>Source!BC196</f>
        <v>6.71</v>
      </c>
    </row>
    <row r="713" spans="1:28" x14ac:dyDescent="0.2">
      <c r="C713" s="23" t="s">
        <v>1217</v>
      </c>
      <c r="D713" s="23">
        <f>Source!BS196</f>
        <v>6.71</v>
      </c>
    </row>
    <row r="714" spans="1:28" x14ac:dyDescent="0.2">
      <c r="C714" s="9" t="s">
        <v>1218</v>
      </c>
      <c r="D714" s="34"/>
      <c r="E714" s="34"/>
      <c r="F714" s="34">
        <f>Source!BZ196</f>
        <v>95</v>
      </c>
      <c r="G714" s="57">
        <f>(Source!AF196+Source!AE196)*Source!FX196/100</f>
        <v>183.80599999999998</v>
      </c>
      <c r="H714" s="57">
        <f>Source!X196</f>
        <v>974.34</v>
      </c>
    </row>
    <row r="715" spans="1:28" x14ac:dyDescent="0.2">
      <c r="C715" s="9" t="s">
        <v>1220</v>
      </c>
      <c r="D715" s="34"/>
      <c r="E715" s="34"/>
      <c r="F715" s="34">
        <f>Source!CA196</f>
        <v>65</v>
      </c>
      <c r="G715" s="57">
        <f>(Source!AF196+Source!AE196)*Source!FY196/100</f>
        <v>125.76199999999999</v>
      </c>
      <c r="H715" s="57">
        <f>Source!Y196</f>
        <v>666.65</v>
      </c>
    </row>
    <row r="716" spans="1:28" x14ac:dyDescent="0.2">
      <c r="C716" s="9" t="s">
        <v>1222</v>
      </c>
      <c r="D716" s="34"/>
      <c r="E716" s="34"/>
      <c r="F716" s="34"/>
      <c r="G716" s="57">
        <f>((Source!AF196+Source!AE196)*Source!FX196/100)+((Source!AF196+Source!AE196)*Source!FY196/100)+Source!AB196</f>
        <v>596.48800000000006</v>
      </c>
      <c r="H716" s="57">
        <f>Source!O196+Source!X196+Source!Y196</f>
        <v>3161.92</v>
      </c>
    </row>
    <row r="717" spans="1:28" ht="28.5" x14ac:dyDescent="0.2">
      <c r="A717" s="46">
        <v>102</v>
      </c>
      <c r="B717" s="46" t="str">
        <f>Source!E197</f>
        <v>47,1</v>
      </c>
      <c r="C717" s="46" t="str">
        <f>Source!G197</f>
        <v>Кабель-канал (короб)  Efapel 110x50 мм прим.</v>
      </c>
      <c r="D717" s="46" t="str">
        <f>Source!F197</f>
        <v>20.2.05.04-0034</v>
      </c>
      <c r="E717" s="31" t="str">
        <f>Source!H197</f>
        <v>100 м</v>
      </c>
      <c r="F717" s="12">
        <f>Source!I197</f>
        <v>0.79</v>
      </c>
      <c r="G717" s="22">
        <f>Source!AB197</f>
        <v>1360</v>
      </c>
      <c r="H717" s="22">
        <f>Source!O197</f>
        <v>7209.22</v>
      </c>
      <c r="T717">
        <f>Source!O197+Source!X197+Source!Y197</f>
        <v>7209.22</v>
      </c>
      <c r="U717">
        <f>Source!P197</f>
        <v>7209.22</v>
      </c>
      <c r="V717">
        <f>Source!S197</f>
        <v>0</v>
      </c>
      <c r="W717">
        <f>Source!Q197</f>
        <v>0</v>
      </c>
      <c r="X717">
        <f>Source!R197</f>
        <v>0</v>
      </c>
      <c r="Y717">
        <f>Source!U197</f>
        <v>0</v>
      </c>
      <c r="Z717">
        <f>Source!V197</f>
        <v>0</v>
      </c>
      <c r="AA717">
        <f>Source!X197</f>
        <v>0</v>
      </c>
      <c r="AB717">
        <f>Source!Y197</f>
        <v>0</v>
      </c>
    </row>
    <row r="718" spans="1:28" ht="14.25" x14ac:dyDescent="0.2">
      <c r="C718" s="23" t="s">
        <v>1216</v>
      </c>
      <c r="D718" s="23">
        <f>Source!BC197</f>
        <v>6.71</v>
      </c>
      <c r="F718" s="12"/>
      <c r="G718" s="12"/>
      <c r="H718" s="12"/>
    </row>
    <row r="719" spans="1:28" ht="28.5" x14ac:dyDescent="0.2">
      <c r="A719" s="46">
        <v>103</v>
      </c>
      <c r="B719" s="46" t="str">
        <f>Source!E198</f>
        <v>48</v>
      </c>
      <c r="C719" s="46" t="str">
        <f>Source!G198</f>
        <v>Прокладка труб гофрированных ПВХ для защиты проводов и кабелей</v>
      </c>
      <c r="D719" s="46" t="str">
        <f>Source!F198</f>
        <v>м08-10-010-01</v>
      </c>
      <c r="E719" s="31" t="str">
        <f>Source!H198</f>
        <v>100 м</v>
      </c>
      <c r="F719" s="12">
        <f>Source!I198</f>
        <v>3.15</v>
      </c>
      <c r="G719" s="22">
        <f>Source!AB198</f>
        <v>156.33000000000001</v>
      </c>
      <c r="H719" s="22">
        <f>Source!O198</f>
        <v>3304.27</v>
      </c>
      <c r="T719">
        <f>Source!O198+Source!X198+Source!Y198</f>
        <v>8023.2900000000009</v>
      </c>
      <c r="U719">
        <f>Source!P198</f>
        <v>354.88</v>
      </c>
      <c r="V719">
        <f>Source!S198</f>
        <v>2949.39</v>
      </c>
      <c r="W719">
        <f>Source!Q198</f>
        <v>0</v>
      </c>
      <c r="X719">
        <f>Source!R198</f>
        <v>0</v>
      </c>
      <c r="Y719">
        <f>Source!U198</f>
        <v>47.879999999999995</v>
      </c>
      <c r="Z719">
        <f>Source!V198</f>
        <v>0</v>
      </c>
      <c r="AA719">
        <f>Source!X198</f>
        <v>2801.92</v>
      </c>
      <c r="AB719">
        <f>Source!Y198</f>
        <v>1917.1</v>
      </c>
    </row>
    <row r="720" spans="1:28" ht="14.25" x14ac:dyDescent="0.2">
      <c r="C720" s="23" t="str">
        <f>"Объем: "&amp;Source!I198&amp;"=315/"&amp;"100"</f>
        <v>Объем: 3,15=315/100</v>
      </c>
      <c r="F720" s="12"/>
      <c r="G720" s="12"/>
      <c r="H720" s="12"/>
    </row>
    <row r="721" spans="1:28" x14ac:dyDescent="0.2">
      <c r="C721" s="23" t="s">
        <v>1214</v>
      </c>
      <c r="D721" s="23">
        <f>Source!BA198</f>
        <v>6.71</v>
      </c>
    </row>
    <row r="722" spans="1:28" x14ac:dyDescent="0.2">
      <c r="C722" s="23" t="s">
        <v>1215</v>
      </c>
      <c r="D722" s="23">
        <f>Source!BB198</f>
        <v>6.71</v>
      </c>
    </row>
    <row r="723" spans="1:28" x14ac:dyDescent="0.2">
      <c r="C723" s="23" t="s">
        <v>1216</v>
      </c>
      <c r="D723" s="23">
        <f>Source!BC198</f>
        <v>6.71</v>
      </c>
    </row>
    <row r="724" spans="1:28" x14ac:dyDescent="0.2">
      <c r="C724" s="23" t="s">
        <v>1217</v>
      </c>
      <c r="D724" s="23">
        <f>Source!BS198</f>
        <v>6.71</v>
      </c>
    </row>
    <row r="725" spans="1:28" x14ac:dyDescent="0.2">
      <c r="C725" s="9" t="s">
        <v>1218</v>
      </c>
      <c r="D725" s="34"/>
      <c r="E725" s="34"/>
      <c r="F725" s="34">
        <f>Source!BZ198</f>
        <v>95</v>
      </c>
      <c r="G725" s="57">
        <f>(Source!AF198+Source!AE198)*Source!FX198/100</f>
        <v>132.56299999999999</v>
      </c>
      <c r="H725" s="57">
        <f>Source!X198</f>
        <v>2801.92</v>
      </c>
    </row>
    <row r="726" spans="1:28" x14ac:dyDescent="0.2">
      <c r="C726" s="9" t="s">
        <v>1220</v>
      </c>
      <c r="D726" s="34"/>
      <c r="E726" s="34"/>
      <c r="F726" s="34">
        <f>Source!CA198</f>
        <v>65</v>
      </c>
      <c r="G726" s="57">
        <f>(Source!AF198+Source!AE198)*Source!FY198/100</f>
        <v>90.701000000000008</v>
      </c>
      <c r="H726" s="57">
        <f>Source!Y198</f>
        <v>1917.1</v>
      </c>
    </row>
    <row r="727" spans="1:28" x14ac:dyDescent="0.2">
      <c r="C727" s="9" t="s">
        <v>1222</v>
      </c>
      <c r="D727" s="34"/>
      <c r="E727" s="34"/>
      <c r="F727" s="34"/>
      <c r="G727" s="57">
        <f>((Source!AF198+Source!AE198)*Source!FX198/100)+((Source!AF198+Source!AE198)*Source!FY198/100)+Source!AB198</f>
        <v>379.59400000000005</v>
      </c>
      <c r="H727" s="57">
        <f>Source!O198+Source!X198+Source!Y198</f>
        <v>8023.2900000000009</v>
      </c>
    </row>
    <row r="728" spans="1:28" ht="42.75" x14ac:dyDescent="0.2">
      <c r="A728" s="46">
        <v>104</v>
      </c>
      <c r="B728" s="46" t="str">
        <f>Source!E199</f>
        <v>48,1</v>
      </c>
      <c r="C728" s="46" t="str">
        <f>Source!G199</f>
        <v>Трубы гибкие гофрированные легкие из ПНД, серии BL, с зондом, диаметром 20 мм</v>
      </c>
      <c r="D728" s="46" t="str">
        <f>Source!F199</f>
        <v>24.3.03.05-0012</v>
      </c>
      <c r="E728" s="31" t="str">
        <f>Source!H199</f>
        <v>10 м</v>
      </c>
      <c r="F728" s="12">
        <f>Source!I199</f>
        <v>31.5</v>
      </c>
      <c r="G728" s="22">
        <f>Source!AB199</f>
        <v>31.6</v>
      </c>
      <c r="H728" s="22">
        <f>Source!O199</f>
        <v>6679.13</v>
      </c>
      <c r="T728">
        <f>Source!O199+Source!X199+Source!Y199</f>
        <v>6679.13</v>
      </c>
      <c r="U728">
        <f>Source!P199</f>
        <v>6679.13</v>
      </c>
      <c r="V728">
        <f>Source!S199</f>
        <v>0</v>
      </c>
      <c r="W728">
        <f>Source!Q199</f>
        <v>0</v>
      </c>
      <c r="X728">
        <f>Source!R199</f>
        <v>0</v>
      </c>
      <c r="Y728">
        <f>Source!U199</f>
        <v>0</v>
      </c>
      <c r="Z728">
        <f>Source!V199</f>
        <v>0</v>
      </c>
      <c r="AA728">
        <f>Source!X199</f>
        <v>0</v>
      </c>
      <c r="AB728">
        <f>Source!Y199</f>
        <v>0</v>
      </c>
    </row>
    <row r="729" spans="1:28" ht="14.25" x14ac:dyDescent="0.2">
      <c r="C729" s="23" t="s">
        <v>1216</v>
      </c>
      <c r="D729" s="23">
        <f>Source!BC199</f>
        <v>6.71</v>
      </c>
      <c r="F729" s="12"/>
      <c r="G729" s="12"/>
      <c r="H729" s="12"/>
    </row>
    <row r="730" spans="1:28" ht="28.5" x14ac:dyDescent="0.2">
      <c r="A730" s="46">
        <v>105</v>
      </c>
      <c r="B730" s="46" t="str">
        <f>Source!E200</f>
        <v>49</v>
      </c>
      <c r="C730" s="46" t="str">
        <f>Source!G200</f>
        <v>Провод в коробах, сечением до 35 мм2</v>
      </c>
      <c r="D730" s="46" t="str">
        <f>Source!F200</f>
        <v>м08-02-399-02 прим.</v>
      </c>
      <c r="E730" s="31" t="str">
        <f>Source!H200</f>
        <v>100 м</v>
      </c>
      <c r="F730" s="12">
        <f>Source!I200</f>
        <v>2.56</v>
      </c>
      <c r="G730" s="22">
        <f>Source!AB200</f>
        <v>50.72</v>
      </c>
      <c r="H730" s="22">
        <f>Source!O200</f>
        <v>871.26</v>
      </c>
      <c r="T730">
        <f>Source!O200+Source!X200+Source!Y200</f>
        <v>1849.7</v>
      </c>
      <c r="U730">
        <f>Source!P200</f>
        <v>233.62</v>
      </c>
      <c r="V730">
        <f>Source!S200</f>
        <v>607.05999999999995</v>
      </c>
      <c r="W730">
        <f>Source!Q200</f>
        <v>30.58</v>
      </c>
      <c r="X730">
        <f>Source!R200</f>
        <v>4.47</v>
      </c>
      <c r="Y730">
        <f>Source!U200</f>
        <v>9.6256000000000004</v>
      </c>
      <c r="Z730">
        <f>Source!V200</f>
        <v>5.1200000000000002E-2</v>
      </c>
      <c r="AA730">
        <f>Source!X200</f>
        <v>580.95000000000005</v>
      </c>
      <c r="AB730">
        <f>Source!Y200</f>
        <v>397.49</v>
      </c>
    </row>
    <row r="731" spans="1:28" ht="14.25" x14ac:dyDescent="0.2">
      <c r="C731" s="23" t="str">
        <f>"Объем: "&amp;Source!I200&amp;"=256/"&amp;"100"</f>
        <v>Объем: 2,56=256/100</v>
      </c>
      <c r="F731" s="12"/>
      <c r="G731" s="12"/>
      <c r="H731" s="12"/>
    </row>
    <row r="732" spans="1:28" x14ac:dyDescent="0.2">
      <c r="C732" s="23" t="s">
        <v>1214</v>
      </c>
      <c r="D732" s="23">
        <f>Source!BA200</f>
        <v>6.71</v>
      </c>
    </row>
    <row r="733" spans="1:28" x14ac:dyDescent="0.2">
      <c r="C733" s="23" t="s">
        <v>1215</v>
      </c>
      <c r="D733" s="23">
        <f>Source!BB200</f>
        <v>6.71</v>
      </c>
    </row>
    <row r="734" spans="1:28" x14ac:dyDescent="0.2">
      <c r="C734" s="23" t="s">
        <v>1216</v>
      </c>
      <c r="D734" s="23">
        <f>Source!BC200</f>
        <v>6.71</v>
      </c>
    </row>
    <row r="735" spans="1:28" x14ac:dyDescent="0.2">
      <c r="C735" s="23" t="s">
        <v>1217</v>
      </c>
      <c r="D735" s="23">
        <f>Source!BS200</f>
        <v>6.71</v>
      </c>
    </row>
    <row r="736" spans="1:28" x14ac:dyDescent="0.2">
      <c r="C736" s="9" t="s">
        <v>1218</v>
      </c>
      <c r="D736" s="34"/>
      <c r="E736" s="34"/>
      <c r="F736" s="34">
        <f>Source!BZ200</f>
        <v>95</v>
      </c>
      <c r="G736" s="57">
        <f>(Source!AF200+Source!AE200)*Source!FX200/100</f>
        <v>33.82</v>
      </c>
      <c r="H736" s="57">
        <f>Source!X200</f>
        <v>580.95000000000005</v>
      </c>
    </row>
    <row r="737" spans="1:28" x14ac:dyDescent="0.2">
      <c r="C737" s="9" t="s">
        <v>1220</v>
      </c>
      <c r="D737" s="34"/>
      <c r="E737" s="34"/>
      <c r="F737" s="34">
        <f>Source!CA200</f>
        <v>65</v>
      </c>
      <c r="G737" s="57">
        <f>(Source!AF200+Source!AE200)*Source!FY200/100</f>
        <v>23.14</v>
      </c>
      <c r="H737" s="57">
        <f>Source!Y200</f>
        <v>397.49</v>
      </c>
    </row>
    <row r="738" spans="1:28" x14ac:dyDescent="0.2">
      <c r="C738" s="9" t="s">
        <v>1222</v>
      </c>
      <c r="D738" s="34"/>
      <c r="E738" s="34"/>
      <c r="F738" s="34"/>
      <c r="G738" s="57">
        <f>((Source!AF200+Source!AE200)*Source!FX200/100)+((Source!AF200+Source!AE200)*Source!FY200/100)+Source!AB200</f>
        <v>107.68</v>
      </c>
      <c r="H738" s="57">
        <f>Source!O200+Source!X200+Source!Y200</f>
        <v>1849.7</v>
      </c>
    </row>
    <row r="739" spans="1:28" ht="85.5" x14ac:dyDescent="0.2">
      <c r="A739" s="46">
        <v>106</v>
      </c>
      <c r="B739" s="46" t="str">
        <f>Source!E201</f>
        <v>49,1</v>
      </c>
      <c r="C739" s="46" t="str">
        <f>Source!G201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739" s="46" t="str">
        <f>Source!F201</f>
        <v>21.1.06.09-0152</v>
      </c>
      <c r="E739" s="31" t="str">
        <f>Source!H201</f>
        <v>1000 м</v>
      </c>
      <c r="F739" s="12">
        <f>Source!I201</f>
        <v>0.25600000000000001</v>
      </c>
      <c r="G739" s="22">
        <f>Source!AB201</f>
        <v>6920.41</v>
      </c>
      <c r="H739" s="22">
        <f>Source!O201</f>
        <v>11887.6</v>
      </c>
      <c r="T739">
        <f>Source!O201+Source!X201+Source!Y201</f>
        <v>11887.6</v>
      </c>
      <c r="U739">
        <f>Source!P201</f>
        <v>11887.6</v>
      </c>
      <c r="V739">
        <f>Source!S201</f>
        <v>0</v>
      </c>
      <c r="W739">
        <f>Source!Q201</f>
        <v>0</v>
      </c>
      <c r="X739">
        <f>Source!R201</f>
        <v>0</v>
      </c>
      <c r="Y739">
        <f>Source!U201</f>
        <v>0</v>
      </c>
      <c r="Z739">
        <f>Source!V201</f>
        <v>0</v>
      </c>
      <c r="AA739">
        <f>Source!X201</f>
        <v>0</v>
      </c>
      <c r="AB739">
        <f>Source!Y201</f>
        <v>0</v>
      </c>
    </row>
    <row r="740" spans="1:28" ht="14.25" x14ac:dyDescent="0.2">
      <c r="C740" s="23" t="s">
        <v>1216</v>
      </c>
      <c r="D740" s="23">
        <f>Source!BC201</f>
        <v>6.71</v>
      </c>
      <c r="F740" s="12"/>
      <c r="G740" s="12"/>
      <c r="H740" s="12"/>
    </row>
    <row r="741" spans="1:28" ht="71.25" x14ac:dyDescent="0.2">
      <c r="A741" s="46">
        <v>107</v>
      </c>
      <c r="B741" s="46" t="str">
        <f>Source!E202</f>
        <v>50</v>
      </c>
      <c r="C741" s="46" t="str">
        <f>Source!G202</f>
        <v>Затягивание провода в проложенные трубы и металлические рукава первого одножильного или многожильного в общей оплетке, суммарное сечение до 16 мм2</v>
      </c>
      <c r="D741" s="46" t="str">
        <f>Source!F202</f>
        <v>м08-02-412-03</v>
      </c>
      <c r="E741" s="31" t="str">
        <f>Source!H202</f>
        <v>100 м</v>
      </c>
      <c r="F741" s="12">
        <f>Source!I202</f>
        <v>3.51</v>
      </c>
      <c r="G741" s="22">
        <f>Source!AB202</f>
        <v>87.15</v>
      </c>
      <c r="H741" s="22">
        <f>Source!O202</f>
        <v>2052.5700000000002</v>
      </c>
      <c r="T741">
        <f>Source!O202+Source!X202+Source!Y202</f>
        <v>4309.43</v>
      </c>
      <c r="U741">
        <f>Source!P202</f>
        <v>534.4</v>
      </c>
      <c r="V741">
        <f>Source!S202</f>
        <v>1392.64</v>
      </c>
      <c r="W741">
        <f>Source!Q202</f>
        <v>125.53</v>
      </c>
      <c r="X741">
        <f>Source!R202</f>
        <v>17.899999999999999</v>
      </c>
      <c r="Y741">
        <f>Source!U202</f>
        <v>22.0779</v>
      </c>
      <c r="Z741">
        <f>Source!V202</f>
        <v>0.21059999999999998</v>
      </c>
      <c r="AA741">
        <f>Source!X202</f>
        <v>1340.01</v>
      </c>
      <c r="AB741">
        <f>Source!Y202</f>
        <v>916.85</v>
      </c>
    </row>
    <row r="742" spans="1:28" ht="14.25" x14ac:dyDescent="0.2">
      <c r="C742" s="23" t="str">
        <f>"Объем: "&amp;Source!I202&amp;"=351/"&amp;"100"</f>
        <v>Объем: 3,51=351/100</v>
      </c>
      <c r="F742" s="12"/>
      <c r="G742" s="12"/>
      <c r="H742" s="12"/>
    </row>
    <row r="743" spans="1:28" x14ac:dyDescent="0.2">
      <c r="C743" s="23" t="s">
        <v>1214</v>
      </c>
      <c r="D743" s="23">
        <f>Source!BA202</f>
        <v>6.71</v>
      </c>
    </row>
    <row r="744" spans="1:28" x14ac:dyDescent="0.2">
      <c r="C744" s="23" t="s">
        <v>1215</v>
      </c>
      <c r="D744" s="23">
        <f>Source!BB202</f>
        <v>6.71</v>
      </c>
    </row>
    <row r="745" spans="1:28" x14ac:dyDescent="0.2">
      <c r="C745" s="23" t="s">
        <v>1216</v>
      </c>
      <c r="D745" s="23">
        <f>Source!BC202</f>
        <v>6.71</v>
      </c>
    </row>
    <row r="746" spans="1:28" x14ac:dyDescent="0.2">
      <c r="C746" s="23" t="s">
        <v>1217</v>
      </c>
      <c r="D746" s="23">
        <f>Source!BS202</f>
        <v>6.71</v>
      </c>
    </row>
    <row r="747" spans="1:28" x14ac:dyDescent="0.2">
      <c r="C747" s="9" t="s">
        <v>1218</v>
      </c>
      <c r="D747" s="34"/>
      <c r="E747" s="34"/>
      <c r="F747" s="34">
        <f>Source!BZ202</f>
        <v>95</v>
      </c>
      <c r="G747" s="57">
        <f>(Source!AF202+Source!AE202)*Source!FX202/100</f>
        <v>56.895499999999998</v>
      </c>
      <c r="H747" s="57">
        <f>Source!X202</f>
        <v>1340.01</v>
      </c>
    </row>
    <row r="748" spans="1:28" x14ac:dyDescent="0.2">
      <c r="C748" s="9" t="s">
        <v>1220</v>
      </c>
      <c r="D748" s="34"/>
      <c r="E748" s="34"/>
      <c r="F748" s="34">
        <f>Source!CA202</f>
        <v>65</v>
      </c>
      <c r="G748" s="57">
        <f>(Source!AF202+Source!AE202)*Source!FY202/100</f>
        <v>38.9285</v>
      </c>
      <c r="H748" s="57">
        <f>Source!Y202</f>
        <v>916.85</v>
      </c>
    </row>
    <row r="749" spans="1:28" x14ac:dyDescent="0.2">
      <c r="C749" s="9" t="s">
        <v>1222</v>
      </c>
      <c r="D749" s="34"/>
      <c r="E749" s="34"/>
      <c r="F749" s="34"/>
      <c r="G749" s="57">
        <f>((Source!AF202+Source!AE202)*Source!FX202/100)+((Source!AF202+Source!AE202)*Source!FY202/100)+Source!AB202</f>
        <v>182.97399999999999</v>
      </c>
      <c r="H749" s="57">
        <f>Source!O202+Source!X202+Source!Y202</f>
        <v>4309.43</v>
      </c>
    </row>
    <row r="750" spans="1:28" ht="85.5" x14ac:dyDescent="0.2">
      <c r="A750" s="46">
        <v>108</v>
      </c>
      <c r="B750" s="46" t="str">
        <f>Source!E203</f>
        <v>50,1</v>
      </c>
      <c r="C750" s="46" t="str">
        <f>Source!G203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- 3 и сечением 2,5 мм2</v>
      </c>
      <c r="D750" s="46" t="str">
        <f>Source!F203</f>
        <v>21.1.06.09-0152</v>
      </c>
      <c r="E750" s="31" t="str">
        <f>Source!H203</f>
        <v>1000 м</v>
      </c>
      <c r="F750" s="12">
        <f>Source!I203</f>
        <v>0.35099999999999998</v>
      </c>
      <c r="G750" s="22">
        <f>Source!AB203</f>
        <v>6920.41</v>
      </c>
      <c r="H750" s="22">
        <f>Source!O203</f>
        <v>16299.02</v>
      </c>
      <c r="T750">
        <f>Source!O203+Source!X203+Source!Y203</f>
        <v>16299.02</v>
      </c>
      <c r="U750">
        <f>Source!P203</f>
        <v>16299.02</v>
      </c>
      <c r="V750">
        <f>Source!S203</f>
        <v>0</v>
      </c>
      <c r="W750">
        <f>Source!Q203</f>
        <v>0</v>
      </c>
      <c r="X750">
        <f>Source!R203</f>
        <v>0</v>
      </c>
      <c r="Y750">
        <f>Source!U203</f>
        <v>0</v>
      </c>
      <c r="Z750">
        <f>Source!V203</f>
        <v>0</v>
      </c>
      <c r="AA750">
        <f>Source!X203</f>
        <v>0</v>
      </c>
      <c r="AB750">
        <f>Source!Y203</f>
        <v>0</v>
      </c>
    </row>
    <row r="751" spans="1:28" ht="14.25" x14ac:dyDescent="0.2">
      <c r="C751" s="23" t="s">
        <v>1216</v>
      </c>
      <c r="D751" s="23">
        <f>Source!BC203</f>
        <v>6.71</v>
      </c>
      <c r="F751" s="12"/>
      <c r="G751" s="12"/>
      <c r="H751" s="12"/>
    </row>
    <row r="752" spans="1:28" ht="57" x14ac:dyDescent="0.2">
      <c r="A752" s="46">
        <v>109</v>
      </c>
      <c r="B752" s="46" t="str">
        <f>Source!E204</f>
        <v>51</v>
      </c>
      <c r="C752" s="46" t="str">
        <f>Source!G204</f>
        <v>Кабель до 35 кВ по установленным конструкциям и лоткам с креплением по всей длине, масса 1 м кабеля до 1 кг</v>
      </c>
      <c r="D752" s="46" t="str">
        <f>Source!F204</f>
        <v>м08-02-147-10</v>
      </c>
      <c r="E752" s="31" t="str">
        <f>Source!H204</f>
        <v>100 м</v>
      </c>
      <c r="F752" s="12">
        <f>Source!I204</f>
        <v>1.32</v>
      </c>
      <c r="G752" s="22">
        <f>Source!AB204</f>
        <v>221.46</v>
      </c>
      <c r="H752" s="22">
        <f>Source!O204</f>
        <v>1961.52</v>
      </c>
      <c r="T752">
        <f>Source!O204+Source!X204+Source!Y204</f>
        <v>3958.99</v>
      </c>
      <c r="U752">
        <f>Source!P204</f>
        <v>319.04000000000002</v>
      </c>
      <c r="V752">
        <f>Source!S204</f>
        <v>1203.96</v>
      </c>
      <c r="W752">
        <f>Source!Q204</f>
        <v>438.52</v>
      </c>
      <c r="X752">
        <f>Source!R204</f>
        <v>44.46</v>
      </c>
      <c r="Y752">
        <f>Source!U204</f>
        <v>18.651600000000002</v>
      </c>
      <c r="Z752">
        <f>Source!V204</f>
        <v>0.52800000000000002</v>
      </c>
      <c r="AA752">
        <f>Source!X204</f>
        <v>1186</v>
      </c>
      <c r="AB752">
        <f>Source!Y204</f>
        <v>811.47</v>
      </c>
    </row>
    <row r="753" spans="1:28" ht="14.25" x14ac:dyDescent="0.2">
      <c r="C753" s="23" t="str">
        <f>"Объем: "&amp;Source!I204&amp;"=132/"&amp;"100"</f>
        <v>Объем: 1,32=132/100</v>
      </c>
      <c r="F753" s="12"/>
      <c r="G753" s="12"/>
      <c r="H753" s="12"/>
    </row>
    <row r="754" spans="1:28" x14ac:dyDescent="0.2">
      <c r="C754" s="23" t="s">
        <v>1214</v>
      </c>
      <c r="D754" s="23">
        <f>Source!BA204</f>
        <v>6.71</v>
      </c>
    </row>
    <row r="755" spans="1:28" x14ac:dyDescent="0.2">
      <c r="C755" s="23" t="s">
        <v>1215</v>
      </c>
      <c r="D755" s="23">
        <f>Source!BB204</f>
        <v>6.71</v>
      </c>
    </row>
    <row r="756" spans="1:28" x14ac:dyDescent="0.2">
      <c r="C756" s="23" t="s">
        <v>1216</v>
      </c>
      <c r="D756" s="23">
        <f>Source!BC204</f>
        <v>6.71</v>
      </c>
    </row>
    <row r="757" spans="1:28" x14ac:dyDescent="0.2">
      <c r="C757" s="23" t="s">
        <v>1217</v>
      </c>
      <c r="D757" s="23">
        <f>Source!BS204</f>
        <v>6.71</v>
      </c>
    </row>
    <row r="758" spans="1:28" x14ac:dyDescent="0.2">
      <c r="C758" s="9" t="s">
        <v>1218</v>
      </c>
      <c r="D758" s="34"/>
      <c r="E758" s="34"/>
      <c r="F758" s="34">
        <f>Source!BZ204</f>
        <v>95</v>
      </c>
      <c r="G758" s="57">
        <f>(Source!AF204+Source!AE204)*Source!FX204/100</f>
        <v>133.90250000000003</v>
      </c>
      <c r="H758" s="57">
        <f>Source!X204</f>
        <v>1186</v>
      </c>
    </row>
    <row r="759" spans="1:28" x14ac:dyDescent="0.2">
      <c r="C759" s="9" t="s">
        <v>1220</v>
      </c>
      <c r="D759" s="34"/>
      <c r="E759" s="34"/>
      <c r="F759" s="34">
        <f>Source!CA204</f>
        <v>65</v>
      </c>
      <c r="G759" s="57">
        <f>(Source!AF204+Source!AE204)*Source!FY204/100</f>
        <v>91.617500000000021</v>
      </c>
      <c r="H759" s="57">
        <f>Source!Y204</f>
        <v>811.47</v>
      </c>
    </row>
    <row r="760" spans="1:28" x14ac:dyDescent="0.2">
      <c r="C760" s="9" t="s">
        <v>1222</v>
      </c>
      <c r="D760" s="34"/>
      <c r="E760" s="34"/>
      <c r="F760" s="34"/>
      <c r="G760" s="57">
        <f>((Source!AF204+Source!AE204)*Source!FX204/100)+((Source!AF204+Source!AE204)*Source!FY204/100)+Source!AB204</f>
        <v>446.98</v>
      </c>
      <c r="H760" s="57">
        <f>Source!O204+Source!X204+Source!Y204</f>
        <v>3958.99</v>
      </c>
    </row>
    <row r="761" spans="1:28" ht="85.5" x14ac:dyDescent="0.2">
      <c r="A761" s="46">
        <v>110</v>
      </c>
      <c r="B761" s="46" t="str">
        <f>Source!E205</f>
        <v>51,1</v>
      </c>
      <c r="C761" s="46" t="str">
        <f>Source!G205</f>
        <v>Кабель силовой с медными жилами с поливинилхлоридной изоляцией и оболочкой, не распространяющий горение, с низким дымо- и газовыделением марки ВВГнг-LS, с числом жил - 5 и сечением 6 мм2</v>
      </c>
      <c r="D761" s="46" t="str">
        <f>Source!F205</f>
        <v>21.1.06.09-0178</v>
      </c>
      <c r="E761" s="31" t="str">
        <f>Source!H205</f>
        <v>1000 м</v>
      </c>
      <c r="F761" s="12">
        <f>Source!I205</f>
        <v>0.13200000000000001</v>
      </c>
      <c r="G761" s="22">
        <f>Source!AB205</f>
        <v>25431.81</v>
      </c>
      <c r="H761" s="22">
        <f>Source!O205</f>
        <v>22525.46</v>
      </c>
      <c r="T761">
        <f>Source!O205+Source!X205+Source!Y205</f>
        <v>22525.46</v>
      </c>
      <c r="U761">
        <f>Source!P205</f>
        <v>22525.46</v>
      </c>
      <c r="V761">
        <f>Source!S205</f>
        <v>0</v>
      </c>
      <c r="W761">
        <f>Source!Q205</f>
        <v>0</v>
      </c>
      <c r="X761">
        <f>Source!R205</f>
        <v>0</v>
      </c>
      <c r="Y761">
        <f>Source!U205</f>
        <v>0</v>
      </c>
      <c r="Z761">
        <f>Source!V205</f>
        <v>0</v>
      </c>
      <c r="AA761">
        <f>Source!X205</f>
        <v>0</v>
      </c>
      <c r="AB761">
        <f>Source!Y205</f>
        <v>0</v>
      </c>
    </row>
    <row r="762" spans="1:28" ht="14.25" x14ac:dyDescent="0.2">
      <c r="C762" s="23" t="s">
        <v>1216</v>
      </c>
      <c r="D762" s="23">
        <f>Source!BC205</f>
        <v>6.71</v>
      </c>
      <c r="F762" s="12"/>
      <c r="G762" s="12"/>
      <c r="H762" s="12"/>
    </row>
    <row r="763" spans="1:28" ht="42.75" x14ac:dyDescent="0.2">
      <c r="A763" s="46">
        <v>111</v>
      </c>
      <c r="B763" s="46" t="str">
        <f>Source!E206</f>
        <v>52</v>
      </c>
      <c r="C763" s="46" t="str">
        <f>Source!G206</f>
        <v>Выключатель двухклавишный неутопленного типа при открытой проводке</v>
      </c>
      <c r="D763" s="46" t="str">
        <f>Source!F206</f>
        <v>м08-03-591-04</v>
      </c>
      <c r="E763" s="31" t="str">
        <f>Source!H206</f>
        <v>100 ШТ</v>
      </c>
      <c r="F763" s="12">
        <f>Source!I206</f>
        <v>0.04</v>
      </c>
      <c r="G763" s="22">
        <f>Source!AB206</f>
        <v>456.35</v>
      </c>
      <c r="H763" s="22">
        <f>Source!O206</f>
        <v>122.48</v>
      </c>
      <c r="T763">
        <f>Source!O206+Source!X206+Source!Y206</f>
        <v>272.40999999999997</v>
      </c>
      <c r="U763">
        <f>Source!P206</f>
        <v>27.7</v>
      </c>
      <c r="V763">
        <f>Source!S206</f>
        <v>93.53</v>
      </c>
      <c r="W763">
        <f>Source!Q206</f>
        <v>1.25</v>
      </c>
      <c r="X763">
        <f>Source!R206</f>
        <v>0.17</v>
      </c>
      <c r="Y763">
        <f>Source!U206</f>
        <v>1.4052000000000002</v>
      </c>
      <c r="Z763">
        <f>Source!V206</f>
        <v>2E-3</v>
      </c>
      <c r="AA763">
        <f>Source!X206</f>
        <v>89.02</v>
      </c>
      <c r="AB763">
        <f>Source!Y206</f>
        <v>60.91</v>
      </c>
    </row>
    <row r="764" spans="1:28" ht="14.25" x14ac:dyDescent="0.2">
      <c r="C764" s="23" t="str">
        <f>"Объем: "&amp;Source!I206&amp;"=4/"&amp;"100"</f>
        <v>Объем: 0,04=4/100</v>
      </c>
      <c r="F764" s="12"/>
      <c r="G764" s="12"/>
      <c r="H764" s="12"/>
    </row>
    <row r="765" spans="1:28" x14ac:dyDescent="0.2">
      <c r="C765" s="23" t="s">
        <v>1214</v>
      </c>
      <c r="D765" s="23">
        <f>Source!BA206</f>
        <v>6.71</v>
      </c>
    </row>
    <row r="766" spans="1:28" x14ac:dyDescent="0.2">
      <c r="C766" s="23" t="s">
        <v>1215</v>
      </c>
      <c r="D766" s="23">
        <f>Source!BB206</f>
        <v>6.71</v>
      </c>
    </row>
    <row r="767" spans="1:28" x14ac:dyDescent="0.2">
      <c r="C767" s="23" t="s">
        <v>1216</v>
      </c>
      <c r="D767" s="23">
        <f>Source!BC206</f>
        <v>6.71</v>
      </c>
    </row>
    <row r="768" spans="1:28" x14ac:dyDescent="0.2">
      <c r="C768" s="23" t="s">
        <v>1217</v>
      </c>
      <c r="D768" s="23">
        <f>Source!BS206</f>
        <v>6.71</v>
      </c>
    </row>
    <row r="769" spans="1:28" x14ac:dyDescent="0.2">
      <c r="C769" s="9" t="s">
        <v>1218</v>
      </c>
      <c r="D769" s="34"/>
      <c r="E769" s="34"/>
      <c r="F769" s="34">
        <f>Source!BZ206</f>
        <v>95</v>
      </c>
      <c r="G769" s="57">
        <f>(Source!AF206+Source!AE206)*Source!FX206/100</f>
        <v>331.67349999999999</v>
      </c>
      <c r="H769" s="57">
        <f>Source!X206</f>
        <v>89.02</v>
      </c>
    </row>
    <row r="770" spans="1:28" x14ac:dyDescent="0.2">
      <c r="C770" s="9" t="s">
        <v>1220</v>
      </c>
      <c r="D770" s="34"/>
      <c r="E770" s="34"/>
      <c r="F770" s="34">
        <f>Source!CA206</f>
        <v>65</v>
      </c>
      <c r="G770" s="57">
        <f>(Source!AF206+Source!AE206)*Source!FY206/100</f>
        <v>226.93450000000001</v>
      </c>
      <c r="H770" s="57">
        <f>Source!Y206</f>
        <v>60.91</v>
      </c>
    </row>
    <row r="771" spans="1:28" x14ac:dyDescent="0.2">
      <c r="C771" s="9" t="s">
        <v>1222</v>
      </c>
      <c r="D771" s="34"/>
      <c r="E771" s="34"/>
      <c r="F771" s="34"/>
      <c r="G771" s="57">
        <f>((Source!AF206+Source!AE206)*Source!FX206/100)+((Source!AF206+Source!AE206)*Source!FY206/100)+Source!AB206</f>
        <v>1014.958</v>
      </c>
      <c r="H771" s="57">
        <f>Source!O206+Source!X206+Source!Y206</f>
        <v>272.40999999999997</v>
      </c>
    </row>
    <row r="772" spans="1:28" ht="57" x14ac:dyDescent="0.2">
      <c r="A772" s="46">
        <v>112</v>
      </c>
      <c r="B772" s="46" t="str">
        <f>Source!E207</f>
        <v>52,1</v>
      </c>
      <c r="C772" s="46" t="str">
        <f>Source!G207</f>
        <v>Выключатель двухклавишный для открытой проводки "EFAPEL" SBR(45х45мм),белый,с супортами прим.</v>
      </c>
      <c r="D772" s="46" t="str">
        <f>Source!F207</f>
        <v>20.4.01.01-0011</v>
      </c>
      <c r="E772" s="31" t="str">
        <f>Source!H207</f>
        <v>10 шт.</v>
      </c>
      <c r="F772" s="12">
        <f>Source!I207</f>
        <v>0.4</v>
      </c>
      <c r="G772" s="22">
        <f>Source!AB207</f>
        <v>85.6</v>
      </c>
      <c r="H772" s="22">
        <f>Source!O207</f>
        <v>229.75</v>
      </c>
      <c r="T772">
        <f>Source!O207+Source!X207+Source!Y207</f>
        <v>229.75</v>
      </c>
      <c r="U772">
        <f>Source!P207</f>
        <v>229.75</v>
      </c>
      <c r="V772">
        <f>Source!S207</f>
        <v>0</v>
      </c>
      <c r="W772">
        <f>Source!Q207</f>
        <v>0</v>
      </c>
      <c r="X772">
        <f>Source!R207</f>
        <v>0</v>
      </c>
      <c r="Y772">
        <f>Source!U207</f>
        <v>0</v>
      </c>
      <c r="Z772">
        <f>Source!V207</f>
        <v>0</v>
      </c>
      <c r="AA772">
        <f>Source!X207</f>
        <v>0</v>
      </c>
      <c r="AB772">
        <f>Source!Y207</f>
        <v>0</v>
      </c>
    </row>
    <row r="773" spans="1:28" ht="14.25" x14ac:dyDescent="0.2">
      <c r="C773" s="23" t="s">
        <v>1216</v>
      </c>
      <c r="D773" s="23">
        <f>Source!BC207</f>
        <v>6.71</v>
      </c>
      <c r="F773" s="12"/>
      <c r="G773" s="12"/>
      <c r="H773" s="12"/>
    </row>
    <row r="774" spans="1:28" ht="28.5" x14ac:dyDescent="0.2">
      <c r="A774" s="46">
        <v>113</v>
      </c>
      <c r="B774" s="46" t="str">
        <f>Source!E208</f>
        <v>53</v>
      </c>
      <c r="C774" s="46" t="str">
        <f>Source!G208</f>
        <v>Розетка штепсельная неутопленного типа при открытой проводке</v>
      </c>
      <c r="D774" s="46" t="str">
        <f>Source!F208</f>
        <v>м08-03-591-08</v>
      </c>
      <c r="E774" s="31" t="str">
        <f>Source!H208</f>
        <v>100 ШТ</v>
      </c>
      <c r="F774" s="12">
        <f>Source!I208</f>
        <v>0.87</v>
      </c>
      <c r="G774" s="22">
        <f>Source!AB208</f>
        <v>453.93</v>
      </c>
      <c r="H774" s="22">
        <f>Source!O208</f>
        <v>2649.91</v>
      </c>
      <c r="T774">
        <f>Source!O208+Source!X208+Source!Y208</f>
        <v>5858.13</v>
      </c>
      <c r="U774">
        <f>Source!P208</f>
        <v>621.25</v>
      </c>
      <c r="V774">
        <f>Source!S208</f>
        <v>2001.4</v>
      </c>
      <c r="W774">
        <f>Source!Q208</f>
        <v>27.26</v>
      </c>
      <c r="X774">
        <f>Source!R208</f>
        <v>3.74</v>
      </c>
      <c r="Y774">
        <f>Source!U208</f>
        <v>30.067200000000003</v>
      </c>
      <c r="Z774">
        <f>Source!V208</f>
        <v>4.3500000000000004E-2</v>
      </c>
      <c r="AA774">
        <f>Source!X208</f>
        <v>1904.88</v>
      </c>
      <c r="AB774">
        <f>Source!Y208</f>
        <v>1303.3399999999999</v>
      </c>
    </row>
    <row r="775" spans="1:28" ht="14.25" x14ac:dyDescent="0.2">
      <c r="C775" s="23" t="str">
        <f>"Объем: "&amp;Source!I208&amp;"=87/"&amp;"100"</f>
        <v>Объем: 0,87=87/100</v>
      </c>
      <c r="F775" s="12"/>
      <c r="G775" s="12"/>
      <c r="H775" s="12"/>
    </row>
    <row r="776" spans="1:28" x14ac:dyDescent="0.2">
      <c r="C776" s="23" t="s">
        <v>1214</v>
      </c>
      <c r="D776" s="23">
        <f>Source!BA208</f>
        <v>6.71</v>
      </c>
    </row>
    <row r="777" spans="1:28" x14ac:dyDescent="0.2">
      <c r="C777" s="23" t="s">
        <v>1215</v>
      </c>
      <c r="D777" s="23">
        <f>Source!BB208</f>
        <v>6.71</v>
      </c>
    </row>
    <row r="778" spans="1:28" x14ac:dyDescent="0.2">
      <c r="C778" s="23" t="s">
        <v>1216</v>
      </c>
      <c r="D778" s="23">
        <f>Source!BC208</f>
        <v>6.71</v>
      </c>
    </row>
    <row r="779" spans="1:28" x14ac:dyDescent="0.2">
      <c r="C779" s="23" t="s">
        <v>1217</v>
      </c>
      <c r="D779" s="23">
        <f>Source!BS208</f>
        <v>6.71</v>
      </c>
    </row>
    <row r="780" spans="1:28" x14ac:dyDescent="0.2">
      <c r="C780" s="9" t="s">
        <v>1218</v>
      </c>
      <c r="D780" s="34"/>
      <c r="E780" s="34"/>
      <c r="F780" s="34">
        <f>Source!BZ208</f>
        <v>95</v>
      </c>
      <c r="G780" s="57">
        <f>(Source!AF208+Source!AE208)*Source!FX208/100</f>
        <v>326.30599999999993</v>
      </c>
      <c r="H780" s="57">
        <f>Source!X208</f>
        <v>1904.88</v>
      </c>
    </row>
    <row r="781" spans="1:28" x14ac:dyDescent="0.2">
      <c r="C781" s="9" t="s">
        <v>1220</v>
      </c>
      <c r="D781" s="34"/>
      <c r="E781" s="34"/>
      <c r="F781" s="34">
        <f>Source!CA208</f>
        <v>65</v>
      </c>
      <c r="G781" s="57">
        <f>(Source!AF208+Source!AE208)*Source!FY208/100</f>
        <v>223.26199999999997</v>
      </c>
      <c r="H781" s="57">
        <f>Source!Y208</f>
        <v>1303.3399999999999</v>
      </c>
    </row>
    <row r="782" spans="1:28" x14ac:dyDescent="0.2">
      <c r="C782" s="9" t="s">
        <v>1222</v>
      </c>
      <c r="D782" s="34"/>
      <c r="E782" s="34"/>
      <c r="F782" s="34"/>
      <c r="G782" s="57">
        <f>((Source!AF208+Source!AE208)*Source!FX208/100)+((Source!AF208+Source!AE208)*Source!FY208/100)+Source!AB208</f>
        <v>1003.4979999999998</v>
      </c>
      <c r="H782" s="57">
        <f>Source!O208+Source!X208+Source!Y208</f>
        <v>5858.13</v>
      </c>
    </row>
    <row r="783" spans="1:28" ht="42.75" x14ac:dyDescent="0.2">
      <c r="A783" s="46">
        <v>114</v>
      </c>
      <c r="B783" s="46" t="str">
        <f>Source!E209</f>
        <v>53,1</v>
      </c>
      <c r="C783" s="46" t="str">
        <f>Source!G209</f>
        <v>Розетка открытой проводки "EFAPEL" 220В2к+з,(45х45мм),белые с супортами в кабель-канал прим.</v>
      </c>
      <c r="D783" s="46" t="str">
        <f>Source!F209</f>
        <v>20.4.03.05-0004</v>
      </c>
      <c r="E783" s="31" t="str">
        <f>Source!H209</f>
        <v>100 шт.</v>
      </c>
      <c r="F783" s="12">
        <f>Source!I209</f>
        <v>0.8</v>
      </c>
      <c r="G783" s="22">
        <f>Source!AB209</f>
        <v>899</v>
      </c>
      <c r="H783" s="22">
        <f>Source!O209</f>
        <v>4825.83</v>
      </c>
      <c r="T783">
        <f>Source!O209+Source!X209+Source!Y209</f>
        <v>4825.83</v>
      </c>
      <c r="U783">
        <f>Source!P209</f>
        <v>4825.83</v>
      </c>
      <c r="V783">
        <f>Source!S209</f>
        <v>0</v>
      </c>
      <c r="W783">
        <f>Source!Q209</f>
        <v>0</v>
      </c>
      <c r="X783">
        <f>Source!R209</f>
        <v>0</v>
      </c>
      <c r="Y783">
        <f>Source!U209</f>
        <v>0</v>
      </c>
      <c r="Z783">
        <f>Source!V209</f>
        <v>0</v>
      </c>
      <c r="AA783">
        <f>Source!X209</f>
        <v>0</v>
      </c>
      <c r="AB783">
        <f>Source!Y209</f>
        <v>0</v>
      </c>
    </row>
    <row r="784" spans="1:28" ht="14.25" x14ac:dyDescent="0.2">
      <c r="C784" s="23" t="s">
        <v>1216</v>
      </c>
      <c r="D784" s="23">
        <f>Source!BC209</f>
        <v>6.71</v>
      </c>
      <c r="F784" s="12"/>
      <c r="G784" s="12"/>
      <c r="H784" s="12"/>
    </row>
    <row r="785" spans="1:28" ht="28.5" x14ac:dyDescent="0.2">
      <c r="A785" s="46">
        <v>115</v>
      </c>
      <c r="B785" s="46" t="str">
        <f>Source!E210</f>
        <v>53,2</v>
      </c>
      <c r="C785" s="46" t="str">
        <f>Source!G210</f>
        <v>Розетка РА16-112 Б IP44 для открытой проводки с заземляющими контактами</v>
      </c>
      <c r="D785" s="46" t="str">
        <f>Source!F210</f>
        <v>20.4.03.05-0005</v>
      </c>
      <c r="E785" s="31" t="str">
        <f>Source!H210</f>
        <v>100 шт.</v>
      </c>
      <c r="F785" s="12">
        <f>Source!I210</f>
        <v>7.0000000000000007E-2</v>
      </c>
      <c r="G785" s="22">
        <f>Source!AB210</f>
        <v>734</v>
      </c>
      <c r="H785" s="22">
        <f>Source!O210</f>
        <v>344.76</v>
      </c>
      <c r="T785">
        <f>Source!O210+Source!X210+Source!Y210</f>
        <v>344.76</v>
      </c>
      <c r="U785">
        <f>Source!P210</f>
        <v>344.76</v>
      </c>
      <c r="V785">
        <f>Source!S210</f>
        <v>0</v>
      </c>
      <c r="W785">
        <f>Source!Q210</f>
        <v>0</v>
      </c>
      <c r="X785">
        <f>Source!R210</f>
        <v>0</v>
      </c>
      <c r="Y785">
        <f>Source!U210</f>
        <v>0</v>
      </c>
      <c r="Z785">
        <f>Source!V210</f>
        <v>0</v>
      </c>
      <c r="AA785">
        <f>Source!X210</f>
        <v>0</v>
      </c>
      <c r="AB785">
        <f>Source!Y210</f>
        <v>0</v>
      </c>
    </row>
    <row r="786" spans="1:28" ht="14.25" x14ac:dyDescent="0.2">
      <c r="C786" s="23" t="s">
        <v>1216</v>
      </c>
      <c r="D786" s="23">
        <f>Source!BC210</f>
        <v>6.71</v>
      </c>
      <c r="F786" s="12"/>
      <c r="G786" s="12"/>
      <c r="H786" s="12"/>
    </row>
    <row r="787" spans="1:28" ht="28.5" x14ac:dyDescent="0.2">
      <c r="A787" s="46">
        <v>116</v>
      </c>
      <c r="B787" s="46" t="str">
        <f>Source!E211</f>
        <v>54</v>
      </c>
      <c r="C787" s="46" t="str">
        <f>Source!G211</f>
        <v>Щиток до трех групп, устанавливаемый в нише цоколя</v>
      </c>
      <c r="D787" s="46" t="str">
        <f>Source!F211</f>
        <v>м08-02-370-02 прим.</v>
      </c>
      <c r="E787" s="31" t="str">
        <f>Source!H211</f>
        <v>ШТ</v>
      </c>
      <c r="F787" s="12">
        <f>Source!I211</f>
        <v>4</v>
      </c>
      <c r="G787" s="22">
        <f>Source!AB211</f>
        <v>33.42</v>
      </c>
      <c r="H787" s="22">
        <f>Source!O211</f>
        <v>897</v>
      </c>
      <c r="T787">
        <f>Source!O211+Source!X211+Source!Y211</f>
        <v>1410.6200000000001</v>
      </c>
      <c r="U787">
        <f>Source!P211</f>
        <v>166.41</v>
      </c>
      <c r="V787">
        <f>Source!S211</f>
        <v>253.64</v>
      </c>
      <c r="W787">
        <f>Source!Q211</f>
        <v>476.95</v>
      </c>
      <c r="X787">
        <f>Source!R211</f>
        <v>67.37</v>
      </c>
      <c r="Y787">
        <f>Source!U211</f>
        <v>3.6</v>
      </c>
      <c r="Z787">
        <f>Source!V211</f>
        <v>0.8</v>
      </c>
      <c r="AA787">
        <f>Source!X211</f>
        <v>304.95999999999998</v>
      </c>
      <c r="AB787">
        <f>Source!Y211</f>
        <v>208.66</v>
      </c>
    </row>
    <row r="788" spans="1:28" ht="14.25" x14ac:dyDescent="0.2">
      <c r="C788" s="23" t="s">
        <v>1214</v>
      </c>
      <c r="D788" s="23">
        <f>Source!BA211</f>
        <v>6.71</v>
      </c>
      <c r="F788" s="12"/>
      <c r="G788" s="12"/>
      <c r="H788" s="12"/>
    </row>
    <row r="789" spans="1:28" x14ac:dyDescent="0.2">
      <c r="C789" s="23" t="s">
        <v>1215</v>
      </c>
      <c r="D789" s="23">
        <f>Source!BB211</f>
        <v>6.71</v>
      </c>
    </row>
    <row r="790" spans="1:28" x14ac:dyDescent="0.2">
      <c r="C790" s="23" t="s">
        <v>1216</v>
      </c>
      <c r="D790" s="23">
        <f>Source!BC211</f>
        <v>6.71</v>
      </c>
    </row>
    <row r="791" spans="1:28" x14ac:dyDescent="0.2">
      <c r="C791" s="23" t="s">
        <v>1217</v>
      </c>
      <c r="D791" s="23">
        <f>Source!BS211</f>
        <v>6.71</v>
      </c>
    </row>
    <row r="792" spans="1:28" x14ac:dyDescent="0.2">
      <c r="C792" s="9" t="s">
        <v>1218</v>
      </c>
      <c r="D792" s="34"/>
      <c r="E792" s="34"/>
      <c r="F792" s="34">
        <f>Source!BZ211</f>
        <v>95</v>
      </c>
      <c r="G792" s="57">
        <f>(Source!AF211+Source!AE211)*Source!FX211/100</f>
        <v>11.361999999999998</v>
      </c>
      <c r="H792" s="57">
        <f>Source!X211</f>
        <v>304.95999999999998</v>
      </c>
    </row>
    <row r="793" spans="1:28" x14ac:dyDescent="0.2">
      <c r="C793" s="9" t="s">
        <v>1220</v>
      </c>
      <c r="D793" s="34"/>
      <c r="E793" s="34"/>
      <c r="F793" s="34">
        <f>Source!CA211</f>
        <v>65</v>
      </c>
      <c r="G793" s="57">
        <f>(Source!AF211+Source!AE211)*Source!FY211/100</f>
        <v>7.774</v>
      </c>
      <c r="H793" s="57">
        <f>Source!Y211</f>
        <v>208.66</v>
      </c>
    </row>
    <row r="794" spans="1:28" x14ac:dyDescent="0.2">
      <c r="C794" s="9" t="s">
        <v>1222</v>
      </c>
      <c r="D794" s="34"/>
      <c r="E794" s="34"/>
      <c r="F794" s="34"/>
      <c r="G794" s="57">
        <f>((Source!AF211+Source!AE211)*Source!FX211/100)+((Source!AF211+Source!AE211)*Source!FY211/100)+Source!AB211</f>
        <v>52.555999999999997</v>
      </c>
      <c r="H794" s="57">
        <f>Source!O211+Source!X211+Source!Y211</f>
        <v>1410.6200000000001</v>
      </c>
    </row>
    <row r="795" spans="1:28" ht="57" x14ac:dyDescent="0.2">
      <c r="A795" s="46">
        <v>117</v>
      </c>
      <c r="B795" s="46" t="str">
        <f>Source!E212</f>
        <v>54,1</v>
      </c>
      <c r="C795" s="46" t="str">
        <f>Source!G212</f>
        <v>Щит навесной IEK ШРН-18э1 38,18 модулей ,IP31 с клемником(АВВ) с замком,материал корпуса металл прим.</v>
      </c>
      <c r="D795" s="46" t="str">
        <f>Source!F212</f>
        <v>62.1.02.03-0003</v>
      </c>
      <c r="E795" s="31" t="str">
        <f>Source!H212</f>
        <v>10 шт.</v>
      </c>
      <c r="F795" s="12">
        <f>Source!I212</f>
        <v>0.4</v>
      </c>
      <c r="G795" s="22">
        <f>Source!AB212</f>
        <v>188.5</v>
      </c>
      <c r="H795" s="22">
        <f>Source!O212</f>
        <v>505.93</v>
      </c>
      <c r="T795">
        <f>Source!O212+Source!X212+Source!Y212</f>
        <v>505.93</v>
      </c>
      <c r="U795">
        <f>Source!P212</f>
        <v>505.93</v>
      </c>
      <c r="V795">
        <f>Source!S212</f>
        <v>0</v>
      </c>
      <c r="W795">
        <f>Source!Q212</f>
        <v>0</v>
      </c>
      <c r="X795">
        <f>Source!R212</f>
        <v>0</v>
      </c>
      <c r="Y795">
        <f>Source!U212</f>
        <v>0</v>
      </c>
      <c r="Z795">
        <f>Source!V212</f>
        <v>0</v>
      </c>
      <c r="AA795">
        <f>Source!X212</f>
        <v>0</v>
      </c>
      <c r="AB795">
        <f>Source!Y212</f>
        <v>0</v>
      </c>
    </row>
    <row r="796" spans="1:28" ht="14.25" x14ac:dyDescent="0.2">
      <c r="C796" s="23" t="s">
        <v>1216</v>
      </c>
      <c r="D796" s="23">
        <f>Source!BC212</f>
        <v>6.71</v>
      </c>
      <c r="F796" s="12"/>
      <c r="G796" s="12"/>
      <c r="H796" s="12"/>
    </row>
    <row r="797" spans="1:28" ht="42.75" x14ac:dyDescent="0.2">
      <c r="A797" s="46">
        <v>118</v>
      </c>
      <c r="B797" s="46" t="str">
        <f>Source!E213</f>
        <v>55</v>
      </c>
      <c r="C797" s="46" t="str">
        <f>Source!G213</f>
        <v>Автомат одно-, двух-, трехполюсный, устанавливаемый на конструкции на стене или колонне, на ток до 25 А</v>
      </c>
      <c r="D797" s="46" t="str">
        <f>Source!F213</f>
        <v>м08-03-526-01</v>
      </c>
      <c r="E797" s="31" t="str">
        <f>Source!H213</f>
        <v>ШТ</v>
      </c>
      <c r="F797" s="12">
        <f>Source!I213</f>
        <v>39</v>
      </c>
      <c r="G797" s="22">
        <f>Source!AB213</f>
        <v>35.979999999999997</v>
      </c>
      <c r="H797" s="22">
        <f>Source!O213</f>
        <v>9415.6</v>
      </c>
      <c r="T797">
        <f>Source!O213+Source!X213+Source!Y213</f>
        <v>15629.17</v>
      </c>
      <c r="U797">
        <f>Source!P213</f>
        <v>5257.35</v>
      </c>
      <c r="V797">
        <f>Source!S213</f>
        <v>3883.48</v>
      </c>
      <c r="W797">
        <f>Source!Q213</f>
        <v>274.77</v>
      </c>
      <c r="X797">
        <f>Source!R213</f>
        <v>0</v>
      </c>
      <c r="Y797">
        <f>Source!U213</f>
        <v>60.84</v>
      </c>
      <c r="Z797">
        <f>Source!V213</f>
        <v>0</v>
      </c>
      <c r="AA797">
        <f>Source!X213</f>
        <v>3689.31</v>
      </c>
      <c r="AB797">
        <f>Source!Y213</f>
        <v>2524.2600000000002</v>
      </c>
    </row>
    <row r="798" spans="1:28" ht="14.25" x14ac:dyDescent="0.2">
      <c r="C798" s="23" t="s">
        <v>1214</v>
      </c>
      <c r="D798" s="23">
        <f>Source!BA213</f>
        <v>6.71</v>
      </c>
      <c r="F798" s="12"/>
      <c r="G798" s="12"/>
      <c r="H798" s="12"/>
    </row>
    <row r="799" spans="1:28" x14ac:dyDescent="0.2">
      <c r="C799" s="23" t="s">
        <v>1215</v>
      </c>
      <c r="D799" s="23">
        <f>Source!BB213</f>
        <v>6.71</v>
      </c>
    </row>
    <row r="800" spans="1:28" x14ac:dyDescent="0.2">
      <c r="C800" s="23" t="s">
        <v>1216</v>
      </c>
      <c r="D800" s="23">
        <f>Source!BC213</f>
        <v>6.71</v>
      </c>
    </row>
    <row r="801" spans="1:28" x14ac:dyDescent="0.2">
      <c r="C801" s="23" t="s">
        <v>1217</v>
      </c>
      <c r="D801" s="23">
        <f>Source!BS213</f>
        <v>6.71</v>
      </c>
    </row>
    <row r="802" spans="1:28" x14ac:dyDescent="0.2">
      <c r="C802" s="9" t="s">
        <v>1218</v>
      </c>
      <c r="D802" s="34"/>
      <c r="E802" s="34"/>
      <c r="F802" s="34">
        <f>Source!BZ213</f>
        <v>95</v>
      </c>
      <c r="G802" s="57">
        <f>(Source!AF213+Source!AE213)*Source!FX213/100</f>
        <v>14.097999999999999</v>
      </c>
      <c r="H802" s="57">
        <f>Source!X213</f>
        <v>3689.31</v>
      </c>
    </row>
    <row r="803" spans="1:28" x14ac:dyDescent="0.2">
      <c r="C803" s="9" t="s">
        <v>1220</v>
      </c>
      <c r="D803" s="34"/>
      <c r="E803" s="34"/>
      <c r="F803" s="34">
        <f>Source!CA213</f>
        <v>65</v>
      </c>
      <c r="G803" s="57">
        <f>(Source!AF213+Source!AE213)*Source!FY213/100</f>
        <v>9.6460000000000008</v>
      </c>
      <c r="H803" s="57">
        <f>Source!Y213</f>
        <v>2524.2600000000002</v>
      </c>
    </row>
    <row r="804" spans="1:28" x14ac:dyDescent="0.2">
      <c r="C804" s="9" t="s">
        <v>1222</v>
      </c>
      <c r="D804" s="34"/>
      <c r="E804" s="34"/>
      <c r="F804" s="34"/>
      <c r="G804" s="57">
        <f>((Source!AF213+Source!AE213)*Source!FX213/100)+((Source!AF213+Source!AE213)*Source!FY213/100)+Source!AB213</f>
        <v>59.723999999999997</v>
      </c>
      <c r="H804" s="57">
        <f>Source!O213+Source!X213+Source!Y213</f>
        <v>15629.17</v>
      </c>
    </row>
    <row r="805" spans="1:28" ht="28.5" x14ac:dyDescent="0.2">
      <c r="A805" s="46">
        <v>119</v>
      </c>
      <c r="B805" s="46" t="str">
        <f>Source!E214</f>
        <v>55,1</v>
      </c>
      <c r="C805" s="46" t="str">
        <f>Source!G214</f>
        <v>Выключатели автоматические АВВ 1Р 16А  прим.</v>
      </c>
      <c r="D805" s="46" t="str">
        <f>Source!F214</f>
        <v>62.1.01.09-0050</v>
      </c>
      <c r="E805" s="31" t="str">
        <f>Source!H214</f>
        <v>шт.</v>
      </c>
      <c r="F805" s="12">
        <f>Source!I214</f>
        <v>20</v>
      </c>
      <c r="G805" s="22">
        <f>Source!AB214</f>
        <v>66.48</v>
      </c>
      <c r="H805" s="22">
        <f>Source!O214</f>
        <v>8921.6200000000008</v>
      </c>
      <c r="T805">
        <f>Source!O214+Source!X214+Source!Y214</f>
        <v>8921.6200000000008</v>
      </c>
      <c r="U805">
        <f>Source!P214</f>
        <v>8921.6200000000008</v>
      </c>
      <c r="V805">
        <f>Source!S214</f>
        <v>0</v>
      </c>
      <c r="W805">
        <f>Source!Q214</f>
        <v>0</v>
      </c>
      <c r="X805">
        <f>Source!R214</f>
        <v>0</v>
      </c>
      <c r="Y805">
        <f>Source!U214</f>
        <v>0</v>
      </c>
      <c r="Z805">
        <f>Source!V214</f>
        <v>0</v>
      </c>
      <c r="AA805">
        <f>Source!X214</f>
        <v>0</v>
      </c>
      <c r="AB805">
        <f>Source!Y214</f>
        <v>0</v>
      </c>
    </row>
    <row r="806" spans="1:28" ht="14.25" x14ac:dyDescent="0.2">
      <c r="C806" s="23" t="s">
        <v>1216</v>
      </c>
      <c r="D806" s="23">
        <f>Source!BC214</f>
        <v>6.71</v>
      </c>
      <c r="F806" s="12"/>
      <c r="G806" s="12"/>
      <c r="H806" s="12"/>
    </row>
    <row r="807" spans="1:28" ht="28.5" x14ac:dyDescent="0.2">
      <c r="A807" s="46">
        <v>120</v>
      </c>
      <c r="B807" s="46" t="str">
        <f>Source!E215</f>
        <v>55,2</v>
      </c>
      <c r="C807" s="46" t="str">
        <f>Source!G215</f>
        <v>Выключатели автоматические «АВВ  3Р 16А прим.</v>
      </c>
      <c r="D807" s="46" t="str">
        <f>Source!F215</f>
        <v>62.1.01.09-0066</v>
      </c>
      <c r="E807" s="31" t="str">
        <f>Source!H215</f>
        <v>шт.</v>
      </c>
      <c r="F807" s="12">
        <f>Source!I215</f>
        <v>1</v>
      </c>
      <c r="G807" s="22">
        <f>Source!AB215</f>
        <v>231.3</v>
      </c>
      <c r="H807" s="22">
        <f>Source!O215</f>
        <v>1552.02</v>
      </c>
      <c r="T807">
        <f>Source!O215+Source!X215+Source!Y215</f>
        <v>1552.02</v>
      </c>
      <c r="U807">
        <f>Source!P215</f>
        <v>1552.02</v>
      </c>
      <c r="V807">
        <f>Source!S215</f>
        <v>0</v>
      </c>
      <c r="W807">
        <f>Source!Q215</f>
        <v>0</v>
      </c>
      <c r="X807">
        <f>Source!R215</f>
        <v>0</v>
      </c>
      <c r="Y807">
        <f>Source!U215</f>
        <v>0</v>
      </c>
      <c r="Z807">
        <f>Source!V215</f>
        <v>0</v>
      </c>
      <c r="AA807">
        <f>Source!X215</f>
        <v>0</v>
      </c>
      <c r="AB807">
        <f>Source!Y215</f>
        <v>0</v>
      </c>
    </row>
    <row r="808" spans="1:28" ht="14.25" x14ac:dyDescent="0.2">
      <c r="C808" s="23" t="s">
        <v>1216</v>
      </c>
      <c r="D808" s="23">
        <f>Source!BC215</f>
        <v>6.71</v>
      </c>
      <c r="F808" s="12"/>
      <c r="G808" s="12"/>
      <c r="H808" s="12"/>
    </row>
    <row r="809" spans="1:28" ht="28.5" x14ac:dyDescent="0.2">
      <c r="A809" s="46">
        <v>121</v>
      </c>
      <c r="B809" s="46" t="str">
        <f>Source!E216</f>
        <v>55,3</v>
      </c>
      <c r="C809" s="46" t="str">
        <f>Source!G216</f>
        <v>Выключатели автоматические «АВВ" 1Р 10А прим.</v>
      </c>
      <c r="D809" s="46" t="str">
        <f>Source!F216</f>
        <v>62.1.01.09-0049</v>
      </c>
      <c r="E809" s="31" t="str">
        <f>Source!H216</f>
        <v>шт.</v>
      </c>
      <c r="F809" s="12">
        <f>Source!I216</f>
        <v>3</v>
      </c>
      <c r="G809" s="22">
        <f>Source!AB216</f>
        <v>73.63</v>
      </c>
      <c r="H809" s="22">
        <f>Source!O216</f>
        <v>1482.17</v>
      </c>
      <c r="T809">
        <f>Source!O216+Source!X216+Source!Y216</f>
        <v>1482.17</v>
      </c>
      <c r="U809">
        <f>Source!P216</f>
        <v>1482.17</v>
      </c>
      <c r="V809">
        <f>Source!S216</f>
        <v>0</v>
      </c>
      <c r="W809">
        <f>Source!Q216</f>
        <v>0</v>
      </c>
      <c r="X809">
        <f>Source!R216</f>
        <v>0</v>
      </c>
      <c r="Y809">
        <f>Source!U216</f>
        <v>0</v>
      </c>
      <c r="Z809">
        <f>Source!V216</f>
        <v>0</v>
      </c>
      <c r="AA809">
        <f>Source!X216</f>
        <v>0</v>
      </c>
      <c r="AB809">
        <f>Source!Y216</f>
        <v>0</v>
      </c>
    </row>
    <row r="810" spans="1:28" ht="14.25" x14ac:dyDescent="0.2">
      <c r="C810" s="23" t="s">
        <v>1216</v>
      </c>
      <c r="D810" s="23">
        <f>Source!BC216</f>
        <v>6.71</v>
      </c>
      <c r="F810" s="12"/>
      <c r="G810" s="12"/>
      <c r="H810" s="12"/>
    </row>
    <row r="811" spans="1:28" ht="28.5" x14ac:dyDescent="0.2">
      <c r="A811" s="46">
        <v>122</v>
      </c>
      <c r="B811" s="46" t="str">
        <f>Source!E217</f>
        <v>55,4</v>
      </c>
      <c r="C811" s="46" t="str">
        <f>Source!G217</f>
        <v>Выключатели автоматические «АВВ" 3Р 10А прим.</v>
      </c>
      <c r="D811" s="46" t="str">
        <f>Source!F217</f>
        <v>62.1.01.09-0065</v>
      </c>
      <c r="E811" s="31" t="str">
        <f>Source!H217</f>
        <v>шт.</v>
      </c>
      <c r="F811" s="12">
        <f>Source!I217</f>
        <v>4</v>
      </c>
      <c r="G811" s="22">
        <f>Source!AB217</f>
        <v>231.3</v>
      </c>
      <c r="H811" s="22">
        <f>Source!O217</f>
        <v>6208.09</v>
      </c>
      <c r="T811">
        <f>Source!O217+Source!X217+Source!Y217</f>
        <v>6208.09</v>
      </c>
      <c r="U811">
        <f>Source!P217</f>
        <v>6208.09</v>
      </c>
      <c r="V811">
        <f>Source!S217</f>
        <v>0</v>
      </c>
      <c r="W811">
        <f>Source!Q217</f>
        <v>0</v>
      </c>
      <c r="X811">
        <f>Source!R217</f>
        <v>0</v>
      </c>
      <c r="Y811">
        <f>Source!U217</f>
        <v>0</v>
      </c>
      <c r="Z811">
        <f>Source!V217</f>
        <v>0</v>
      </c>
      <c r="AA811">
        <f>Source!X217</f>
        <v>0</v>
      </c>
      <c r="AB811">
        <f>Source!Y217</f>
        <v>0</v>
      </c>
    </row>
    <row r="812" spans="1:28" ht="14.25" x14ac:dyDescent="0.2">
      <c r="C812" s="23" t="s">
        <v>1216</v>
      </c>
      <c r="D812" s="23">
        <f>Source!BC217</f>
        <v>6.71</v>
      </c>
      <c r="F812" s="12"/>
      <c r="G812" s="12"/>
      <c r="H812" s="12"/>
    </row>
    <row r="813" spans="1:28" ht="28.5" x14ac:dyDescent="0.2">
      <c r="A813" s="46">
        <v>123</v>
      </c>
      <c r="B813" s="46" t="str">
        <f>Source!E218</f>
        <v>55,5</v>
      </c>
      <c r="C813" s="46" t="str">
        <f>Source!G218</f>
        <v>Выключатели автоматические  АВВ 3Р 20А прим.</v>
      </c>
      <c r="D813" s="46" t="str">
        <f>Source!F218</f>
        <v>62.1.01.09-0067</v>
      </c>
      <c r="E813" s="31" t="str">
        <f>Source!H218</f>
        <v>шт.</v>
      </c>
      <c r="F813" s="12">
        <f>Source!I218</f>
        <v>3</v>
      </c>
      <c r="G813" s="22">
        <f>Source!AB218</f>
        <v>302.16000000000003</v>
      </c>
      <c r="H813" s="22">
        <f>Source!O218</f>
        <v>6082.48</v>
      </c>
      <c r="T813">
        <f>Source!O218+Source!X218+Source!Y218</f>
        <v>6082.48</v>
      </c>
      <c r="U813">
        <f>Source!P218</f>
        <v>6082.48</v>
      </c>
      <c r="V813">
        <f>Source!S218</f>
        <v>0</v>
      </c>
      <c r="W813">
        <f>Source!Q218</f>
        <v>0</v>
      </c>
      <c r="X813">
        <f>Source!R218</f>
        <v>0</v>
      </c>
      <c r="Y813">
        <f>Source!U218</f>
        <v>0</v>
      </c>
      <c r="Z813">
        <f>Source!V218</f>
        <v>0</v>
      </c>
      <c r="AA813">
        <f>Source!X218</f>
        <v>0</v>
      </c>
      <c r="AB813">
        <f>Source!Y218</f>
        <v>0</v>
      </c>
    </row>
    <row r="814" spans="1:28" ht="14.25" x14ac:dyDescent="0.2">
      <c r="C814" s="23" t="s">
        <v>1216</v>
      </c>
      <c r="D814" s="23">
        <f>Source!BC218</f>
        <v>6.71</v>
      </c>
      <c r="F814" s="12"/>
      <c r="G814" s="12"/>
      <c r="H814" s="12"/>
    </row>
    <row r="815" spans="1:28" ht="28.5" x14ac:dyDescent="0.2">
      <c r="A815" s="46">
        <v>124</v>
      </c>
      <c r="B815" s="46" t="str">
        <f>Source!E219</f>
        <v>55,6</v>
      </c>
      <c r="C815" s="46" t="str">
        <f>Source!G219</f>
        <v>Выключатели автоматические «АВВ" 1Р 20А прим.</v>
      </c>
      <c r="D815" s="46" t="str">
        <f>Source!F219</f>
        <v>62.1.01.09-0051</v>
      </c>
      <c r="E815" s="31" t="str">
        <f>Source!H219</f>
        <v>шт.</v>
      </c>
      <c r="F815" s="12">
        <f>Source!I219</f>
        <v>4</v>
      </c>
      <c r="G815" s="22">
        <f>Source!AB219</f>
        <v>73.290000000000006</v>
      </c>
      <c r="H815" s="22">
        <f>Source!O219</f>
        <v>1967.1</v>
      </c>
      <c r="T815">
        <f>Source!O219+Source!X219+Source!Y219</f>
        <v>1967.1</v>
      </c>
      <c r="U815">
        <f>Source!P219</f>
        <v>1967.1</v>
      </c>
      <c r="V815">
        <f>Source!S219</f>
        <v>0</v>
      </c>
      <c r="W815">
        <f>Source!Q219</f>
        <v>0</v>
      </c>
      <c r="X815">
        <f>Source!R219</f>
        <v>0</v>
      </c>
      <c r="Y815">
        <f>Source!U219</f>
        <v>0</v>
      </c>
      <c r="Z815">
        <f>Source!V219</f>
        <v>0</v>
      </c>
      <c r="AA815">
        <f>Source!X219</f>
        <v>0</v>
      </c>
      <c r="AB815">
        <f>Source!Y219</f>
        <v>0</v>
      </c>
    </row>
    <row r="816" spans="1:28" ht="14.25" x14ac:dyDescent="0.2">
      <c r="C816" s="23" t="s">
        <v>1216</v>
      </c>
      <c r="D816" s="23">
        <f>Source!BC219</f>
        <v>6.71</v>
      </c>
      <c r="F816" s="12"/>
      <c r="G816" s="12"/>
      <c r="H816" s="12"/>
    </row>
    <row r="817" spans="1:28" ht="28.5" x14ac:dyDescent="0.2">
      <c r="A817" s="46">
        <v>125</v>
      </c>
      <c r="B817" s="46" t="str">
        <f>Source!E220</f>
        <v>55,7</v>
      </c>
      <c r="C817" s="46" t="str">
        <f>Source!G220</f>
        <v>Выключатели автоматические «Legrand» серии DX-Standart 3Р 25А</v>
      </c>
      <c r="D817" s="46" t="str">
        <f>Source!F220</f>
        <v>62.1.01.09-0067</v>
      </c>
      <c r="E817" s="31" t="str">
        <f>Source!H220</f>
        <v>шт.</v>
      </c>
      <c r="F817" s="12">
        <f>Source!I220</f>
        <v>4</v>
      </c>
      <c r="G817" s="22">
        <f>Source!AB220</f>
        <v>302.16000000000003</v>
      </c>
      <c r="H817" s="22">
        <f>Source!O220</f>
        <v>8109.97</v>
      </c>
      <c r="T817">
        <f>Source!O220+Source!X220+Source!Y220</f>
        <v>8109.97</v>
      </c>
      <c r="U817">
        <f>Source!P220</f>
        <v>8109.97</v>
      </c>
      <c r="V817">
        <f>Source!S220</f>
        <v>0</v>
      </c>
      <c r="W817">
        <f>Source!Q220</f>
        <v>0</v>
      </c>
      <c r="X817">
        <f>Source!R220</f>
        <v>0</v>
      </c>
      <c r="Y817">
        <f>Source!U220</f>
        <v>0</v>
      </c>
      <c r="Z817">
        <f>Source!V220</f>
        <v>0</v>
      </c>
      <c r="AA817">
        <f>Source!X220</f>
        <v>0</v>
      </c>
      <c r="AB817">
        <f>Source!Y220</f>
        <v>0</v>
      </c>
    </row>
    <row r="818" spans="1:28" ht="14.25" x14ac:dyDescent="0.2">
      <c r="C818" s="23" t="s">
        <v>1216</v>
      </c>
      <c r="D818" s="23">
        <f>Source!BC220</f>
        <v>6.71</v>
      </c>
      <c r="F818" s="12"/>
      <c r="G818" s="12"/>
      <c r="H818" s="12"/>
    </row>
    <row r="819" spans="1:28" ht="57" x14ac:dyDescent="0.2">
      <c r="A819" s="46">
        <v>126</v>
      </c>
      <c r="B819" s="46" t="str">
        <f>Source!E221</f>
        <v>56</v>
      </c>
      <c r="C819" s="46" t="str">
        <f>Source!G221</f>
        <v>Установка светильников  в подвесных потолках, устанавливаемый на профиле, количество ламп в светильнике до 4</v>
      </c>
      <c r="D819" s="46" t="str">
        <f>Source!F221</f>
        <v>м08-03-594-14 прим.</v>
      </c>
      <c r="E819" s="31" t="str">
        <f>Source!H221</f>
        <v>100 ШТ</v>
      </c>
      <c r="F819" s="12">
        <f>Source!I221</f>
        <v>0.55000000000000004</v>
      </c>
      <c r="G819" s="22">
        <f>Source!AB221</f>
        <v>3323.23</v>
      </c>
      <c r="H819" s="22">
        <f>Source!O221</f>
        <v>12264.39</v>
      </c>
      <c r="T819">
        <f>Source!O221+Source!X221+Source!Y221</f>
        <v>24922.870000000003</v>
      </c>
      <c r="U819">
        <f>Source!P221</f>
        <v>3761.25</v>
      </c>
      <c r="V819">
        <f>Source!S221</f>
        <v>7819.84</v>
      </c>
      <c r="W819">
        <f>Source!Q221</f>
        <v>683.3</v>
      </c>
      <c r="X819">
        <f>Source!R221</f>
        <v>91.71</v>
      </c>
      <c r="Y819">
        <f>Source!U221</f>
        <v>117.48</v>
      </c>
      <c r="Z819">
        <f>Source!V221</f>
        <v>1.089</v>
      </c>
      <c r="AA819">
        <f>Source!X221</f>
        <v>7515.97</v>
      </c>
      <c r="AB819">
        <f>Source!Y221</f>
        <v>5142.51</v>
      </c>
    </row>
    <row r="820" spans="1:28" ht="14.25" x14ac:dyDescent="0.2">
      <c r="C820" s="23" t="str">
        <f>"Объем: "&amp;Source!I221&amp;"=55/"&amp;"100"</f>
        <v>Объем: 0,55=55/100</v>
      </c>
      <c r="F820" s="12"/>
      <c r="G820" s="12"/>
      <c r="H820" s="12"/>
    </row>
    <row r="821" spans="1:28" x14ac:dyDescent="0.2">
      <c r="C821" s="23" t="s">
        <v>1214</v>
      </c>
      <c r="D821" s="23">
        <f>Source!BA221</f>
        <v>6.71</v>
      </c>
    </row>
    <row r="822" spans="1:28" x14ac:dyDescent="0.2">
      <c r="C822" s="23" t="s">
        <v>1215</v>
      </c>
      <c r="D822" s="23">
        <f>Source!BB221</f>
        <v>6.71</v>
      </c>
    </row>
    <row r="823" spans="1:28" x14ac:dyDescent="0.2">
      <c r="C823" s="23" t="s">
        <v>1216</v>
      </c>
      <c r="D823" s="23">
        <f>Source!BC221</f>
        <v>6.71</v>
      </c>
    </row>
    <row r="824" spans="1:28" x14ac:dyDescent="0.2">
      <c r="C824" s="23" t="s">
        <v>1217</v>
      </c>
      <c r="D824" s="23">
        <f>Source!BS221</f>
        <v>6.71</v>
      </c>
    </row>
    <row r="825" spans="1:28" x14ac:dyDescent="0.2">
      <c r="C825" s="9" t="s">
        <v>1218</v>
      </c>
      <c r="D825" s="34"/>
      <c r="E825" s="34"/>
      <c r="F825" s="34">
        <f>Source!BZ221</f>
        <v>95</v>
      </c>
      <c r="G825" s="57">
        <f>(Source!AF221+Source!AE221)*Source!FX221/100</f>
        <v>2036.5719999999999</v>
      </c>
      <c r="H825" s="57">
        <f>Source!X221</f>
        <v>7515.97</v>
      </c>
    </row>
    <row r="826" spans="1:28" x14ac:dyDescent="0.2">
      <c r="C826" s="9" t="s">
        <v>1220</v>
      </c>
      <c r="D826" s="34"/>
      <c r="E826" s="34"/>
      <c r="F826" s="34">
        <f>Source!CA221</f>
        <v>65</v>
      </c>
      <c r="G826" s="57">
        <f>(Source!AF221+Source!AE221)*Source!FY221/100</f>
        <v>1393.444</v>
      </c>
      <c r="H826" s="57">
        <f>Source!Y221</f>
        <v>5142.51</v>
      </c>
    </row>
    <row r="827" spans="1:28" x14ac:dyDescent="0.2">
      <c r="C827" s="9" t="s">
        <v>1222</v>
      </c>
      <c r="D827" s="34"/>
      <c r="E827" s="34"/>
      <c r="F827" s="34"/>
      <c r="G827" s="57">
        <f>((Source!AF221+Source!AE221)*Source!FX221/100)+((Source!AF221+Source!AE221)*Source!FY221/100)+Source!AB221</f>
        <v>6753.2459999999992</v>
      </c>
      <c r="H827" s="57">
        <f>Source!O221+Source!X221+Source!Y221</f>
        <v>24922.870000000003</v>
      </c>
    </row>
    <row r="828" spans="1:28" ht="71.25" x14ac:dyDescent="0.2">
      <c r="A828" s="46">
        <v>127</v>
      </c>
      <c r="B828" s="46" t="str">
        <f>Source!E222</f>
        <v>56,1</v>
      </c>
      <c r="C828" s="46" t="str">
        <f>Source!G222</f>
        <v>Светильник потолочный со светодиодными лампами  "Oskar LED"595х595х40мм,встраиваемые в подвесной потолок "Армстронг",36 Вт,3000Лм,IP40 прим.</v>
      </c>
      <c r="D828" s="46" t="str">
        <f>Source!F222</f>
        <v>20.3.03.07-0099</v>
      </c>
      <c r="E828" s="31" t="str">
        <f>Source!H222</f>
        <v>шт.</v>
      </c>
      <c r="F828" s="12">
        <f>Source!I222</f>
        <v>55</v>
      </c>
      <c r="G828" s="22">
        <f>Source!AB222</f>
        <v>846.15</v>
      </c>
      <c r="H828" s="22">
        <f>Source!O222</f>
        <v>312271.65999999997</v>
      </c>
      <c r="T828">
        <f>Source!O222+Source!X222+Source!Y222</f>
        <v>312271.65999999997</v>
      </c>
      <c r="U828">
        <f>Source!P222</f>
        <v>312271.65999999997</v>
      </c>
      <c r="V828">
        <f>Source!S222</f>
        <v>0</v>
      </c>
      <c r="W828">
        <f>Source!Q222</f>
        <v>0</v>
      </c>
      <c r="X828">
        <f>Source!R222</f>
        <v>0</v>
      </c>
      <c r="Y828">
        <f>Source!U222</f>
        <v>0</v>
      </c>
      <c r="Z828">
        <f>Source!V222</f>
        <v>0</v>
      </c>
      <c r="AA828">
        <f>Source!X222</f>
        <v>0</v>
      </c>
      <c r="AB828">
        <f>Source!Y222</f>
        <v>0</v>
      </c>
    </row>
    <row r="829" spans="1:28" ht="14.25" x14ac:dyDescent="0.2">
      <c r="C829" s="23" t="s">
        <v>1216</v>
      </c>
      <c r="D829" s="23">
        <f>Source!BC222</f>
        <v>6.71</v>
      </c>
      <c r="F829" s="12"/>
      <c r="G829" s="12"/>
      <c r="H829" s="12"/>
    </row>
    <row r="830" spans="1:28" ht="114" x14ac:dyDescent="0.2">
      <c r="A830" s="46">
        <v>128</v>
      </c>
      <c r="B830" s="46" t="str">
        <f>Source!E223</f>
        <v>57</v>
      </c>
      <c r="C830" s="46" t="str">
        <f>Source!G223</f>
        <v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v>
      </c>
      <c r="D830" s="46" t="str">
        <f>Source!F223</f>
        <v>п01-11-028-01</v>
      </c>
      <c r="E830" s="31" t="str">
        <f>Source!H223</f>
        <v>ШТ</v>
      </c>
      <c r="F830" s="12">
        <f>Source!I223</f>
        <v>42</v>
      </c>
      <c r="G830" s="22">
        <f>Source!AB223</f>
        <v>3.28</v>
      </c>
      <c r="H830" s="22">
        <f>Source!O223</f>
        <v>2671.17</v>
      </c>
      <c r="T830">
        <f>Source!O223+Source!X223+Source!Y223</f>
        <v>5475.9000000000005</v>
      </c>
      <c r="U830">
        <f>Source!P223</f>
        <v>0</v>
      </c>
      <c r="V830">
        <f>Source!S223</f>
        <v>2671.17</v>
      </c>
      <c r="W830">
        <f>Source!Q223</f>
        <v>0</v>
      </c>
      <c r="X830">
        <f>Source!R223</f>
        <v>0</v>
      </c>
      <c r="Y830">
        <f>Source!U223</f>
        <v>10.752000000000001</v>
      </c>
      <c r="Z830">
        <f>Source!V223</f>
        <v>0</v>
      </c>
      <c r="AA830">
        <f>Source!X223</f>
        <v>1736.26</v>
      </c>
      <c r="AB830">
        <f>Source!Y223</f>
        <v>1068.47</v>
      </c>
    </row>
    <row r="831" spans="1:28" ht="14.25" x14ac:dyDescent="0.2">
      <c r="C831" s="23" t="s">
        <v>1214</v>
      </c>
      <c r="D831" s="23">
        <f>Source!BA223</f>
        <v>19.39</v>
      </c>
      <c r="F831" s="12"/>
      <c r="G831" s="12"/>
      <c r="H831" s="12"/>
    </row>
    <row r="832" spans="1:28" x14ac:dyDescent="0.2">
      <c r="C832" s="23" t="s">
        <v>1226</v>
      </c>
      <c r="D832" s="89" t="s">
        <v>83</v>
      </c>
      <c r="E832" s="89"/>
      <c r="F832" s="89"/>
      <c r="G832" s="89"/>
      <c r="H832" s="89"/>
    </row>
    <row r="833" spans="1:28" x14ac:dyDescent="0.2">
      <c r="C833" s="23" t="s">
        <v>1227</v>
      </c>
      <c r="D833" s="89" t="s">
        <v>83</v>
      </c>
      <c r="E833" s="89"/>
      <c r="F833" s="89"/>
      <c r="G833" s="89"/>
      <c r="H833" s="89"/>
    </row>
    <row r="834" spans="1:28" x14ac:dyDescent="0.2">
      <c r="C834" s="9" t="s">
        <v>1218</v>
      </c>
      <c r="D834" s="34"/>
      <c r="E834" s="34"/>
      <c r="F834" s="34">
        <f>Source!BZ223</f>
        <v>65</v>
      </c>
      <c r="G834" s="57">
        <f>(Source!AF223+Source!AE223)*Source!FX223/100</f>
        <v>2.1319999999999997</v>
      </c>
      <c r="H834" s="57">
        <f>Source!X223</f>
        <v>1736.26</v>
      </c>
    </row>
    <row r="835" spans="1:28" x14ac:dyDescent="0.2">
      <c r="C835" s="9" t="s">
        <v>1220</v>
      </c>
      <c r="D835" s="34"/>
      <c r="E835" s="34"/>
      <c r="F835" s="34">
        <f>Source!CA223</f>
        <v>40</v>
      </c>
      <c r="G835" s="57">
        <f>(Source!AF223+Source!AE223)*Source!FY223/100</f>
        <v>1.3119999999999998</v>
      </c>
      <c r="H835" s="57">
        <f>Source!Y223</f>
        <v>1068.47</v>
      </c>
    </row>
    <row r="836" spans="1:28" x14ac:dyDescent="0.2">
      <c r="C836" s="9" t="s">
        <v>1222</v>
      </c>
      <c r="D836" s="34"/>
      <c r="E836" s="34"/>
      <c r="F836" s="34"/>
      <c r="G836" s="57">
        <f>((Source!AF223+Source!AE223)*Source!FX223/100)+((Source!AF223+Source!AE223)*Source!FY223/100)+Source!AB223</f>
        <v>6.7239999999999993</v>
      </c>
      <c r="H836" s="57">
        <f>Source!O223+Source!X223+Source!Y223</f>
        <v>5475.9000000000005</v>
      </c>
    </row>
    <row r="837" spans="1:28" ht="42.75" x14ac:dyDescent="0.2">
      <c r="A837" s="46">
        <v>129</v>
      </c>
      <c r="B837" s="46" t="str">
        <f>Source!E224</f>
        <v>58</v>
      </c>
      <c r="C837" s="46" t="str">
        <f>Source!G224</f>
        <v>Проверка наличия цепи между заземлителями и заземленными элементами</v>
      </c>
      <c r="D837" s="46" t="str">
        <f>Source!F224</f>
        <v>п01-11-011-01</v>
      </c>
      <c r="E837" s="31" t="str">
        <f>Source!H224</f>
        <v>100 измерений</v>
      </c>
      <c r="F837" s="12">
        <f>Source!I224</f>
        <v>0.8</v>
      </c>
      <c r="G837" s="22">
        <f>Source!AB224</f>
        <v>132.76</v>
      </c>
      <c r="H837" s="22">
        <f>Source!O224</f>
        <v>2059.37</v>
      </c>
      <c r="T837">
        <f>Source!O224+Source!X224+Source!Y224</f>
        <v>4221.71</v>
      </c>
      <c r="U837">
        <f>Source!P224</f>
        <v>0</v>
      </c>
      <c r="V837">
        <f>Source!S224</f>
        <v>2059.37</v>
      </c>
      <c r="W837">
        <f>Source!Q224</f>
        <v>0</v>
      </c>
      <c r="X837">
        <f>Source!R224</f>
        <v>0</v>
      </c>
      <c r="Y837">
        <f>Source!U224</f>
        <v>8.2944000000000013</v>
      </c>
      <c r="Z837">
        <f>Source!V224</f>
        <v>0</v>
      </c>
      <c r="AA837">
        <f>Source!X224</f>
        <v>1338.59</v>
      </c>
      <c r="AB837">
        <f>Source!Y224</f>
        <v>823.75</v>
      </c>
    </row>
    <row r="838" spans="1:28" ht="14.25" x14ac:dyDescent="0.2">
      <c r="C838" s="23" t="str">
        <f>"Объем: "&amp;Source!I224&amp;"=80/"&amp;"100"</f>
        <v>Объем: 0,8=80/100</v>
      </c>
      <c r="F838" s="12"/>
      <c r="G838" s="12"/>
      <c r="H838" s="12"/>
    </row>
    <row r="839" spans="1:28" x14ac:dyDescent="0.2">
      <c r="C839" s="23" t="s">
        <v>1214</v>
      </c>
      <c r="D839" s="23">
        <f>Source!BA224</f>
        <v>19.39</v>
      </c>
    </row>
    <row r="840" spans="1:28" x14ac:dyDescent="0.2">
      <c r="C840" s="23" t="s">
        <v>1226</v>
      </c>
      <c r="D840" s="89" t="s">
        <v>83</v>
      </c>
      <c r="E840" s="89"/>
      <c r="F840" s="89"/>
      <c r="G840" s="89"/>
      <c r="H840" s="89"/>
    </row>
    <row r="841" spans="1:28" x14ac:dyDescent="0.2">
      <c r="C841" s="23" t="s">
        <v>1227</v>
      </c>
      <c r="D841" s="89" t="s">
        <v>83</v>
      </c>
      <c r="E841" s="89"/>
      <c r="F841" s="89"/>
      <c r="G841" s="89"/>
      <c r="H841" s="89"/>
    </row>
    <row r="842" spans="1:28" x14ac:dyDescent="0.2">
      <c r="C842" s="9" t="s">
        <v>1218</v>
      </c>
      <c r="D842" s="34"/>
      <c r="E842" s="34"/>
      <c r="F842" s="34">
        <f>Source!BZ224</f>
        <v>65</v>
      </c>
      <c r="G842" s="57">
        <f>(Source!AF224+Source!AE224)*Source!FX224/100</f>
        <v>86.293999999999997</v>
      </c>
      <c r="H842" s="57">
        <f>Source!X224</f>
        <v>1338.59</v>
      </c>
    </row>
    <row r="843" spans="1:28" x14ac:dyDescent="0.2">
      <c r="C843" s="9" t="s">
        <v>1220</v>
      </c>
      <c r="D843" s="34"/>
      <c r="E843" s="34"/>
      <c r="F843" s="34">
        <f>Source!CA224</f>
        <v>40</v>
      </c>
      <c r="G843" s="57">
        <f>(Source!AF224+Source!AE224)*Source!FY224/100</f>
        <v>53.103999999999999</v>
      </c>
      <c r="H843" s="57">
        <f>Source!Y224</f>
        <v>823.75</v>
      </c>
    </row>
    <row r="844" spans="1:28" x14ac:dyDescent="0.2">
      <c r="C844" s="9" t="s">
        <v>1222</v>
      </c>
      <c r="D844" s="34"/>
      <c r="E844" s="34"/>
      <c r="F844" s="34"/>
      <c r="G844" s="57">
        <f>((Source!AF224+Source!AE224)*Source!FX224/100)+((Source!AF224+Source!AE224)*Source!FY224/100)+Source!AB224</f>
        <v>272.15800000000002</v>
      </c>
      <c r="H844" s="57">
        <f>Source!O224+Source!X224+Source!Y224</f>
        <v>4221.71</v>
      </c>
    </row>
    <row r="845" spans="1:28" ht="28.5" x14ac:dyDescent="0.2">
      <c r="A845" s="46">
        <v>130</v>
      </c>
      <c r="B845" s="46" t="str">
        <f>Source!E225</f>
        <v>59</v>
      </c>
      <c r="C845" s="46" t="str">
        <f>Source!G225</f>
        <v>Замер полного сопротивления цепи "фаза-нуль"</v>
      </c>
      <c r="D845" s="46" t="str">
        <f>Source!F225</f>
        <v>п01-11-013-01</v>
      </c>
      <c r="E845" s="31" t="str">
        <f>Source!H225</f>
        <v>ШТ</v>
      </c>
      <c r="F845" s="12">
        <f>Source!I225</f>
        <v>4</v>
      </c>
      <c r="G845" s="22">
        <f>Source!AB225</f>
        <v>12.5</v>
      </c>
      <c r="H845" s="22">
        <f>Source!O225</f>
        <v>969.5</v>
      </c>
      <c r="T845">
        <f>Source!O225+Source!X225+Source!Y225</f>
        <v>1987.4799999999998</v>
      </c>
      <c r="U845">
        <f>Source!P225</f>
        <v>0</v>
      </c>
      <c r="V845">
        <f>Source!S225</f>
        <v>969.5</v>
      </c>
      <c r="W845">
        <f>Source!Q225</f>
        <v>0</v>
      </c>
      <c r="X845">
        <f>Source!R225</f>
        <v>0</v>
      </c>
      <c r="Y845">
        <f>Source!U225</f>
        <v>3.9039999999999999</v>
      </c>
      <c r="Z845">
        <f>Source!V225</f>
        <v>0</v>
      </c>
      <c r="AA845">
        <f>Source!X225</f>
        <v>630.17999999999995</v>
      </c>
      <c r="AB845">
        <f>Source!Y225</f>
        <v>387.8</v>
      </c>
    </row>
    <row r="846" spans="1:28" ht="14.25" x14ac:dyDescent="0.2">
      <c r="C846" s="23" t="s">
        <v>1214</v>
      </c>
      <c r="D846" s="23">
        <f>Source!BA225</f>
        <v>19.39</v>
      </c>
      <c r="F846" s="12"/>
      <c r="G846" s="12"/>
      <c r="H846" s="12"/>
    </row>
    <row r="847" spans="1:28" x14ac:dyDescent="0.2">
      <c r="C847" s="23" t="s">
        <v>1226</v>
      </c>
      <c r="D847" s="89" t="s">
        <v>83</v>
      </c>
      <c r="E847" s="89"/>
      <c r="F847" s="89"/>
      <c r="G847" s="89"/>
      <c r="H847" s="89"/>
    </row>
    <row r="848" spans="1:28" x14ac:dyDescent="0.2">
      <c r="C848" s="23" t="s">
        <v>1227</v>
      </c>
      <c r="D848" s="89" t="s">
        <v>83</v>
      </c>
      <c r="E848" s="89"/>
      <c r="F848" s="89"/>
      <c r="G848" s="89"/>
      <c r="H848" s="89"/>
    </row>
    <row r="849" spans="1:28" x14ac:dyDescent="0.2">
      <c r="C849" s="9" t="s">
        <v>1218</v>
      </c>
      <c r="D849" s="34"/>
      <c r="E849" s="34"/>
      <c r="F849" s="34">
        <f>Source!BZ225</f>
        <v>65</v>
      </c>
      <c r="G849" s="57">
        <f>(Source!AF225+Source!AE225)*Source!FX225/100</f>
        <v>8.125</v>
      </c>
      <c r="H849" s="57">
        <f>Source!X225</f>
        <v>630.17999999999995</v>
      </c>
    </row>
    <row r="850" spans="1:28" x14ac:dyDescent="0.2">
      <c r="C850" s="9" t="s">
        <v>1220</v>
      </c>
      <c r="D850" s="34"/>
      <c r="E850" s="34"/>
      <c r="F850" s="34">
        <f>Source!CA225</f>
        <v>40</v>
      </c>
      <c r="G850" s="57">
        <f>(Source!AF225+Source!AE225)*Source!FY225/100</f>
        <v>5</v>
      </c>
      <c r="H850" s="57">
        <f>Source!Y225</f>
        <v>387.8</v>
      </c>
    </row>
    <row r="851" spans="1:28" x14ac:dyDescent="0.2">
      <c r="C851" s="9" t="s">
        <v>1222</v>
      </c>
      <c r="D851" s="34"/>
      <c r="E851" s="34"/>
      <c r="F851" s="34"/>
      <c r="G851" s="57">
        <f>((Source!AF225+Source!AE225)*Source!FX225/100)+((Source!AF225+Source!AE225)*Source!FY225/100)+Source!AB225</f>
        <v>25.625</v>
      </c>
      <c r="H851" s="57">
        <f>Source!O225+Source!X225+Source!Y225</f>
        <v>1987.4799999999998</v>
      </c>
    </row>
    <row r="852" spans="1:28" ht="57" x14ac:dyDescent="0.2">
      <c r="A852" s="46">
        <v>131</v>
      </c>
      <c r="B852" s="46" t="str">
        <f>Source!E226</f>
        <v>60</v>
      </c>
      <c r="C852" s="46" t="str">
        <f>Source!G226</f>
        <v>Испытание аппарата коммутационного напряжением до 35 кВ (Автоматические выключатели до 1000 В)</v>
      </c>
      <c r="D852" s="46" t="str">
        <f>Source!F226</f>
        <v>п01-12-021-02</v>
      </c>
      <c r="E852" s="31" t="str">
        <f>Source!H226</f>
        <v>испытание</v>
      </c>
      <c r="F852" s="12">
        <f>Source!I226</f>
        <v>39</v>
      </c>
      <c r="G852" s="22">
        <f>Source!AB226</f>
        <v>27.45</v>
      </c>
      <c r="H852" s="22">
        <f>Source!O226</f>
        <v>20757.96</v>
      </c>
      <c r="T852">
        <f>Source!O226+Source!X226+Source!Y226</f>
        <v>42553.81</v>
      </c>
      <c r="U852">
        <f>Source!P226</f>
        <v>0</v>
      </c>
      <c r="V852">
        <f>Source!S226</f>
        <v>20757.96</v>
      </c>
      <c r="W852">
        <f>Source!Q226</f>
        <v>0</v>
      </c>
      <c r="X852">
        <f>Source!R226</f>
        <v>0</v>
      </c>
      <c r="Y852">
        <f>Source!U226</f>
        <v>88.296000000000006</v>
      </c>
      <c r="Z852">
        <f>Source!V226</f>
        <v>0</v>
      </c>
      <c r="AA852">
        <f>Source!X226</f>
        <v>13492.67</v>
      </c>
      <c r="AB852">
        <f>Source!Y226</f>
        <v>8303.18</v>
      </c>
    </row>
    <row r="853" spans="1:28" ht="14.25" x14ac:dyDescent="0.2">
      <c r="C853" s="23" t="s">
        <v>1214</v>
      </c>
      <c r="D853" s="23">
        <f>Source!BA226</f>
        <v>19.39</v>
      </c>
      <c r="F853" s="12"/>
      <c r="G853" s="12"/>
      <c r="H853" s="12"/>
    </row>
    <row r="854" spans="1:28" x14ac:dyDescent="0.2">
      <c r="C854" s="23" t="s">
        <v>1226</v>
      </c>
      <c r="D854" s="89" t="s">
        <v>83</v>
      </c>
      <c r="E854" s="89"/>
      <c r="F854" s="89"/>
      <c r="G854" s="89"/>
      <c r="H854" s="89"/>
    </row>
    <row r="855" spans="1:28" x14ac:dyDescent="0.2">
      <c r="C855" s="23" t="s">
        <v>1227</v>
      </c>
      <c r="D855" s="89" t="s">
        <v>83</v>
      </c>
      <c r="E855" s="89"/>
      <c r="F855" s="89"/>
      <c r="G855" s="89"/>
      <c r="H855" s="89"/>
    </row>
    <row r="856" spans="1:28" x14ac:dyDescent="0.2">
      <c r="C856" s="9" t="s">
        <v>1218</v>
      </c>
      <c r="D856" s="34"/>
      <c r="E856" s="34"/>
      <c r="F856" s="34">
        <f>Source!BZ226</f>
        <v>65</v>
      </c>
      <c r="G856" s="57">
        <f>(Source!AF226+Source!AE226)*Source!FX226/100</f>
        <v>17.842500000000001</v>
      </c>
      <c r="H856" s="57">
        <f>Source!X226</f>
        <v>13492.67</v>
      </c>
    </row>
    <row r="857" spans="1:28" x14ac:dyDescent="0.2">
      <c r="C857" s="9" t="s">
        <v>1220</v>
      </c>
      <c r="D857" s="34"/>
      <c r="E857" s="34"/>
      <c r="F857" s="34">
        <f>Source!CA226</f>
        <v>40</v>
      </c>
      <c r="G857" s="57">
        <f>(Source!AF226+Source!AE226)*Source!FY226/100</f>
        <v>10.98</v>
      </c>
      <c r="H857" s="57">
        <f>Source!Y226</f>
        <v>8303.18</v>
      </c>
    </row>
    <row r="858" spans="1:28" x14ac:dyDescent="0.2">
      <c r="C858" s="9" t="s">
        <v>1222</v>
      </c>
      <c r="D858" s="34"/>
      <c r="E858" s="34"/>
      <c r="F858" s="34"/>
      <c r="G858" s="57">
        <f>((Source!AF226+Source!AE226)*Source!FX226/100)+((Source!AF226+Source!AE226)*Source!FY226/100)+Source!AB226</f>
        <v>56.272500000000001</v>
      </c>
      <c r="H858" s="57">
        <f>Source!O226+Source!X226+Source!Y226</f>
        <v>42553.81</v>
      </c>
    </row>
    <row r="860" spans="1:28" ht="15" x14ac:dyDescent="0.25">
      <c r="A860" s="58"/>
      <c r="B860" s="58"/>
      <c r="C860" s="70" t="str">
        <f>CONCATENATE("Итого по разделу: ",IF(Source!G228&lt;&gt;"Новый раздел", Source!G228, ""))</f>
        <v>Итого по разделу: 3 Электромонтажные работы</v>
      </c>
      <c r="D860" s="70"/>
      <c r="E860" s="70"/>
      <c r="F860" s="70"/>
      <c r="G860" s="58"/>
      <c r="H860" s="59">
        <f>IF(SUM(T607:T859)=0, "-", SUM(T607:T859))</f>
        <v>560530</v>
      </c>
    </row>
    <row r="861" spans="1:28" ht="15" x14ac:dyDescent="0.25">
      <c r="A861" s="58"/>
      <c r="B861" s="58"/>
      <c r="C861" s="58"/>
      <c r="D861" s="58"/>
      <c r="E861" s="58"/>
      <c r="F861" s="58"/>
      <c r="G861" s="58"/>
      <c r="H861" s="58"/>
    </row>
    <row r="863" spans="1:28" ht="14.25" x14ac:dyDescent="0.2">
      <c r="C863" s="84" t="str">
        <f>Source!H256</f>
        <v>Итого</v>
      </c>
      <c r="D863" s="84"/>
      <c r="E863" s="84"/>
      <c r="F863" s="84"/>
      <c r="G863" s="77">
        <f>IF(Source!F256=0, "", Source!F256)</f>
        <v>560530</v>
      </c>
      <c r="H863" s="77"/>
    </row>
    <row r="864" spans="1:28" ht="14.25" x14ac:dyDescent="0.2">
      <c r="C864" s="84" t="str">
        <f>Source!H257</f>
        <v>НДС 18%</v>
      </c>
      <c r="D864" s="84"/>
      <c r="E864" s="84"/>
      <c r="F864" s="84"/>
      <c r="G864" s="77">
        <f>IF(Source!F257=0, "", Source!F257)</f>
        <v>100895.4</v>
      </c>
      <c r="H864" s="77"/>
    </row>
    <row r="865" spans="1:28" ht="14.25" x14ac:dyDescent="0.2">
      <c r="C865" s="84" t="str">
        <f>Source!H258</f>
        <v>Всего</v>
      </c>
      <c r="D865" s="84"/>
      <c r="E865" s="84"/>
      <c r="F865" s="84"/>
      <c r="G865" s="77">
        <f>IF(Source!F258=0, "", Source!F258)</f>
        <v>661425.4</v>
      </c>
      <c r="H865" s="77"/>
    </row>
    <row r="867" spans="1:28" ht="16.5" x14ac:dyDescent="0.25">
      <c r="A867" s="73" t="str">
        <f>CONCATENATE("Раздел: ",IF(Source!G260&lt;&gt;"Новый раздел", Source!G260, ""))</f>
        <v>Раздел: 4 АПС</v>
      </c>
      <c r="B867" s="73"/>
      <c r="C867" s="73"/>
      <c r="D867" s="73"/>
      <c r="E867" s="73"/>
      <c r="F867" s="73"/>
      <c r="G867" s="73"/>
      <c r="H867" s="73"/>
    </row>
    <row r="868" spans="1:28" ht="57" x14ac:dyDescent="0.2">
      <c r="A868" s="46">
        <v>132</v>
      </c>
      <c r="B868" s="46" t="str">
        <f>Source!E264</f>
        <v>61</v>
      </c>
      <c r="C868" s="46" t="str">
        <f>Source!G264</f>
        <v>Демонтаж:Монтаж извещателя ПС автоматического теплового электро-контактный, магнитоконтактный в нормальном исполнении</v>
      </c>
      <c r="D868" s="46" t="str">
        <f>Source!F264</f>
        <v>м10-08-002-01</v>
      </c>
      <c r="E868" s="31" t="str">
        <f>Source!H264</f>
        <v>ШТ</v>
      </c>
      <c r="F868" s="12">
        <f>Source!I264</f>
        <v>14</v>
      </c>
      <c r="G868" s="22">
        <f>Source!AB264</f>
        <v>2.42</v>
      </c>
      <c r="H868" s="22">
        <f>Source!O264</f>
        <v>227.33</v>
      </c>
      <c r="T868">
        <f>Source!O264+Source!X264+Source!Y264</f>
        <v>545.59</v>
      </c>
      <c r="U868">
        <f>Source!P264</f>
        <v>0</v>
      </c>
      <c r="V868">
        <f>Source!S264</f>
        <v>227.33</v>
      </c>
      <c r="W868">
        <f>Source!Q264</f>
        <v>0</v>
      </c>
      <c r="X868">
        <f>Source!R264</f>
        <v>0</v>
      </c>
      <c r="Y868">
        <f>Source!U264</f>
        <v>3.528</v>
      </c>
      <c r="Z868">
        <f>Source!V264</f>
        <v>0</v>
      </c>
      <c r="AA868">
        <f>Source!X264</f>
        <v>181.86</v>
      </c>
      <c r="AB868">
        <f>Source!Y264</f>
        <v>136.4</v>
      </c>
    </row>
    <row r="869" spans="1:28" ht="14.25" x14ac:dyDescent="0.2">
      <c r="C869" s="23" t="s">
        <v>1214</v>
      </c>
      <c r="D869" s="23">
        <f>Source!BA264</f>
        <v>6.71</v>
      </c>
      <c r="F869" s="12"/>
      <c r="G869" s="12"/>
      <c r="H869" s="12"/>
    </row>
    <row r="870" spans="1:28" x14ac:dyDescent="0.2">
      <c r="C870" s="23" t="s">
        <v>1215</v>
      </c>
      <c r="D870" s="23">
        <f>Source!BB264</f>
        <v>6.71</v>
      </c>
    </row>
    <row r="871" spans="1:28" x14ac:dyDescent="0.2">
      <c r="C871" s="23" t="s">
        <v>1216</v>
      </c>
      <c r="D871" s="23">
        <f>Source!BC264</f>
        <v>6.71</v>
      </c>
    </row>
    <row r="872" spans="1:28" x14ac:dyDescent="0.2">
      <c r="C872" s="23" t="s">
        <v>1217</v>
      </c>
      <c r="D872" s="23">
        <f>Source!BS264</f>
        <v>6.71</v>
      </c>
    </row>
    <row r="873" spans="1:28" x14ac:dyDescent="0.2">
      <c r="C873" s="23" t="s">
        <v>1223</v>
      </c>
      <c r="D873" s="89" t="s">
        <v>31</v>
      </c>
      <c r="E873" s="89"/>
      <c r="F873" s="89"/>
      <c r="G873" s="89"/>
      <c r="H873" s="89"/>
    </row>
    <row r="874" spans="1:28" x14ac:dyDescent="0.2">
      <c r="C874" s="23" t="s">
        <v>1224</v>
      </c>
      <c r="D874" s="89" t="s">
        <v>471</v>
      </c>
      <c r="E874" s="89"/>
      <c r="F874" s="89"/>
      <c r="G874" s="89"/>
      <c r="H874" s="89"/>
    </row>
    <row r="875" spans="1:28" x14ac:dyDescent="0.2">
      <c r="C875" s="23" t="s">
        <v>1225</v>
      </c>
      <c r="D875" s="89" t="s">
        <v>471</v>
      </c>
      <c r="E875" s="89"/>
      <c r="F875" s="89"/>
      <c r="G875" s="89"/>
      <c r="H875" s="89"/>
    </row>
    <row r="876" spans="1:28" x14ac:dyDescent="0.2">
      <c r="C876" s="23" t="s">
        <v>1226</v>
      </c>
      <c r="D876" s="89" t="s">
        <v>471</v>
      </c>
      <c r="E876" s="89"/>
      <c r="F876" s="89"/>
      <c r="G876" s="89"/>
      <c r="H876" s="89"/>
    </row>
    <row r="877" spans="1:28" x14ac:dyDescent="0.2">
      <c r="C877" s="23" t="s">
        <v>1227</v>
      </c>
      <c r="D877" s="89" t="s">
        <v>471</v>
      </c>
      <c r="E877" s="89"/>
      <c r="F877" s="89"/>
      <c r="G877" s="89"/>
      <c r="H877" s="89"/>
    </row>
    <row r="878" spans="1:28" x14ac:dyDescent="0.2">
      <c r="C878" s="23" t="s">
        <v>1228</v>
      </c>
      <c r="D878" s="89" t="s">
        <v>471</v>
      </c>
      <c r="E878" s="89"/>
      <c r="F878" s="89"/>
      <c r="G878" s="89"/>
      <c r="H878" s="89"/>
    </row>
    <row r="879" spans="1:28" x14ac:dyDescent="0.2">
      <c r="C879" s="9" t="s">
        <v>1218</v>
      </c>
      <c r="D879" s="34"/>
      <c r="E879" s="34"/>
      <c r="F879" s="34">
        <f>Source!BZ264</f>
        <v>80</v>
      </c>
      <c r="G879" s="57">
        <f>(Source!AF264+Source!AE264)*Source!FX264/100</f>
        <v>1.9359999999999999</v>
      </c>
      <c r="H879" s="57">
        <f>Source!X264</f>
        <v>181.86</v>
      </c>
    </row>
    <row r="880" spans="1:28" x14ac:dyDescent="0.2">
      <c r="C880" s="9" t="s">
        <v>1220</v>
      </c>
      <c r="D880" s="34"/>
      <c r="E880" s="34"/>
      <c r="F880" s="34">
        <f>Source!CA264</f>
        <v>60</v>
      </c>
      <c r="G880" s="57">
        <f>(Source!AF264+Source!AE264)*Source!FY264/100</f>
        <v>1.452</v>
      </c>
      <c r="H880" s="57">
        <f>Source!Y264</f>
        <v>136.4</v>
      </c>
    </row>
    <row r="881" spans="1:28" x14ac:dyDescent="0.2">
      <c r="C881" s="9" t="s">
        <v>1222</v>
      </c>
      <c r="D881" s="34"/>
      <c r="E881" s="34"/>
      <c r="F881" s="34"/>
      <c r="G881" s="57">
        <f>((Source!AF264+Source!AE264)*Source!FX264/100)+((Source!AF264+Source!AE264)*Source!FY264/100)+Source!AB264</f>
        <v>5.8079999999999998</v>
      </c>
      <c r="H881" s="57">
        <f>Source!O264+Source!X264+Source!Y264</f>
        <v>545.59</v>
      </c>
    </row>
    <row r="882" spans="1:28" ht="57" x14ac:dyDescent="0.2">
      <c r="A882" s="46">
        <v>133</v>
      </c>
      <c r="B882" s="46" t="str">
        <f>Source!E265</f>
        <v>62</v>
      </c>
      <c r="C882" s="46" t="str">
        <f>Source!G265</f>
        <v>Монтаж извещателя ПС автоматического теплового электро-контактный, магнитоконтактный в нормальном исполнении</v>
      </c>
      <c r="D882" s="46" t="str">
        <f>Source!F265</f>
        <v>м10-08-002-01</v>
      </c>
      <c r="E882" s="31" t="str">
        <f>Source!H265</f>
        <v>ШТ</v>
      </c>
      <c r="F882" s="12">
        <f>Source!I265</f>
        <v>16</v>
      </c>
      <c r="G882" s="22">
        <f>Source!AB265</f>
        <v>9.36</v>
      </c>
      <c r="H882" s="22">
        <f>Source!O265</f>
        <v>1004.89</v>
      </c>
      <c r="T882">
        <f>Source!O265+Source!X265+Source!Y265</f>
        <v>2219.35</v>
      </c>
      <c r="U882">
        <f>Source!P265</f>
        <v>137.41999999999999</v>
      </c>
      <c r="V882">
        <f>Source!S265</f>
        <v>867.47</v>
      </c>
      <c r="W882">
        <f>Source!Q265</f>
        <v>0</v>
      </c>
      <c r="X882">
        <f>Source!R265</f>
        <v>0</v>
      </c>
      <c r="Y882">
        <f>Source!U265</f>
        <v>13.44</v>
      </c>
      <c r="Z882">
        <f>Source!V265</f>
        <v>0</v>
      </c>
      <c r="AA882">
        <f>Source!X265</f>
        <v>693.98</v>
      </c>
      <c r="AB882">
        <f>Source!Y265</f>
        <v>520.48</v>
      </c>
    </row>
    <row r="883" spans="1:28" ht="14.25" x14ac:dyDescent="0.2">
      <c r="C883" s="23" t="s">
        <v>1214</v>
      </c>
      <c r="D883" s="23">
        <f>Source!BA265</f>
        <v>6.71</v>
      </c>
      <c r="F883" s="12"/>
      <c r="G883" s="12"/>
      <c r="H883" s="12"/>
    </row>
    <row r="884" spans="1:28" x14ac:dyDescent="0.2">
      <c r="C884" s="23" t="s">
        <v>1215</v>
      </c>
      <c r="D884" s="23">
        <f>Source!BB265</f>
        <v>6.71</v>
      </c>
    </row>
    <row r="885" spans="1:28" x14ac:dyDescent="0.2">
      <c r="C885" s="23" t="s">
        <v>1216</v>
      </c>
      <c r="D885" s="23">
        <f>Source!BC265</f>
        <v>6.71</v>
      </c>
    </row>
    <row r="886" spans="1:28" x14ac:dyDescent="0.2">
      <c r="C886" s="23" t="s">
        <v>1217</v>
      </c>
      <c r="D886" s="23">
        <f>Source!BS265</f>
        <v>6.71</v>
      </c>
    </row>
    <row r="887" spans="1:28" x14ac:dyDescent="0.2">
      <c r="C887" s="9" t="s">
        <v>1218</v>
      </c>
      <c r="D887" s="34"/>
      <c r="E887" s="34"/>
      <c r="F887" s="34">
        <f>Source!BZ265</f>
        <v>80</v>
      </c>
      <c r="G887" s="57">
        <f>(Source!AF265+Source!AE265)*Source!FX265/100</f>
        <v>6.4639999999999995</v>
      </c>
      <c r="H887" s="57">
        <f>Source!X265</f>
        <v>693.98</v>
      </c>
    </row>
    <row r="888" spans="1:28" x14ac:dyDescent="0.2">
      <c r="C888" s="9" t="s">
        <v>1220</v>
      </c>
      <c r="D888" s="34"/>
      <c r="E888" s="34"/>
      <c r="F888" s="34">
        <f>Source!CA265</f>
        <v>60</v>
      </c>
      <c r="G888" s="57">
        <f>(Source!AF265+Source!AE265)*Source!FY265/100</f>
        <v>4.8479999999999999</v>
      </c>
      <c r="H888" s="57">
        <f>Source!Y265</f>
        <v>520.48</v>
      </c>
    </row>
    <row r="889" spans="1:28" x14ac:dyDescent="0.2">
      <c r="C889" s="9" t="s">
        <v>1222</v>
      </c>
      <c r="D889" s="34"/>
      <c r="E889" s="34"/>
      <c r="F889" s="34"/>
      <c r="G889" s="57">
        <f>((Source!AF265+Source!AE265)*Source!FX265/100)+((Source!AF265+Source!AE265)*Source!FY265/100)+Source!AB265</f>
        <v>20.671999999999997</v>
      </c>
      <c r="H889" s="57">
        <f>Source!O265+Source!X265+Source!Y265</f>
        <v>2219.35</v>
      </c>
    </row>
    <row r="890" spans="1:28" ht="28.5" x14ac:dyDescent="0.2">
      <c r="A890" s="46">
        <v>134</v>
      </c>
      <c r="B890" s="46" t="str">
        <f>Source!E266</f>
        <v>62,1</v>
      </c>
      <c r="C890" s="46" t="str">
        <f>Source!G266</f>
        <v>Извещатель пожарный дымовой ИП 212-41М (ДИП-41М) прим.</v>
      </c>
      <c r="D890" s="46" t="str">
        <f>Source!F266</f>
        <v>61.2.02.01-0072</v>
      </c>
      <c r="E890" s="31" t="str">
        <f>Source!H266</f>
        <v>10 шт.</v>
      </c>
      <c r="F890" s="12">
        <f>Source!I266</f>
        <v>1.6</v>
      </c>
      <c r="G890" s="22">
        <f>Source!AB266</f>
        <v>287.27999999999997</v>
      </c>
      <c r="H890" s="22">
        <f>Source!O266</f>
        <v>3084.24</v>
      </c>
      <c r="T890">
        <f>Source!O266+Source!X266+Source!Y266</f>
        <v>3084.24</v>
      </c>
      <c r="U890">
        <f>Source!P266</f>
        <v>3084.24</v>
      </c>
      <c r="V890">
        <f>Source!S266</f>
        <v>0</v>
      </c>
      <c r="W890">
        <f>Source!Q266</f>
        <v>0</v>
      </c>
      <c r="X890">
        <f>Source!R266</f>
        <v>0</v>
      </c>
      <c r="Y890">
        <f>Source!U266</f>
        <v>0</v>
      </c>
      <c r="Z890">
        <f>Source!V266</f>
        <v>0</v>
      </c>
      <c r="AA890">
        <f>Source!X266</f>
        <v>0</v>
      </c>
      <c r="AB890">
        <f>Source!Y266</f>
        <v>0</v>
      </c>
    </row>
    <row r="891" spans="1:28" ht="14.25" x14ac:dyDescent="0.2">
      <c r="C891" s="23" t="s">
        <v>1216</v>
      </c>
      <c r="D891" s="23">
        <f>Source!BC266</f>
        <v>6.71</v>
      </c>
      <c r="F891" s="12"/>
      <c r="G891" s="12"/>
      <c r="H891" s="12"/>
    </row>
    <row r="892" spans="1:28" ht="42.75" x14ac:dyDescent="0.2">
      <c r="A892" s="46">
        <v>135</v>
      </c>
      <c r="B892" s="46" t="str">
        <f>Source!E267</f>
        <v>63</v>
      </c>
      <c r="C892" s="46" t="str">
        <f>Source!G267</f>
        <v>Приборы ПС приемно-контрольные, пусковые, концентратор блок линейный</v>
      </c>
      <c r="D892" s="46" t="str">
        <f>Source!F267</f>
        <v>м10-08-001-03</v>
      </c>
      <c r="E892" s="31" t="str">
        <f>Source!H267</f>
        <v>10 лучей</v>
      </c>
      <c r="F892" s="12">
        <f>Source!I267</f>
        <v>0.8</v>
      </c>
      <c r="G892" s="22">
        <f>Source!AB267</f>
        <v>66.180000000000007</v>
      </c>
      <c r="H892" s="22">
        <f>Source!O267</f>
        <v>355.25</v>
      </c>
      <c r="T892">
        <f>Source!O267+Source!X267+Source!Y267</f>
        <v>757.83999999999992</v>
      </c>
      <c r="U892">
        <f>Source!P267</f>
        <v>67.69</v>
      </c>
      <c r="V892">
        <f>Source!S267</f>
        <v>287.56</v>
      </c>
      <c r="W892">
        <f>Source!Q267</f>
        <v>0</v>
      </c>
      <c r="X892">
        <f>Source!R267</f>
        <v>0</v>
      </c>
      <c r="Y892">
        <f>Source!U267</f>
        <v>4.32</v>
      </c>
      <c r="Z892">
        <f>Source!V267</f>
        <v>0</v>
      </c>
      <c r="AA892">
        <f>Source!X267</f>
        <v>230.05</v>
      </c>
      <c r="AB892">
        <f>Source!Y267</f>
        <v>172.54</v>
      </c>
    </row>
    <row r="893" spans="1:28" ht="14.25" x14ac:dyDescent="0.2">
      <c r="C893" s="23" t="str">
        <f>"Объем: "&amp;Source!I267&amp;"=8/"&amp;"10"</f>
        <v>Объем: 0,8=8/10</v>
      </c>
      <c r="F893" s="12"/>
      <c r="G893" s="12"/>
      <c r="H893" s="12"/>
    </row>
    <row r="894" spans="1:28" x14ac:dyDescent="0.2">
      <c r="C894" s="23" t="s">
        <v>1214</v>
      </c>
      <c r="D894" s="23">
        <f>Source!BA267</f>
        <v>6.71</v>
      </c>
    </row>
    <row r="895" spans="1:28" x14ac:dyDescent="0.2">
      <c r="C895" s="23" t="s">
        <v>1215</v>
      </c>
      <c r="D895" s="23">
        <f>Source!BB267</f>
        <v>6.71</v>
      </c>
    </row>
    <row r="896" spans="1:28" x14ac:dyDescent="0.2">
      <c r="C896" s="23" t="s">
        <v>1216</v>
      </c>
      <c r="D896" s="23">
        <f>Source!BC267</f>
        <v>6.71</v>
      </c>
    </row>
    <row r="897" spans="1:28" x14ac:dyDescent="0.2">
      <c r="C897" s="23" t="s">
        <v>1217</v>
      </c>
      <c r="D897" s="23">
        <f>Source!BS267</f>
        <v>6.71</v>
      </c>
    </row>
    <row r="898" spans="1:28" x14ac:dyDescent="0.2">
      <c r="C898" s="9" t="s">
        <v>1218</v>
      </c>
      <c r="D898" s="34"/>
      <c r="E898" s="34"/>
      <c r="F898" s="34">
        <f>Source!BZ267</f>
        <v>80</v>
      </c>
      <c r="G898" s="57">
        <f>(Source!AF267+Source!AE267)*Source!FX267/100</f>
        <v>42.856000000000002</v>
      </c>
      <c r="H898" s="57">
        <f>Source!X267</f>
        <v>230.05</v>
      </c>
    </row>
    <row r="899" spans="1:28" x14ac:dyDescent="0.2">
      <c r="C899" s="9" t="s">
        <v>1220</v>
      </c>
      <c r="D899" s="34"/>
      <c r="E899" s="34"/>
      <c r="F899" s="34">
        <f>Source!CA267</f>
        <v>60</v>
      </c>
      <c r="G899" s="57">
        <f>(Source!AF267+Source!AE267)*Source!FY267/100</f>
        <v>32.141999999999996</v>
      </c>
      <c r="H899" s="57">
        <f>Source!Y267</f>
        <v>172.54</v>
      </c>
    </row>
    <row r="900" spans="1:28" x14ac:dyDescent="0.2">
      <c r="C900" s="9" t="s">
        <v>1222</v>
      </c>
      <c r="D900" s="34"/>
      <c r="E900" s="34"/>
      <c r="F900" s="34"/>
      <c r="G900" s="57">
        <f>((Source!AF267+Source!AE267)*Source!FX267/100)+((Source!AF267+Source!AE267)*Source!FY267/100)+Source!AB267</f>
        <v>141.178</v>
      </c>
      <c r="H900" s="57">
        <f>Source!O267+Source!X267+Source!Y267</f>
        <v>757.83999999999992</v>
      </c>
    </row>
    <row r="901" spans="1:28" ht="28.5" x14ac:dyDescent="0.2">
      <c r="A901" s="46">
        <v>136</v>
      </c>
      <c r="B901" s="46" t="str">
        <f>Source!E268</f>
        <v>63,1</v>
      </c>
      <c r="C901" s="46" t="str">
        <f>Source!G268</f>
        <v>Устройство контроля шлейфа УКШ-1</v>
      </c>
      <c r="D901" s="46" t="str">
        <f>Source!F268</f>
        <v>61.2.07.04-0051</v>
      </c>
      <c r="E901" s="31" t="str">
        <f>Source!H268</f>
        <v>шт.</v>
      </c>
      <c r="F901" s="12">
        <f>Source!I268</f>
        <v>8</v>
      </c>
      <c r="G901" s="22">
        <f>Source!AB268</f>
        <v>57.92</v>
      </c>
      <c r="H901" s="22">
        <f>Source!O268</f>
        <v>3109.15</v>
      </c>
      <c r="T901">
        <f>Source!O268+Source!X268+Source!Y268</f>
        <v>3109.15</v>
      </c>
      <c r="U901">
        <f>Source!P268</f>
        <v>3109.15</v>
      </c>
      <c r="V901">
        <f>Source!S268</f>
        <v>0</v>
      </c>
      <c r="W901">
        <f>Source!Q268</f>
        <v>0</v>
      </c>
      <c r="X901">
        <f>Source!R268</f>
        <v>0</v>
      </c>
      <c r="Y901">
        <f>Source!U268</f>
        <v>0</v>
      </c>
      <c r="Z901">
        <f>Source!V268</f>
        <v>0</v>
      </c>
      <c r="AA901">
        <f>Source!X268</f>
        <v>0</v>
      </c>
      <c r="AB901">
        <f>Source!Y268</f>
        <v>0</v>
      </c>
    </row>
    <row r="902" spans="1:28" ht="14.25" x14ac:dyDescent="0.2">
      <c r="C902" s="23" t="s">
        <v>1216</v>
      </c>
      <c r="D902" s="23">
        <f>Source!BC268</f>
        <v>6.71</v>
      </c>
      <c r="F902" s="12"/>
      <c r="G902" s="12"/>
      <c r="H902" s="12"/>
    </row>
    <row r="903" spans="1:28" ht="28.5" x14ac:dyDescent="0.2">
      <c r="A903" s="46">
        <v>137</v>
      </c>
      <c r="B903" s="46" t="str">
        <f>Source!E269</f>
        <v>64</v>
      </c>
      <c r="C903" s="46" t="str">
        <f>Source!G269</f>
        <v>Прокладка труб гофрированных ПВХ для защиты проводов и кабелей</v>
      </c>
      <c r="D903" s="46" t="str">
        <f>Source!F269</f>
        <v>м08-10-010-01</v>
      </c>
      <c r="E903" s="31" t="str">
        <f>Source!H269</f>
        <v>100 м</v>
      </c>
      <c r="F903" s="12">
        <f>Source!I269</f>
        <v>1.32</v>
      </c>
      <c r="G903" s="22">
        <f>Source!AB269</f>
        <v>156.33000000000001</v>
      </c>
      <c r="H903" s="22">
        <f>Source!O269</f>
        <v>1384.64</v>
      </c>
      <c r="T903">
        <f>Source!O269+Source!X269+Source!Y269</f>
        <v>3362.1200000000003</v>
      </c>
      <c r="U903">
        <f>Source!P269</f>
        <v>148.71</v>
      </c>
      <c r="V903">
        <f>Source!S269</f>
        <v>1235.93</v>
      </c>
      <c r="W903">
        <f>Source!Q269</f>
        <v>0</v>
      </c>
      <c r="X903">
        <f>Source!R269</f>
        <v>0</v>
      </c>
      <c r="Y903">
        <f>Source!U269</f>
        <v>20.064</v>
      </c>
      <c r="Z903">
        <f>Source!V269</f>
        <v>0</v>
      </c>
      <c r="AA903">
        <f>Source!X269</f>
        <v>1174.1300000000001</v>
      </c>
      <c r="AB903">
        <f>Source!Y269</f>
        <v>803.35</v>
      </c>
    </row>
    <row r="904" spans="1:28" ht="14.25" x14ac:dyDescent="0.2">
      <c r="C904" s="23" t="str">
        <f>"Объем: "&amp;Source!I269&amp;"=132/"&amp;"100"</f>
        <v>Объем: 1,32=132/100</v>
      </c>
      <c r="F904" s="12"/>
      <c r="G904" s="12"/>
      <c r="H904" s="12"/>
    </row>
    <row r="905" spans="1:28" x14ac:dyDescent="0.2">
      <c r="C905" s="23" t="s">
        <v>1214</v>
      </c>
      <c r="D905" s="23">
        <f>Source!BA269</f>
        <v>6.71</v>
      </c>
    </row>
    <row r="906" spans="1:28" x14ac:dyDescent="0.2">
      <c r="C906" s="23" t="s">
        <v>1215</v>
      </c>
      <c r="D906" s="23">
        <f>Source!BB269</f>
        <v>6.71</v>
      </c>
    </row>
    <row r="907" spans="1:28" x14ac:dyDescent="0.2">
      <c r="C907" s="23" t="s">
        <v>1216</v>
      </c>
      <c r="D907" s="23">
        <f>Source!BC269</f>
        <v>6.71</v>
      </c>
    </row>
    <row r="908" spans="1:28" x14ac:dyDescent="0.2">
      <c r="C908" s="23" t="s">
        <v>1217</v>
      </c>
      <c r="D908" s="23">
        <f>Source!BS269</f>
        <v>6.71</v>
      </c>
    </row>
    <row r="909" spans="1:28" x14ac:dyDescent="0.2">
      <c r="C909" s="9" t="s">
        <v>1218</v>
      </c>
      <c r="D909" s="34"/>
      <c r="E909" s="34"/>
      <c r="F909" s="34">
        <f>Source!BZ269</f>
        <v>95</v>
      </c>
      <c r="G909" s="57">
        <f>(Source!AF269+Source!AE269)*Source!FX269/100</f>
        <v>132.56299999999999</v>
      </c>
      <c r="H909" s="57">
        <f>Source!X269</f>
        <v>1174.1300000000001</v>
      </c>
    </row>
    <row r="910" spans="1:28" x14ac:dyDescent="0.2">
      <c r="C910" s="9" t="s">
        <v>1220</v>
      </c>
      <c r="D910" s="34"/>
      <c r="E910" s="34"/>
      <c r="F910" s="34">
        <f>Source!CA269</f>
        <v>65</v>
      </c>
      <c r="G910" s="57">
        <f>(Source!AF269+Source!AE269)*Source!FY269/100</f>
        <v>90.701000000000008</v>
      </c>
      <c r="H910" s="57">
        <f>Source!Y269</f>
        <v>803.35</v>
      </c>
    </row>
    <row r="911" spans="1:28" x14ac:dyDescent="0.2">
      <c r="C911" s="9" t="s">
        <v>1222</v>
      </c>
      <c r="D911" s="34"/>
      <c r="E911" s="34"/>
      <c r="F911" s="34"/>
      <c r="G911" s="57">
        <f>((Source!AF269+Source!AE269)*Source!FX269/100)+((Source!AF269+Source!AE269)*Source!FY269/100)+Source!AB269</f>
        <v>379.59400000000005</v>
      </c>
      <c r="H911" s="57">
        <f>Source!O269+Source!X269+Source!Y269</f>
        <v>3362.1200000000003</v>
      </c>
    </row>
    <row r="912" spans="1:28" ht="42.75" x14ac:dyDescent="0.2">
      <c r="A912" s="46">
        <v>138</v>
      </c>
      <c r="B912" s="46" t="str">
        <f>Source!E270</f>
        <v>64,1</v>
      </c>
      <c r="C912" s="46" t="str">
        <f>Source!G270</f>
        <v>Трубы гибкие гофрированные легкие из ПНД, серии BL, с зондом, диаметром 16 мм</v>
      </c>
      <c r="D912" s="46" t="str">
        <f>Source!F270</f>
        <v>24.3.03.05-0011</v>
      </c>
      <c r="E912" s="31" t="str">
        <f>Source!H270</f>
        <v>10 м</v>
      </c>
      <c r="F912" s="12">
        <f>Source!I270</f>
        <v>13.199999999999998</v>
      </c>
      <c r="G912" s="22">
        <f>Source!AB270</f>
        <v>24.54</v>
      </c>
      <c r="H912" s="22">
        <f>Source!O270</f>
        <v>2173.56</v>
      </c>
      <c r="T912">
        <f>Source!O270+Source!X270+Source!Y270</f>
        <v>2173.56</v>
      </c>
      <c r="U912">
        <f>Source!P270</f>
        <v>2173.56</v>
      </c>
      <c r="V912">
        <f>Source!S270</f>
        <v>0</v>
      </c>
      <c r="W912">
        <f>Source!Q270</f>
        <v>0</v>
      </c>
      <c r="X912">
        <f>Source!R270</f>
        <v>0</v>
      </c>
      <c r="Y912">
        <f>Source!U270</f>
        <v>0</v>
      </c>
      <c r="Z912">
        <f>Source!V270</f>
        <v>0</v>
      </c>
      <c r="AA912">
        <f>Source!X270</f>
        <v>0</v>
      </c>
      <c r="AB912">
        <f>Source!Y270</f>
        <v>0</v>
      </c>
    </row>
    <row r="913" spans="1:28" ht="14.25" x14ac:dyDescent="0.2">
      <c r="C913" s="23" t="s">
        <v>1216</v>
      </c>
      <c r="D913" s="23">
        <f>Source!BC270</f>
        <v>6.71</v>
      </c>
      <c r="F913" s="12"/>
      <c r="G913" s="12"/>
      <c r="H913" s="12"/>
    </row>
    <row r="914" spans="1:28" ht="71.25" x14ac:dyDescent="0.2">
      <c r="A914" s="46">
        <v>139</v>
      </c>
      <c r="B914" s="46" t="str">
        <f>Source!E271</f>
        <v>65</v>
      </c>
      <c r="C914" s="46" t="str">
        <f>Source!G271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914" s="46" t="str">
        <f>Source!F271</f>
        <v>м08-02-412-02</v>
      </c>
      <c r="E914" s="31" t="str">
        <f>Source!H271</f>
        <v>100 м</v>
      </c>
      <c r="F914" s="12">
        <f>Source!I271</f>
        <v>1.32</v>
      </c>
      <c r="G914" s="22">
        <f>Source!AB271</f>
        <v>68.7</v>
      </c>
      <c r="H914" s="22">
        <f>Source!O271</f>
        <v>608.48</v>
      </c>
      <c r="T914">
        <f>Source!O271+Source!X271+Source!Y271</f>
        <v>1333.6299999999999</v>
      </c>
      <c r="U914">
        <f>Source!P271</f>
        <v>128.25</v>
      </c>
      <c r="V914">
        <f>Source!S271</f>
        <v>448.79</v>
      </c>
      <c r="W914">
        <f>Source!Q271</f>
        <v>31.44</v>
      </c>
      <c r="X914">
        <f>Source!R271</f>
        <v>4.43</v>
      </c>
      <c r="Y914">
        <f>Source!U271</f>
        <v>7.1147999999999998</v>
      </c>
      <c r="Z914">
        <f>Source!V271</f>
        <v>5.2800000000000007E-2</v>
      </c>
      <c r="AA914">
        <f>Source!X271</f>
        <v>430.56</v>
      </c>
      <c r="AB914">
        <f>Source!Y271</f>
        <v>294.58999999999997</v>
      </c>
    </row>
    <row r="915" spans="1:28" ht="14.25" x14ac:dyDescent="0.2">
      <c r="C915" s="23" t="str">
        <f>"Объем: "&amp;Source!I271&amp;"=132/"&amp;"100"</f>
        <v>Объем: 1,32=132/100</v>
      </c>
      <c r="F915" s="12"/>
      <c r="G915" s="12"/>
      <c r="H915" s="12"/>
    </row>
    <row r="916" spans="1:28" x14ac:dyDescent="0.2">
      <c r="C916" s="23" t="s">
        <v>1214</v>
      </c>
      <c r="D916" s="23">
        <f>Source!BA271</f>
        <v>6.71</v>
      </c>
    </row>
    <row r="917" spans="1:28" x14ac:dyDescent="0.2">
      <c r="C917" s="23" t="s">
        <v>1215</v>
      </c>
      <c r="D917" s="23">
        <f>Source!BB271</f>
        <v>6.71</v>
      </c>
    </row>
    <row r="918" spans="1:28" x14ac:dyDescent="0.2">
      <c r="C918" s="23" t="s">
        <v>1216</v>
      </c>
      <c r="D918" s="23">
        <f>Source!BC271</f>
        <v>6.71</v>
      </c>
    </row>
    <row r="919" spans="1:28" x14ac:dyDescent="0.2">
      <c r="C919" s="23" t="s">
        <v>1217</v>
      </c>
      <c r="D919" s="23">
        <f>Source!BS271</f>
        <v>6.71</v>
      </c>
    </row>
    <row r="920" spans="1:28" x14ac:dyDescent="0.2">
      <c r="C920" s="9" t="s">
        <v>1218</v>
      </c>
      <c r="D920" s="34"/>
      <c r="E920" s="34"/>
      <c r="F920" s="34">
        <f>Source!BZ271</f>
        <v>95</v>
      </c>
      <c r="G920" s="57">
        <f>(Source!AF271+Source!AE271)*Source!FX271/100</f>
        <v>48.611500000000007</v>
      </c>
      <c r="H920" s="57">
        <f>Source!X271</f>
        <v>430.56</v>
      </c>
    </row>
    <row r="921" spans="1:28" x14ac:dyDescent="0.2">
      <c r="C921" s="9" t="s">
        <v>1220</v>
      </c>
      <c r="D921" s="34"/>
      <c r="E921" s="34"/>
      <c r="F921" s="34">
        <f>Source!CA271</f>
        <v>65</v>
      </c>
      <c r="G921" s="57">
        <f>(Source!AF271+Source!AE271)*Source!FY271/100</f>
        <v>33.2605</v>
      </c>
      <c r="H921" s="57">
        <f>Source!Y271</f>
        <v>294.58999999999997</v>
      </c>
    </row>
    <row r="922" spans="1:28" x14ac:dyDescent="0.2">
      <c r="C922" s="9" t="s">
        <v>1222</v>
      </c>
      <c r="D922" s="34"/>
      <c r="E922" s="34"/>
      <c r="F922" s="34"/>
      <c r="G922" s="57">
        <f>((Source!AF271+Source!AE271)*Source!FX271/100)+((Source!AF271+Source!AE271)*Source!FY271/100)+Source!AB271</f>
        <v>150.572</v>
      </c>
      <c r="H922" s="57">
        <f>Source!O271+Source!X271+Source!Y271</f>
        <v>1333.6299999999999</v>
      </c>
    </row>
    <row r="923" spans="1:28" ht="128.25" x14ac:dyDescent="0.2">
      <c r="A923" s="46">
        <v>140</v>
      </c>
      <c r="B923" s="46" t="str">
        <f>Source!E272</f>
        <v>65,1</v>
      </c>
      <c r="C923" s="46" t="str">
        <f>Source!G272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923" s="46" t="str">
        <f>Source!F272</f>
        <v>21.1.08.01-0151</v>
      </c>
      <c r="E923" s="31" t="str">
        <f>Source!H272</f>
        <v>1000 м</v>
      </c>
      <c r="F923" s="12">
        <f>Source!I272</f>
        <v>0.13200000000000001</v>
      </c>
      <c r="G923" s="22">
        <f>Source!AB272</f>
        <v>4284.0200000000004</v>
      </c>
      <c r="H923" s="22">
        <f>Source!O272</f>
        <v>3794.44</v>
      </c>
      <c r="T923">
        <f>Source!O272+Source!X272+Source!Y272</f>
        <v>3794.44</v>
      </c>
      <c r="U923">
        <f>Source!P272</f>
        <v>3794.44</v>
      </c>
      <c r="V923">
        <f>Source!S272</f>
        <v>0</v>
      </c>
      <c r="W923">
        <f>Source!Q272</f>
        <v>0</v>
      </c>
      <c r="X923">
        <f>Source!R272</f>
        <v>0</v>
      </c>
      <c r="Y923">
        <f>Source!U272</f>
        <v>0</v>
      </c>
      <c r="Z923">
        <f>Source!V272</f>
        <v>0</v>
      </c>
      <c r="AA923">
        <f>Source!X272</f>
        <v>0</v>
      </c>
      <c r="AB923">
        <f>Source!Y272</f>
        <v>0</v>
      </c>
    </row>
    <row r="924" spans="1:28" ht="14.25" x14ac:dyDescent="0.2">
      <c r="C924" s="23" t="s">
        <v>1216</v>
      </c>
      <c r="D924" s="23">
        <f>Source!BC272</f>
        <v>6.71</v>
      </c>
      <c r="F924" s="12"/>
      <c r="G924" s="12"/>
      <c r="H924" s="12"/>
    </row>
    <row r="925" spans="1:28" ht="28.5" x14ac:dyDescent="0.2">
      <c r="A925" s="46">
        <v>141</v>
      </c>
      <c r="B925" s="46" t="str">
        <f>Source!E273</f>
        <v>66</v>
      </c>
      <c r="C925" s="46" t="str">
        <f>Source!G273</f>
        <v>Электрическая проверка и настройка оборудования</v>
      </c>
      <c r="D925" s="46" t="str">
        <f>Source!F273</f>
        <v>м10-02-054-06</v>
      </c>
      <c r="E925" s="31" t="str">
        <f>Source!H273</f>
        <v>КОМПЛ</v>
      </c>
      <c r="F925" s="12">
        <f>Source!I273</f>
        <v>1</v>
      </c>
      <c r="G925" s="22">
        <f>Source!AB273</f>
        <v>4.53</v>
      </c>
      <c r="H925" s="22">
        <f>Source!O273</f>
        <v>30.39</v>
      </c>
      <c r="T925">
        <f>Source!O273+Source!X273+Source!Y273</f>
        <v>72.09</v>
      </c>
      <c r="U925">
        <f>Source!P273</f>
        <v>0.6</v>
      </c>
      <c r="V925">
        <f>Source!S273</f>
        <v>29.79</v>
      </c>
      <c r="W925">
        <f>Source!Q273</f>
        <v>0</v>
      </c>
      <c r="X925">
        <f>Source!R273</f>
        <v>0</v>
      </c>
      <c r="Y925">
        <f>Source!U273</f>
        <v>0.4</v>
      </c>
      <c r="Z925">
        <f>Source!V273</f>
        <v>0</v>
      </c>
      <c r="AA925">
        <f>Source!X273</f>
        <v>23.83</v>
      </c>
      <c r="AB925">
        <f>Source!Y273</f>
        <v>17.87</v>
      </c>
    </row>
    <row r="926" spans="1:28" ht="14.25" x14ac:dyDescent="0.2">
      <c r="C926" s="23" t="s">
        <v>1214</v>
      </c>
      <c r="D926" s="23">
        <f>Source!BA273</f>
        <v>6.71</v>
      </c>
      <c r="F926" s="12"/>
      <c r="G926" s="12"/>
      <c r="H926" s="12"/>
    </row>
    <row r="927" spans="1:28" x14ac:dyDescent="0.2">
      <c r="C927" s="23" t="s">
        <v>1215</v>
      </c>
      <c r="D927" s="23">
        <f>Source!BB273</f>
        <v>6.71</v>
      </c>
    </row>
    <row r="928" spans="1:28" x14ac:dyDescent="0.2">
      <c r="C928" s="23" t="s">
        <v>1216</v>
      </c>
      <c r="D928" s="23">
        <f>Source!BC273</f>
        <v>6.71</v>
      </c>
    </row>
    <row r="929" spans="1:28" x14ac:dyDescent="0.2">
      <c r="C929" s="23" t="s">
        <v>1217</v>
      </c>
      <c r="D929" s="23">
        <f>Source!BS273</f>
        <v>6.71</v>
      </c>
    </row>
    <row r="930" spans="1:28" x14ac:dyDescent="0.2">
      <c r="C930" s="9" t="s">
        <v>1218</v>
      </c>
      <c r="D930" s="34"/>
      <c r="E930" s="34"/>
      <c r="F930" s="34">
        <f>Source!BZ273</f>
        <v>80</v>
      </c>
      <c r="G930" s="57">
        <f>(Source!AF273+Source!AE273)*Source!FX273/100</f>
        <v>3.5520000000000005</v>
      </c>
      <c r="H930" s="57">
        <f>Source!X273</f>
        <v>23.83</v>
      </c>
    </row>
    <row r="931" spans="1:28" x14ac:dyDescent="0.2">
      <c r="C931" s="9" t="s">
        <v>1220</v>
      </c>
      <c r="D931" s="34"/>
      <c r="E931" s="34"/>
      <c r="F931" s="34">
        <f>Source!CA273</f>
        <v>60</v>
      </c>
      <c r="G931" s="57">
        <f>(Source!AF273+Source!AE273)*Source!FY273/100</f>
        <v>2.6640000000000001</v>
      </c>
      <c r="H931" s="57">
        <f>Source!Y273</f>
        <v>17.87</v>
      </c>
    </row>
    <row r="932" spans="1:28" x14ac:dyDescent="0.2">
      <c r="C932" s="9" t="s">
        <v>1222</v>
      </c>
      <c r="D932" s="34"/>
      <c r="E932" s="34"/>
      <c r="F932" s="34"/>
      <c r="G932" s="57">
        <f>((Source!AF273+Source!AE273)*Source!FX273/100)+((Source!AF273+Source!AE273)*Source!FY273/100)+Source!AB273</f>
        <v>10.746000000000002</v>
      </c>
      <c r="H932" s="57">
        <f>Source!O273+Source!X273+Source!Y273</f>
        <v>72.09</v>
      </c>
    </row>
    <row r="934" spans="1:28" ht="15" x14ac:dyDescent="0.25">
      <c r="A934" s="58"/>
      <c r="B934" s="58"/>
      <c r="C934" s="70" t="str">
        <f>CONCATENATE("Итого по разделу: ",IF(Source!G275&lt;&gt;"Новый раздел", Source!G275, ""))</f>
        <v>Итого по разделу: 4 АПС</v>
      </c>
      <c r="D934" s="70"/>
      <c r="E934" s="70"/>
      <c r="F934" s="70"/>
      <c r="G934" s="58"/>
      <c r="H934" s="59">
        <f>IF(SUM(T867:T933)=0, "-", SUM(T867:T933))</f>
        <v>20452.009999999998</v>
      </c>
    </row>
    <row r="935" spans="1:28" ht="15" x14ac:dyDescent="0.25">
      <c r="A935" s="58"/>
      <c r="B935" s="58"/>
      <c r="C935" s="58"/>
      <c r="D935" s="58"/>
      <c r="E935" s="58"/>
      <c r="F935" s="58"/>
      <c r="G935" s="58"/>
      <c r="H935" s="58"/>
    </row>
    <row r="938" spans="1:28" ht="16.5" x14ac:dyDescent="0.25">
      <c r="A938" s="73" t="str">
        <f>CONCATENATE("Раздел: ",IF(Source!G304&lt;&gt;"Новый раздел", Source!G304, ""))</f>
        <v>Раздел: Сети СКС</v>
      </c>
      <c r="B938" s="73"/>
      <c r="C938" s="73"/>
      <c r="D938" s="73"/>
      <c r="E938" s="73"/>
      <c r="F938" s="73"/>
      <c r="G938" s="73"/>
      <c r="H938" s="73"/>
    </row>
    <row r="939" spans="1:28" ht="28.5" x14ac:dyDescent="0.2">
      <c r="A939" s="46">
        <v>142</v>
      </c>
      <c r="B939" s="46" t="str">
        <f>Source!E308</f>
        <v>67</v>
      </c>
      <c r="C939" s="46" t="str">
        <f>Source!G308</f>
        <v>Прокладка труб гофрированных ПВХ для защиты проводов и кабелей</v>
      </c>
      <c r="D939" s="46" t="str">
        <f>Source!F308</f>
        <v>м08-10-010-01</v>
      </c>
      <c r="E939" s="31" t="str">
        <f>Source!H308</f>
        <v>100 м</v>
      </c>
      <c r="F939" s="12">
        <f>Source!I308</f>
        <v>0.6</v>
      </c>
      <c r="G939" s="22">
        <f>Source!AB308</f>
        <v>156.33000000000001</v>
      </c>
      <c r="H939" s="22">
        <f>Source!O308</f>
        <v>629.39</v>
      </c>
      <c r="T939">
        <f>Source!O308+Source!X308+Source!Y308</f>
        <v>1528.2500000000002</v>
      </c>
      <c r="U939">
        <f>Source!P308</f>
        <v>67.599999999999994</v>
      </c>
      <c r="V939">
        <f>Source!S308</f>
        <v>561.79</v>
      </c>
      <c r="W939">
        <f>Source!Q308</f>
        <v>0</v>
      </c>
      <c r="X939">
        <f>Source!R308</f>
        <v>0</v>
      </c>
      <c r="Y939">
        <f>Source!U308</f>
        <v>9.1199999999999992</v>
      </c>
      <c r="Z939">
        <f>Source!V308</f>
        <v>0</v>
      </c>
      <c r="AA939">
        <f>Source!X308</f>
        <v>533.70000000000005</v>
      </c>
      <c r="AB939">
        <f>Source!Y308</f>
        <v>365.16</v>
      </c>
    </row>
    <row r="940" spans="1:28" ht="14.25" x14ac:dyDescent="0.2">
      <c r="C940" s="23" t="str">
        <f>"Объем: "&amp;Source!I308&amp;"=60/"&amp;"100"</f>
        <v>Объем: 0,6=60/100</v>
      </c>
      <c r="F940" s="12"/>
      <c r="G940" s="12"/>
      <c r="H940" s="12"/>
    </row>
    <row r="941" spans="1:28" x14ac:dyDescent="0.2">
      <c r="C941" s="23" t="s">
        <v>1214</v>
      </c>
      <c r="D941" s="23">
        <f>Source!BA308</f>
        <v>6.71</v>
      </c>
    </row>
    <row r="942" spans="1:28" x14ac:dyDescent="0.2">
      <c r="C942" s="23" t="s">
        <v>1215</v>
      </c>
      <c r="D942" s="23">
        <f>Source!BB308</f>
        <v>6.71</v>
      </c>
    </row>
    <row r="943" spans="1:28" x14ac:dyDescent="0.2">
      <c r="C943" s="23" t="s">
        <v>1216</v>
      </c>
      <c r="D943" s="23">
        <f>Source!BC308</f>
        <v>6.71</v>
      </c>
    </row>
    <row r="944" spans="1:28" x14ac:dyDescent="0.2">
      <c r="C944" s="23" t="s">
        <v>1217</v>
      </c>
      <c r="D944" s="23">
        <f>Source!BS308</f>
        <v>6.71</v>
      </c>
    </row>
    <row r="945" spans="1:28" x14ac:dyDescent="0.2">
      <c r="C945" s="9" t="s">
        <v>1218</v>
      </c>
      <c r="D945" s="34"/>
      <c r="E945" s="34"/>
      <c r="F945" s="34">
        <f>Source!BZ308</f>
        <v>95</v>
      </c>
      <c r="G945" s="57">
        <f>(Source!AF308+Source!AE308)*Source!FX308/100</f>
        <v>132.56299999999999</v>
      </c>
      <c r="H945" s="57">
        <f>Source!X308</f>
        <v>533.70000000000005</v>
      </c>
    </row>
    <row r="946" spans="1:28" x14ac:dyDescent="0.2">
      <c r="C946" s="9" t="s">
        <v>1220</v>
      </c>
      <c r="D946" s="34"/>
      <c r="E946" s="34"/>
      <c r="F946" s="34">
        <f>Source!CA308</f>
        <v>65</v>
      </c>
      <c r="G946" s="57">
        <f>(Source!AF308+Source!AE308)*Source!FY308/100</f>
        <v>90.701000000000008</v>
      </c>
      <c r="H946" s="57">
        <f>Source!Y308</f>
        <v>365.16</v>
      </c>
    </row>
    <row r="947" spans="1:28" x14ac:dyDescent="0.2">
      <c r="C947" s="9" t="s">
        <v>1222</v>
      </c>
      <c r="D947" s="34"/>
      <c r="E947" s="34"/>
      <c r="F947" s="34"/>
      <c r="G947" s="57">
        <f>((Source!AF308+Source!AE308)*Source!FX308/100)+((Source!AF308+Source!AE308)*Source!FY308/100)+Source!AB308</f>
        <v>379.59400000000005</v>
      </c>
      <c r="H947" s="57">
        <f>Source!O308+Source!X308+Source!Y308</f>
        <v>1528.2500000000002</v>
      </c>
    </row>
    <row r="948" spans="1:28" ht="42.75" x14ac:dyDescent="0.2">
      <c r="A948" s="46">
        <v>143</v>
      </c>
      <c r="B948" s="46" t="str">
        <f>Source!E309</f>
        <v>67,1</v>
      </c>
      <c r="C948" s="46" t="str">
        <f>Source!G309</f>
        <v>Трубы гибкие гофрированные легкие из ПНД, серии BL, с зондом, диаметром 40 мм</v>
      </c>
      <c r="D948" s="46" t="str">
        <f>Source!F309</f>
        <v>24.3.03.05-0015</v>
      </c>
      <c r="E948" s="31" t="str">
        <f>Source!H309</f>
        <v>10 м</v>
      </c>
      <c r="F948" s="12">
        <f>Source!I309</f>
        <v>6</v>
      </c>
      <c r="G948" s="22">
        <f>Source!AB309</f>
        <v>96.9</v>
      </c>
      <c r="H948" s="22">
        <f>Source!O309</f>
        <v>3901.19</v>
      </c>
      <c r="T948">
        <f>Source!O309+Source!X309+Source!Y309</f>
        <v>3901.19</v>
      </c>
      <c r="U948">
        <f>Source!P309</f>
        <v>3901.19</v>
      </c>
      <c r="V948">
        <f>Source!S309</f>
        <v>0</v>
      </c>
      <c r="W948">
        <f>Source!Q309</f>
        <v>0</v>
      </c>
      <c r="X948">
        <f>Source!R309</f>
        <v>0</v>
      </c>
      <c r="Y948">
        <f>Source!U309</f>
        <v>0</v>
      </c>
      <c r="Z948">
        <f>Source!V309</f>
        <v>0</v>
      </c>
      <c r="AA948">
        <f>Source!X309</f>
        <v>0</v>
      </c>
      <c r="AB948">
        <f>Source!Y309</f>
        <v>0</v>
      </c>
    </row>
    <row r="949" spans="1:28" ht="14.25" x14ac:dyDescent="0.2">
      <c r="C949" s="23" t="s">
        <v>1216</v>
      </c>
      <c r="D949" s="23">
        <f>Source!BC309</f>
        <v>6.71</v>
      </c>
      <c r="F949" s="12"/>
      <c r="G949" s="12"/>
      <c r="H949" s="12"/>
    </row>
    <row r="950" spans="1:28" ht="71.25" x14ac:dyDescent="0.2">
      <c r="A950" s="46">
        <v>144</v>
      </c>
      <c r="B950" s="46" t="str">
        <f>Source!E310</f>
        <v>68</v>
      </c>
      <c r="C950" s="46" t="str">
        <f>Source!G310</f>
        <v>Затягивание провода в проложенные трубы и металлические рукава первого одножильного или многожильного в общей оплетке, суммарное сечение до 6 мм2</v>
      </c>
      <c r="D950" s="46" t="str">
        <f>Source!F310</f>
        <v>м08-02-412-02</v>
      </c>
      <c r="E950" s="31" t="str">
        <f>Source!H310</f>
        <v>100 м</v>
      </c>
      <c r="F950" s="12">
        <f>Source!I310</f>
        <v>19.72</v>
      </c>
      <c r="G950" s="22">
        <f>Source!AB310</f>
        <v>68.7</v>
      </c>
      <c r="H950" s="22">
        <f>Source!O310</f>
        <v>9090.4699999999993</v>
      </c>
      <c r="T950">
        <f>Source!O310+Source!X310+Source!Y310</f>
        <v>19923.879999999997</v>
      </c>
      <c r="U950">
        <f>Source!P310</f>
        <v>1916.01</v>
      </c>
      <c r="V950">
        <f>Source!S310</f>
        <v>6704.72</v>
      </c>
      <c r="W950">
        <f>Source!Q310</f>
        <v>469.74</v>
      </c>
      <c r="X950">
        <f>Source!R310</f>
        <v>66.16</v>
      </c>
      <c r="Y950">
        <f>Source!U310</f>
        <v>106.29079999999999</v>
      </c>
      <c r="Z950">
        <f>Source!V310</f>
        <v>0.78879999999999995</v>
      </c>
      <c r="AA950">
        <f>Source!X310</f>
        <v>6432.34</v>
      </c>
      <c r="AB950">
        <f>Source!Y310</f>
        <v>4401.07</v>
      </c>
    </row>
    <row r="951" spans="1:28" ht="14.25" x14ac:dyDescent="0.2">
      <c r="C951" s="23" t="str">
        <f>"Объем: "&amp;Source!I310&amp;"=1972/"&amp;"100"</f>
        <v>Объем: 19,72=1972/100</v>
      </c>
      <c r="F951" s="12"/>
      <c r="G951" s="12"/>
      <c r="H951" s="12"/>
    </row>
    <row r="952" spans="1:28" x14ac:dyDescent="0.2">
      <c r="C952" s="23" t="s">
        <v>1214</v>
      </c>
      <c r="D952" s="23">
        <f>Source!BA310</f>
        <v>6.71</v>
      </c>
    </row>
    <row r="953" spans="1:28" x14ac:dyDescent="0.2">
      <c r="C953" s="23" t="s">
        <v>1215</v>
      </c>
      <c r="D953" s="23">
        <f>Source!BB310</f>
        <v>6.71</v>
      </c>
    </row>
    <row r="954" spans="1:28" x14ac:dyDescent="0.2">
      <c r="C954" s="23" t="s">
        <v>1216</v>
      </c>
      <c r="D954" s="23">
        <f>Source!BC310</f>
        <v>6.71</v>
      </c>
    </row>
    <row r="955" spans="1:28" x14ac:dyDescent="0.2">
      <c r="C955" s="23" t="s">
        <v>1217</v>
      </c>
      <c r="D955" s="23">
        <f>Source!BS310</f>
        <v>6.71</v>
      </c>
    </row>
    <row r="956" spans="1:28" x14ac:dyDescent="0.2">
      <c r="C956" s="9" t="s">
        <v>1218</v>
      </c>
      <c r="D956" s="34"/>
      <c r="E956" s="34"/>
      <c r="F956" s="34">
        <f>Source!BZ310</f>
        <v>95</v>
      </c>
      <c r="G956" s="57">
        <f>(Source!AF310+Source!AE310)*Source!FX310/100</f>
        <v>48.611500000000007</v>
      </c>
      <c r="H956" s="57">
        <f>Source!X310</f>
        <v>6432.34</v>
      </c>
    </row>
    <row r="957" spans="1:28" x14ac:dyDescent="0.2">
      <c r="C957" s="9" t="s">
        <v>1220</v>
      </c>
      <c r="D957" s="34"/>
      <c r="E957" s="34"/>
      <c r="F957" s="34">
        <f>Source!CA310</f>
        <v>65</v>
      </c>
      <c r="G957" s="57">
        <f>(Source!AF310+Source!AE310)*Source!FY310/100</f>
        <v>33.2605</v>
      </c>
      <c r="H957" s="57">
        <f>Source!Y310</f>
        <v>4401.07</v>
      </c>
    </row>
    <row r="958" spans="1:28" x14ac:dyDescent="0.2">
      <c r="C958" s="9" t="s">
        <v>1222</v>
      </c>
      <c r="D958" s="34"/>
      <c r="E958" s="34"/>
      <c r="F958" s="34"/>
      <c r="G958" s="57">
        <f>((Source!AF310+Source!AE310)*Source!FX310/100)+((Source!AF310+Source!AE310)*Source!FY310/100)+Source!AB310</f>
        <v>150.572</v>
      </c>
      <c r="H958" s="57">
        <f>Source!O310+Source!X310+Source!Y310</f>
        <v>19923.879999999997</v>
      </c>
    </row>
    <row r="959" spans="1:28" ht="28.5" x14ac:dyDescent="0.2">
      <c r="A959" s="46">
        <v>145</v>
      </c>
      <c r="B959" s="46" t="str">
        <f>Source!E311</f>
        <v>68,1</v>
      </c>
      <c r="C959" s="46" t="str">
        <f>Source!G311</f>
        <v>Кабель (витая пара) UTP 4x2x0,52 категория 5е</v>
      </c>
      <c r="D959" s="46" t="str">
        <f>Source!F311</f>
        <v>21.1.04.01-0004</v>
      </c>
      <c r="E959" s="31" t="str">
        <f>Source!H311</f>
        <v>1000 м</v>
      </c>
      <c r="F959" s="12">
        <f>Source!I311</f>
        <v>1.972</v>
      </c>
      <c r="G959" s="22">
        <f>Source!AB311</f>
        <v>1150.19</v>
      </c>
      <c r="H959" s="22">
        <f>Source!O311</f>
        <v>15219.45</v>
      </c>
      <c r="T959">
        <f>Source!O311+Source!X311+Source!Y311</f>
        <v>15219.45</v>
      </c>
      <c r="U959">
        <f>Source!P311</f>
        <v>15219.45</v>
      </c>
      <c r="V959">
        <f>Source!S311</f>
        <v>0</v>
      </c>
      <c r="W959">
        <f>Source!Q311</f>
        <v>0</v>
      </c>
      <c r="X959">
        <f>Source!R311</f>
        <v>0</v>
      </c>
      <c r="Y959">
        <f>Source!U311</f>
        <v>0</v>
      </c>
      <c r="Z959">
        <f>Source!V311</f>
        <v>0</v>
      </c>
      <c r="AA959">
        <f>Source!X311</f>
        <v>0</v>
      </c>
      <c r="AB959">
        <f>Source!Y311</f>
        <v>0</v>
      </c>
    </row>
    <row r="960" spans="1:28" ht="14.25" x14ac:dyDescent="0.2">
      <c r="C960" s="23" t="s">
        <v>1216</v>
      </c>
      <c r="D960" s="23">
        <f>Source!BC311</f>
        <v>6.71</v>
      </c>
      <c r="F960" s="12"/>
      <c r="G960" s="12"/>
      <c r="H960" s="12"/>
    </row>
    <row r="961" spans="1:28" ht="128.25" x14ac:dyDescent="0.2">
      <c r="A961" s="46">
        <v>146</v>
      </c>
      <c r="B961" s="46" t="str">
        <f>Source!E312</f>
        <v>68,2</v>
      </c>
      <c r="C961" s="46" t="str">
        <f>Source!G312</f>
        <v>Кабели парной скрутки огнестойкие для систем пожарной сигнализации с однопроволочными медными жилами, изоляцией из кремнийорганической резины, оболочкой из ПВХ, не распространяющий горение, с низким дымо- и газовыделением, с экраном из алюмолавсановой ленты, марки КПСЭнг-FRLS 1х2х0,75</v>
      </c>
      <c r="D961" s="46" t="str">
        <f>Source!F312</f>
        <v>21.1.08.01-0151</v>
      </c>
      <c r="E961" s="31" t="str">
        <f>Source!H312</f>
        <v>1000 м</v>
      </c>
      <c r="F961" s="12">
        <f>Source!I312</f>
        <v>1.972</v>
      </c>
      <c r="G961" s="22">
        <f>Source!AB312</f>
        <v>4284.0200000000004</v>
      </c>
      <c r="H961" s="22">
        <f>Source!O312</f>
        <v>56686.67</v>
      </c>
      <c r="T961">
        <f>Source!O312+Source!X312+Source!Y312</f>
        <v>56686.67</v>
      </c>
      <c r="U961">
        <f>Source!P312</f>
        <v>56686.67</v>
      </c>
      <c r="V961">
        <f>Source!S312</f>
        <v>0</v>
      </c>
      <c r="W961">
        <f>Source!Q312</f>
        <v>0</v>
      </c>
      <c r="X961">
        <f>Source!R312</f>
        <v>0</v>
      </c>
      <c r="Y961">
        <f>Source!U312</f>
        <v>0</v>
      </c>
      <c r="Z961">
        <f>Source!V312</f>
        <v>0</v>
      </c>
      <c r="AA961">
        <f>Source!X312</f>
        <v>0</v>
      </c>
      <c r="AB961">
        <f>Source!Y312</f>
        <v>0</v>
      </c>
    </row>
    <row r="962" spans="1:28" ht="14.25" x14ac:dyDescent="0.2">
      <c r="C962" s="23" t="s">
        <v>1216</v>
      </c>
      <c r="D962" s="23">
        <f>Source!BC312</f>
        <v>6.71</v>
      </c>
      <c r="F962" s="12"/>
      <c r="G962" s="12"/>
      <c r="H962" s="12"/>
    </row>
    <row r="963" spans="1:28" ht="42.75" x14ac:dyDescent="0.2">
      <c r="A963" s="46">
        <v>147</v>
      </c>
      <c r="B963" s="46" t="str">
        <f>Source!E313</f>
        <v>69</v>
      </c>
      <c r="C963" s="46" t="str">
        <f>Source!G313</f>
        <v>Пробивка отверстий в кирпичных стенах для  вручную при толщине стен в 1 кирпич</v>
      </c>
      <c r="D963" s="46" t="str">
        <f>Source!F313</f>
        <v>69-1-2</v>
      </c>
      <c r="E963" s="31" t="str">
        <f>Source!H313</f>
        <v>100 ШТ</v>
      </c>
      <c r="F963" s="12">
        <f>Source!I313</f>
        <v>0.04</v>
      </c>
      <c r="G963" s="22">
        <f>Source!AB313</f>
        <v>666.9</v>
      </c>
      <c r="H963" s="22">
        <f>Source!O313</f>
        <v>179</v>
      </c>
      <c r="T963">
        <f>Source!O313+Source!X313+Source!Y313</f>
        <v>408.12</v>
      </c>
      <c r="U963">
        <f>Source!P313</f>
        <v>0</v>
      </c>
      <c r="V963">
        <f>Source!S313</f>
        <v>179</v>
      </c>
      <c r="W963">
        <f>Source!Q313</f>
        <v>0</v>
      </c>
      <c r="X963">
        <f>Source!R313</f>
        <v>0</v>
      </c>
      <c r="Y963">
        <f>Source!U313</f>
        <v>3.42</v>
      </c>
      <c r="Z963">
        <f>Source!V313</f>
        <v>0</v>
      </c>
      <c r="AA963">
        <f>Source!X313</f>
        <v>139.62</v>
      </c>
      <c r="AB963">
        <f>Source!Y313</f>
        <v>89.5</v>
      </c>
    </row>
    <row r="964" spans="1:28" ht="14.25" x14ac:dyDescent="0.2">
      <c r="C964" s="23" t="str">
        <f>"Объем: "&amp;Source!I313&amp;"=4/"&amp;"100"</f>
        <v>Объем: 0,04=4/100</v>
      </c>
      <c r="F964" s="12"/>
      <c r="G964" s="12"/>
      <c r="H964" s="12"/>
    </row>
    <row r="965" spans="1:28" x14ac:dyDescent="0.2">
      <c r="C965" s="23" t="s">
        <v>1214</v>
      </c>
      <c r="D965" s="23">
        <f>Source!BA313</f>
        <v>6.71</v>
      </c>
    </row>
    <row r="966" spans="1:28" x14ac:dyDescent="0.2">
      <c r="C966" s="23" t="s">
        <v>1215</v>
      </c>
      <c r="D966" s="23">
        <f>Source!BB313</f>
        <v>6.71</v>
      </c>
    </row>
    <row r="967" spans="1:28" x14ac:dyDescent="0.2">
      <c r="C967" s="23" t="s">
        <v>1216</v>
      </c>
      <c r="D967" s="23">
        <f>Source!BC313</f>
        <v>6.71</v>
      </c>
    </row>
    <row r="968" spans="1:28" x14ac:dyDescent="0.2">
      <c r="C968" s="23" t="s">
        <v>1217</v>
      </c>
      <c r="D968" s="23">
        <f>Source!BS313</f>
        <v>6.71</v>
      </c>
    </row>
    <row r="969" spans="1:28" x14ac:dyDescent="0.2">
      <c r="C969" s="9" t="s">
        <v>1218</v>
      </c>
      <c r="D969" s="34"/>
      <c r="E969" s="34"/>
      <c r="F969" s="34">
        <f>Source!BZ313</f>
        <v>78</v>
      </c>
      <c r="G969" s="57">
        <f>(Source!AF313+Source!AE313)*Source!FX313/100</f>
        <v>520.18200000000002</v>
      </c>
      <c r="H969" s="57">
        <f>Source!X313</f>
        <v>139.62</v>
      </c>
    </row>
    <row r="970" spans="1:28" x14ac:dyDescent="0.2">
      <c r="C970" s="9" t="s">
        <v>1220</v>
      </c>
      <c r="D970" s="34"/>
      <c r="E970" s="34"/>
      <c r="F970" s="34">
        <f>Source!CA313</f>
        <v>50</v>
      </c>
      <c r="G970" s="57">
        <f>(Source!AF313+Source!AE313)*Source!FY313/100</f>
        <v>333.45</v>
      </c>
      <c r="H970" s="57">
        <f>Source!Y313</f>
        <v>89.5</v>
      </c>
    </row>
    <row r="971" spans="1:28" x14ac:dyDescent="0.2">
      <c r="C971" s="9" t="s">
        <v>1222</v>
      </c>
      <c r="D971" s="34"/>
      <c r="E971" s="34"/>
      <c r="F971" s="34"/>
      <c r="G971" s="57">
        <f>((Source!AF313+Source!AE313)*Source!FX313/100)+((Source!AF313+Source!AE313)*Source!FY313/100)+Source!AB313</f>
        <v>1520.5320000000002</v>
      </c>
      <c r="H971" s="57">
        <f>Source!O313+Source!X313+Source!Y313</f>
        <v>408.12</v>
      </c>
    </row>
    <row r="972" spans="1:28" ht="28.5" x14ac:dyDescent="0.2">
      <c r="A972" s="46">
        <v>148</v>
      </c>
      <c r="B972" s="46" t="str">
        <f>Source!E314</f>
        <v>70</v>
      </c>
      <c r="C972" s="46" t="str">
        <f>Source!G314</f>
        <v>Труба полиэтиленовая по основанию пола, диаметр до 50 мм (гильзы)</v>
      </c>
      <c r="D972" s="46" t="str">
        <f>Source!F314</f>
        <v>м08-02-410-02 прим.</v>
      </c>
      <c r="E972" s="31" t="str">
        <f>Source!H314</f>
        <v>100 м</v>
      </c>
      <c r="F972" s="12">
        <f>Source!I314</f>
        <v>0.04</v>
      </c>
      <c r="G972" s="22">
        <f>Source!AB314</f>
        <v>250.92</v>
      </c>
      <c r="H972" s="22">
        <f>Source!O314</f>
        <v>67.349999999999994</v>
      </c>
      <c r="T972">
        <f>Source!O314+Source!X314+Source!Y314</f>
        <v>130.22</v>
      </c>
      <c r="U972">
        <f>Source!P314</f>
        <v>23.55</v>
      </c>
      <c r="V972">
        <f>Source!S314</f>
        <v>38.549999999999997</v>
      </c>
      <c r="W972">
        <f>Source!Q314</f>
        <v>5.25</v>
      </c>
      <c r="X972">
        <f>Source!R314</f>
        <v>0.74</v>
      </c>
      <c r="Y972">
        <f>Source!U314</f>
        <v>0.61119999999999997</v>
      </c>
      <c r="Z972">
        <f>Source!V314</f>
        <v>8.8000000000000005E-3</v>
      </c>
      <c r="AA972">
        <f>Source!X314</f>
        <v>37.33</v>
      </c>
      <c r="AB972">
        <f>Source!Y314</f>
        <v>25.54</v>
      </c>
    </row>
    <row r="973" spans="1:28" ht="14.25" x14ac:dyDescent="0.2">
      <c r="C973" s="23" t="str">
        <f>"Объем: "&amp;Source!I314&amp;"=4/"&amp;"100"</f>
        <v>Объем: 0,04=4/100</v>
      </c>
      <c r="F973" s="12"/>
      <c r="G973" s="12"/>
      <c r="H973" s="12"/>
    </row>
    <row r="974" spans="1:28" x14ac:dyDescent="0.2">
      <c r="C974" s="23" t="s">
        <v>1214</v>
      </c>
      <c r="D974" s="23">
        <f>Source!BA314</f>
        <v>6.71</v>
      </c>
    </row>
    <row r="975" spans="1:28" x14ac:dyDescent="0.2">
      <c r="C975" s="23" t="s">
        <v>1215</v>
      </c>
      <c r="D975" s="23">
        <f>Source!BB314</f>
        <v>6.71</v>
      </c>
    </row>
    <row r="976" spans="1:28" x14ac:dyDescent="0.2">
      <c r="C976" s="23" t="s">
        <v>1216</v>
      </c>
      <c r="D976" s="23">
        <f>Source!BC314</f>
        <v>6.71</v>
      </c>
    </row>
    <row r="977" spans="1:28" x14ac:dyDescent="0.2">
      <c r="C977" s="23" t="s">
        <v>1217</v>
      </c>
      <c r="D977" s="23">
        <f>Source!BS314</f>
        <v>6.71</v>
      </c>
    </row>
    <row r="978" spans="1:28" x14ac:dyDescent="0.2">
      <c r="C978" s="9" t="s">
        <v>1218</v>
      </c>
      <c r="D978" s="34"/>
      <c r="E978" s="34"/>
      <c r="F978" s="34">
        <f>Source!BZ314</f>
        <v>95</v>
      </c>
      <c r="G978" s="57">
        <f>(Source!AF314+Source!AE314)*Source!FX314/100</f>
        <v>139.08000000000001</v>
      </c>
      <c r="H978" s="57">
        <f>Source!X314</f>
        <v>37.33</v>
      </c>
    </row>
    <row r="979" spans="1:28" x14ac:dyDescent="0.2">
      <c r="C979" s="9" t="s">
        <v>1220</v>
      </c>
      <c r="D979" s="34"/>
      <c r="E979" s="34"/>
      <c r="F979" s="34">
        <f>Source!CA314</f>
        <v>65</v>
      </c>
      <c r="G979" s="57">
        <f>(Source!AF314+Source!AE314)*Source!FY314/100</f>
        <v>95.16</v>
      </c>
      <c r="H979" s="57">
        <f>Source!Y314</f>
        <v>25.54</v>
      </c>
    </row>
    <row r="980" spans="1:28" x14ac:dyDescent="0.2">
      <c r="C980" s="9" t="s">
        <v>1222</v>
      </c>
      <c r="D980" s="34"/>
      <c r="E980" s="34"/>
      <c r="F980" s="34"/>
      <c r="G980" s="57">
        <f>((Source!AF314+Source!AE314)*Source!FX314/100)+((Source!AF314+Source!AE314)*Source!FY314/100)+Source!AB314</f>
        <v>485.15999999999997</v>
      </c>
      <c r="H980" s="57">
        <f>Source!O314+Source!X314+Source!Y314</f>
        <v>130.22</v>
      </c>
    </row>
    <row r="981" spans="1:28" ht="28.5" x14ac:dyDescent="0.2">
      <c r="A981" s="46">
        <v>149</v>
      </c>
      <c r="B981" s="46" t="str">
        <f>Source!E315</f>
        <v>70,1</v>
      </c>
      <c r="C981" s="46" t="str">
        <f>Source!G315</f>
        <v>Трубы гладкие одностенные легкие из ПНД, диаметром 32 мм</v>
      </c>
      <c r="D981" s="46" t="str">
        <f>Source!F315</f>
        <v>24.3.03.13-0304</v>
      </c>
      <c r="E981" s="31" t="str">
        <f>Source!H315</f>
        <v>10 м</v>
      </c>
      <c r="F981" s="12">
        <f>Source!I315</f>
        <v>0.4</v>
      </c>
      <c r="G981" s="22">
        <f>Source!AB315</f>
        <v>99.42</v>
      </c>
      <c r="H981" s="22">
        <f>Source!O315</f>
        <v>266.83999999999997</v>
      </c>
      <c r="T981">
        <f>Source!O315+Source!X315+Source!Y315</f>
        <v>266.83999999999997</v>
      </c>
      <c r="U981">
        <f>Source!P315</f>
        <v>266.83999999999997</v>
      </c>
      <c r="V981">
        <f>Source!S315</f>
        <v>0</v>
      </c>
      <c r="W981">
        <f>Source!Q315</f>
        <v>0</v>
      </c>
      <c r="X981">
        <f>Source!R315</f>
        <v>0</v>
      </c>
      <c r="Y981">
        <f>Source!U315</f>
        <v>0</v>
      </c>
      <c r="Z981">
        <f>Source!V315</f>
        <v>0</v>
      </c>
      <c r="AA981">
        <f>Source!X315</f>
        <v>0</v>
      </c>
      <c r="AB981">
        <f>Source!Y315</f>
        <v>0</v>
      </c>
    </row>
    <row r="982" spans="1:28" ht="14.25" x14ac:dyDescent="0.2">
      <c r="C982" s="23" t="s">
        <v>1216</v>
      </c>
      <c r="D982" s="23">
        <f>Source!BC315</f>
        <v>6.71</v>
      </c>
      <c r="F982" s="12"/>
      <c r="G982" s="12"/>
      <c r="H982" s="12"/>
    </row>
    <row r="983" spans="1:28" ht="28.5" x14ac:dyDescent="0.2">
      <c r="A983" s="46">
        <v>150</v>
      </c>
      <c r="B983" s="46" t="str">
        <f>Source!E316</f>
        <v>71</v>
      </c>
      <c r="C983" s="46" t="str">
        <f>Source!G316</f>
        <v>Розетка штепсельная неутопленного типа при открытой проводке</v>
      </c>
      <c r="D983" s="46" t="str">
        <f>Source!F316</f>
        <v>м08-03-591-08</v>
      </c>
      <c r="E983" s="31" t="str">
        <f>Source!H316</f>
        <v>100 ШТ</v>
      </c>
      <c r="F983" s="12">
        <f>Source!I316</f>
        <v>0.4</v>
      </c>
      <c r="G983" s="22">
        <f>Source!AB316</f>
        <v>453.93</v>
      </c>
      <c r="H983" s="22">
        <f>Source!O316</f>
        <v>1218.3399999999999</v>
      </c>
      <c r="T983">
        <f>Source!O316+Source!X316+Source!Y316</f>
        <v>2693.3899999999994</v>
      </c>
      <c r="U983">
        <f>Source!P316</f>
        <v>285.63</v>
      </c>
      <c r="V983">
        <f>Source!S316</f>
        <v>920.18</v>
      </c>
      <c r="W983">
        <f>Source!Q316</f>
        <v>12.53</v>
      </c>
      <c r="X983">
        <f>Source!R316</f>
        <v>1.72</v>
      </c>
      <c r="Y983">
        <f>Source!U316</f>
        <v>13.824000000000002</v>
      </c>
      <c r="Z983">
        <f>Source!V316</f>
        <v>2.0000000000000004E-2</v>
      </c>
      <c r="AA983">
        <f>Source!X316</f>
        <v>875.81</v>
      </c>
      <c r="AB983">
        <f>Source!Y316</f>
        <v>599.24</v>
      </c>
    </row>
    <row r="984" spans="1:28" ht="14.25" x14ac:dyDescent="0.2">
      <c r="C984" s="23" t="str">
        <f>"Объем: "&amp;Source!I316&amp;"=40/"&amp;"100"</f>
        <v>Объем: 0,4=40/100</v>
      </c>
      <c r="F984" s="12"/>
      <c r="G984" s="12"/>
      <c r="H984" s="12"/>
    </row>
    <row r="985" spans="1:28" x14ac:dyDescent="0.2">
      <c r="C985" s="23" t="s">
        <v>1214</v>
      </c>
      <c r="D985" s="23">
        <f>Source!BA316</f>
        <v>6.71</v>
      </c>
    </row>
    <row r="986" spans="1:28" x14ac:dyDescent="0.2">
      <c r="C986" s="23" t="s">
        <v>1215</v>
      </c>
      <c r="D986" s="23">
        <f>Source!BB316</f>
        <v>6.71</v>
      </c>
    </row>
    <row r="987" spans="1:28" x14ac:dyDescent="0.2">
      <c r="C987" s="23" t="s">
        <v>1216</v>
      </c>
      <c r="D987" s="23">
        <f>Source!BC316</f>
        <v>6.71</v>
      </c>
    </row>
    <row r="988" spans="1:28" x14ac:dyDescent="0.2">
      <c r="C988" s="23" t="s">
        <v>1217</v>
      </c>
      <c r="D988" s="23">
        <f>Source!BS316</f>
        <v>6.71</v>
      </c>
    </row>
    <row r="989" spans="1:28" x14ac:dyDescent="0.2">
      <c r="C989" s="9" t="s">
        <v>1218</v>
      </c>
      <c r="D989" s="34"/>
      <c r="E989" s="34"/>
      <c r="F989" s="34">
        <f>Source!BZ316</f>
        <v>95</v>
      </c>
      <c r="G989" s="57">
        <f>(Source!AF316+Source!AE316)*Source!FX316/100</f>
        <v>326.30599999999993</v>
      </c>
      <c r="H989" s="57">
        <f>Source!X316</f>
        <v>875.81</v>
      </c>
    </row>
    <row r="990" spans="1:28" x14ac:dyDescent="0.2">
      <c r="C990" s="9" t="s">
        <v>1220</v>
      </c>
      <c r="D990" s="34"/>
      <c r="E990" s="34"/>
      <c r="F990" s="34">
        <f>Source!CA316</f>
        <v>65</v>
      </c>
      <c r="G990" s="57">
        <f>(Source!AF316+Source!AE316)*Source!FY316/100</f>
        <v>223.26199999999997</v>
      </c>
      <c r="H990" s="57">
        <f>Source!Y316</f>
        <v>599.24</v>
      </c>
    </row>
    <row r="991" spans="1:28" x14ac:dyDescent="0.2">
      <c r="C991" s="9" t="s">
        <v>1222</v>
      </c>
      <c r="D991" s="34"/>
      <c r="E991" s="34"/>
      <c r="F991" s="34"/>
      <c r="G991" s="57">
        <f>((Source!AF316+Source!AE316)*Source!FX316/100)+((Source!AF316+Source!AE316)*Source!FY316/100)+Source!AB316</f>
        <v>1003.4979999999998</v>
      </c>
      <c r="H991" s="57">
        <f>Source!O316+Source!X316+Source!Y316</f>
        <v>2693.3899999999994</v>
      </c>
    </row>
    <row r="992" spans="1:28" ht="28.5" x14ac:dyDescent="0.2">
      <c r="A992" s="46">
        <v>151</v>
      </c>
      <c r="B992" s="46" t="str">
        <f>Source!E317</f>
        <v>71,1</v>
      </c>
      <c r="C992" s="46" t="str">
        <f>Source!G317</f>
        <v>Розетка  для открытой проводки (согласно тех.задания)</v>
      </c>
      <c r="D992" s="46" t="str">
        <f>Source!F317</f>
        <v>20.4.03.05-0005</v>
      </c>
      <c r="E992" s="31" t="str">
        <f>Source!H317</f>
        <v>100 шт.</v>
      </c>
      <c r="F992" s="12">
        <f>Source!I317</f>
        <v>0.4</v>
      </c>
      <c r="G992" s="22">
        <f>Source!AB317</f>
        <v>734</v>
      </c>
      <c r="H992" s="22">
        <f>Source!O317</f>
        <v>1970.06</v>
      </c>
      <c r="T992">
        <f>Source!O317+Source!X317+Source!Y317</f>
        <v>1970.06</v>
      </c>
      <c r="U992">
        <f>Source!P317</f>
        <v>1970.06</v>
      </c>
      <c r="V992">
        <f>Source!S317</f>
        <v>0</v>
      </c>
      <c r="W992">
        <f>Source!Q317</f>
        <v>0</v>
      </c>
      <c r="X992">
        <f>Source!R317</f>
        <v>0</v>
      </c>
      <c r="Y992">
        <f>Source!U317</f>
        <v>0</v>
      </c>
      <c r="Z992">
        <f>Source!V317</f>
        <v>0</v>
      </c>
      <c r="AA992">
        <f>Source!X317</f>
        <v>0</v>
      </c>
      <c r="AB992">
        <f>Source!Y317</f>
        <v>0</v>
      </c>
    </row>
    <row r="993" spans="1:33" ht="14.25" x14ac:dyDescent="0.2">
      <c r="C993" s="23" t="s">
        <v>1216</v>
      </c>
      <c r="D993" s="23">
        <f>Source!BC317</f>
        <v>6.71</v>
      </c>
      <c r="F993" s="12"/>
      <c r="G993" s="12"/>
      <c r="H993" s="12"/>
    </row>
    <row r="995" spans="1:33" ht="15" x14ac:dyDescent="0.25">
      <c r="A995" s="58"/>
      <c r="B995" s="58"/>
      <c r="C995" s="70" t="str">
        <f>CONCATENATE("Итого по разделу: ",IF(Source!G319&lt;&gt;"Новый раздел", Source!G319, ""))</f>
        <v>Итого по разделу: Сети СКС</v>
      </c>
      <c r="D995" s="70"/>
      <c r="E995" s="70"/>
      <c r="F995" s="70"/>
      <c r="G995" s="58"/>
      <c r="H995" s="59">
        <f>IF(SUM(T938:T994)=0, "-", SUM(T938:T994))</f>
        <v>102728.06999999999</v>
      </c>
    </row>
    <row r="996" spans="1:33" ht="15" x14ac:dyDescent="0.25">
      <c r="A996" s="58"/>
      <c r="B996" s="58"/>
      <c r="C996" s="58"/>
      <c r="D996" s="58"/>
      <c r="E996" s="58"/>
      <c r="F996" s="58"/>
      <c r="G996" s="58"/>
      <c r="H996" s="58"/>
    </row>
    <row r="999" spans="1:33" ht="15" x14ac:dyDescent="0.25">
      <c r="A999" s="58"/>
      <c r="B999" s="58"/>
      <c r="C999" s="70" t="str">
        <f>CONCATENATE("Итого по локальной смете: ",IF(Source!G348&lt;&gt;"Новая локальная смета", Source!G348, ""))</f>
        <v xml:space="preserve">Итого по локальной смете: </v>
      </c>
      <c r="D999" s="70"/>
      <c r="E999" s="70"/>
      <c r="F999" s="70"/>
      <c r="G999" s="58"/>
      <c r="H999" s="59">
        <f>IF(SUM(T37:T998)=0, "-", SUM(T37:T998))</f>
        <v>1901641.9900000002</v>
      </c>
    </row>
    <row r="1000" spans="1:33" ht="15" x14ac:dyDescent="0.25">
      <c r="A1000" s="58"/>
      <c r="B1000" s="58"/>
      <c r="C1000" s="58"/>
      <c r="D1000" s="58"/>
      <c r="E1000" s="58"/>
      <c r="F1000" s="58"/>
      <c r="G1000" s="58"/>
      <c r="H1000" s="58"/>
    </row>
    <row r="1002" spans="1:33" ht="14.25" x14ac:dyDescent="0.2">
      <c r="C1002" s="84" t="str">
        <f>Source!H376</f>
        <v>Итого</v>
      </c>
      <c r="D1002" s="84"/>
      <c r="E1002" s="84"/>
      <c r="F1002" s="84"/>
      <c r="G1002" s="77">
        <f>IF(Source!F376=0, "", Source!F376)</f>
        <v>1901641.99</v>
      </c>
      <c r="H1002" s="77"/>
    </row>
    <row r="1003" spans="1:33" ht="14.25" x14ac:dyDescent="0.2">
      <c r="C1003" s="84" t="str">
        <f>Source!H377</f>
        <v>НДС 18%</v>
      </c>
      <c r="D1003" s="84"/>
      <c r="E1003" s="84"/>
      <c r="F1003" s="84"/>
      <c r="G1003" s="77">
        <f>IF(Source!F377=0, "", Source!F377)</f>
        <v>342295.56</v>
      </c>
      <c r="H1003" s="77"/>
    </row>
    <row r="1004" spans="1:33" ht="14.25" x14ac:dyDescent="0.2">
      <c r="C1004" s="84" t="str">
        <f>Source!H378</f>
        <v>Всего</v>
      </c>
      <c r="D1004" s="84"/>
      <c r="E1004" s="84"/>
      <c r="F1004" s="84"/>
      <c r="G1004" s="77">
        <f>IF(Source!F378=0, "", Source!F378)</f>
        <v>2243937.5499999998</v>
      </c>
      <c r="H1004" s="77"/>
    </row>
    <row r="1006" spans="1:33" ht="60" x14ac:dyDescent="0.25">
      <c r="A1006" s="58"/>
      <c r="B1006" s="58"/>
      <c r="C1006" s="70" t="str">
        <f>CONCATENATE("Итого по смете: ",IF(Source!G380&lt;&gt;"Новый объект", Source!G380, ""))</f>
        <v>Итого по смете: 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  <c r="D1006" s="70"/>
      <c r="E1006" s="70"/>
      <c r="F1006" s="70"/>
      <c r="G1006" s="58"/>
      <c r="H1006" s="59">
        <f>IF(SUM(T1:T1005)=0, "-", SUM(T1:T1005))</f>
        <v>1901641.9900000002</v>
      </c>
      <c r="AG1006" s="60" t="str">
        <f>CONCATENATE("Итого по смете: ",IF(Source!G380&lt;&gt;"Новый объект", Source!G380, ""))</f>
        <v>Итого по смете: 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</row>
    <row r="1007" spans="1:33" ht="15" x14ac:dyDescent="0.25">
      <c r="A1007" s="58"/>
      <c r="B1007" s="58"/>
      <c r="C1007" s="58"/>
      <c r="D1007" s="58"/>
      <c r="E1007" s="58"/>
      <c r="F1007" s="58"/>
      <c r="G1007" s="58"/>
      <c r="H1007" s="58"/>
    </row>
    <row r="1010" spans="1:12" ht="15" thickBot="1" x14ac:dyDescent="0.25">
      <c r="A1010" s="86" t="s">
        <v>1231</v>
      </c>
      <c r="B1010" s="86"/>
      <c r="C1010" s="61" t="str">
        <f>IF(Source!AC12&lt;&gt;"", Source!AC12," ")</f>
        <v xml:space="preserve"> </v>
      </c>
      <c r="D1010" s="12"/>
      <c r="E1010" s="62"/>
      <c r="F1010" s="12"/>
      <c r="G1010" s="87" t="str">
        <f>IF(Source!AB12&lt;&gt;"", Source!AB12," ")</f>
        <v xml:space="preserve"> </v>
      </c>
      <c r="H1010" s="87"/>
      <c r="I1010" s="12"/>
      <c r="J1010" s="12"/>
      <c r="K1010" s="12"/>
      <c r="L1010" s="12"/>
    </row>
    <row r="1011" spans="1:12" ht="14.25" x14ac:dyDescent="0.2">
      <c r="A1011" s="12"/>
      <c r="B1011" s="12"/>
      <c r="C1011" s="63" t="s">
        <v>1232</v>
      </c>
      <c r="D1011" s="12"/>
      <c r="E1011" s="63" t="s">
        <v>1233</v>
      </c>
      <c r="F1011" s="12"/>
      <c r="G1011" s="88" t="s">
        <v>1234</v>
      </c>
      <c r="H1011" s="88"/>
      <c r="I1011" s="12"/>
      <c r="J1011" s="12"/>
      <c r="K1011" s="12"/>
      <c r="L1011" s="12"/>
    </row>
    <row r="1012" spans="1:12" ht="14.25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</row>
    <row r="1013" spans="1:12" ht="14.25" x14ac:dyDescent="0.2">
      <c r="A1013" s="12"/>
      <c r="B1013" s="12"/>
      <c r="C1013" s="13" t="s">
        <v>1235</v>
      </c>
      <c r="D1013" s="12"/>
      <c r="E1013" s="12"/>
      <c r="F1013" s="12"/>
      <c r="G1013" s="12"/>
      <c r="H1013" s="12"/>
      <c r="I1013" s="12"/>
      <c r="J1013" s="12"/>
      <c r="K1013" s="12"/>
      <c r="L1013" s="12"/>
    </row>
    <row r="1014" spans="1:12" ht="14.25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</row>
    <row r="1015" spans="1:12" ht="15" thickBot="1" x14ac:dyDescent="0.25">
      <c r="A1015" s="86" t="s">
        <v>1236</v>
      </c>
      <c r="B1015" s="86"/>
      <c r="C1015" s="61" t="str">
        <f>IF(Source!AG12&lt;&gt;"", Source!AG12," ")</f>
        <v xml:space="preserve"> </v>
      </c>
      <c r="D1015" s="12"/>
      <c r="E1015" s="62"/>
      <c r="F1015" s="12"/>
      <c r="G1015" s="87" t="str">
        <f>IF(Source!AF12&lt;&gt;"", Source!AF12," ")</f>
        <v xml:space="preserve"> </v>
      </c>
      <c r="H1015" s="87"/>
      <c r="I1015" s="12"/>
      <c r="J1015" s="12"/>
      <c r="K1015" s="12"/>
      <c r="L1015" s="12"/>
    </row>
    <row r="1016" spans="1:12" ht="14.25" x14ac:dyDescent="0.2">
      <c r="A1016" s="12"/>
      <c r="B1016" s="12"/>
      <c r="C1016" s="63" t="s">
        <v>1232</v>
      </c>
      <c r="D1016" s="12"/>
      <c r="E1016" s="63" t="s">
        <v>1233</v>
      </c>
      <c r="F1016" s="12"/>
      <c r="G1016" s="88" t="s">
        <v>1234</v>
      </c>
      <c r="H1016" s="88"/>
      <c r="I1016" s="12"/>
      <c r="J1016" s="12"/>
      <c r="K1016" s="12"/>
      <c r="L1016" s="12"/>
    </row>
    <row r="1017" spans="1:12" ht="14.25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</row>
    <row r="1018" spans="1:12" ht="14.25" x14ac:dyDescent="0.2">
      <c r="A1018" s="12"/>
      <c r="B1018" s="12"/>
      <c r="C1018" s="13" t="s">
        <v>1235</v>
      </c>
      <c r="D1018" s="12"/>
      <c r="E1018" s="12"/>
      <c r="F1018" s="12"/>
      <c r="G1018" s="12"/>
      <c r="H1018" s="12"/>
      <c r="I1018" s="12"/>
      <c r="J1018" s="12"/>
      <c r="K1018" s="12"/>
      <c r="L1018" s="12"/>
    </row>
  </sheetData>
  <mergeCells count="185">
    <mergeCell ref="E2:H2"/>
    <mergeCell ref="E3:H3"/>
    <mergeCell ref="E4:H4"/>
    <mergeCell ref="G6:H6"/>
    <mergeCell ref="G7:H7"/>
    <mergeCell ref="G8:H9"/>
    <mergeCell ref="C9:E9"/>
    <mergeCell ref="C14:E14"/>
    <mergeCell ref="G14:H15"/>
    <mergeCell ref="C15:E15"/>
    <mergeCell ref="C16:E16"/>
    <mergeCell ref="G16:H17"/>
    <mergeCell ref="C17:E17"/>
    <mergeCell ref="C10:E10"/>
    <mergeCell ref="G10:H11"/>
    <mergeCell ref="C11:E11"/>
    <mergeCell ref="C12:E12"/>
    <mergeCell ref="G12:H13"/>
    <mergeCell ref="C13:E13"/>
    <mergeCell ref="G22:H22"/>
    <mergeCell ref="D24:D25"/>
    <mergeCell ref="E24:E25"/>
    <mergeCell ref="F24:G24"/>
    <mergeCell ref="A28:H28"/>
    <mergeCell ref="A29:H29"/>
    <mergeCell ref="C18:E18"/>
    <mergeCell ref="D19:F19"/>
    <mergeCell ref="G19:H19"/>
    <mergeCell ref="D20:E20"/>
    <mergeCell ref="G20:H20"/>
    <mergeCell ref="G21:H21"/>
    <mergeCell ref="A37:H37"/>
    <mergeCell ref="A39:H39"/>
    <mergeCell ref="D56:H56"/>
    <mergeCell ref="D57:H57"/>
    <mergeCell ref="D58:H58"/>
    <mergeCell ref="D59:H59"/>
    <mergeCell ref="F31:G31"/>
    <mergeCell ref="A33:B33"/>
    <mergeCell ref="C33:C34"/>
    <mergeCell ref="D33:D34"/>
    <mergeCell ref="E33:E34"/>
    <mergeCell ref="F33:H33"/>
    <mergeCell ref="D128:H128"/>
    <mergeCell ref="D129:H129"/>
    <mergeCell ref="D141:H141"/>
    <mergeCell ref="D142:H142"/>
    <mergeCell ref="D143:H143"/>
    <mergeCell ref="D144:H144"/>
    <mergeCell ref="D60:H60"/>
    <mergeCell ref="D61:H61"/>
    <mergeCell ref="D124:H124"/>
    <mergeCell ref="D125:H125"/>
    <mergeCell ref="D126:H126"/>
    <mergeCell ref="D127:H127"/>
    <mergeCell ref="D162:H162"/>
    <mergeCell ref="D163:H163"/>
    <mergeCell ref="D187:H187"/>
    <mergeCell ref="D188:H188"/>
    <mergeCell ref="D189:H189"/>
    <mergeCell ref="D190:H190"/>
    <mergeCell ref="D145:H145"/>
    <mergeCell ref="D146:H146"/>
    <mergeCell ref="D158:H158"/>
    <mergeCell ref="D159:H159"/>
    <mergeCell ref="D160:H160"/>
    <mergeCell ref="D161:H161"/>
    <mergeCell ref="D253:H253"/>
    <mergeCell ref="D254:H254"/>
    <mergeCell ref="D255:H255"/>
    <mergeCell ref="D256:H256"/>
    <mergeCell ref="D257:H257"/>
    <mergeCell ref="D258:H258"/>
    <mergeCell ref="D191:H191"/>
    <mergeCell ref="D237:H237"/>
    <mergeCell ref="D238:H238"/>
    <mergeCell ref="D239:H239"/>
    <mergeCell ref="D240:H240"/>
    <mergeCell ref="D241:H241"/>
    <mergeCell ref="D291:H291"/>
    <mergeCell ref="D292:H292"/>
    <mergeCell ref="D293:H293"/>
    <mergeCell ref="D294:H294"/>
    <mergeCell ref="D330:H330"/>
    <mergeCell ref="D331:H331"/>
    <mergeCell ref="D270:H270"/>
    <mergeCell ref="D271:H271"/>
    <mergeCell ref="D272:H272"/>
    <mergeCell ref="D273:H273"/>
    <mergeCell ref="D274:H274"/>
    <mergeCell ref="D290:H290"/>
    <mergeCell ref="D355:H355"/>
    <mergeCell ref="D356:H356"/>
    <mergeCell ref="D368:H368"/>
    <mergeCell ref="D369:H369"/>
    <mergeCell ref="D370:H370"/>
    <mergeCell ref="D371:H371"/>
    <mergeCell ref="D332:H332"/>
    <mergeCell ref="D333:H333"/>
    <mergeCell ref="D334:H334"/>
    <mergeCell ref="D352:H352"/>
    <mergeCell ref="D353:H353"/>
    <mergeCell ref="D354:H354"/>
    <mergeCell ref="D433:H433"/>
    <mergeCell ref="D434:H434"/>
    <mergeCell ref="D435:H435"/>
    <mergeCell ref="D436:H436"/>
    <mergeCell ref="D437:H437"/>
    <mergeCell ref="D483:H483"/>
    <mergeCell ref="D372:H372"/>
    <mergeCell ref="D413:H413"/>
    <mergeCell ref="D414:H414"/>
    <mergeCell ref="D415:H415"/>
    <mergeCell ref="D416:H416"/>
    <mergeCell ref="D417:H417"/>
    <mergeCell ref="D505:H505"/>
    <mergeCell ref="D506:H506"/>
    <mergeCell ref="D507:H507"/>
    <mergeCell ref="C537:F537"/>
    <mergeCell ref="A541:H541"/>
    <mergeCell ref="C603:F603"/>
    <mergeCell ref="D484:H484"/>
    <mergeCell ref="D485:H485"/>
    <mergeCell ref="D486:H486"/>
    <mergeCell ref="D487:H487"/>
    <mergeCell ref="D503:H503"/>
    <mergeCell ref="D504:H504"/>
    <mergeCell ref="D628:H628"/>
    <mergeCell ref="D638:H638"/>
    <mergeCell ref="D639:H639"/>
    <mergeCell ref="D640:H640"/>
    <mergeCell ref="D641:H641"/>
    <mergeCell ref="D642:H642"/>
    <mergeCell ref="A607:H607"/>
    <mergeCell ref="D623:H623"/>
    <mergeCell ref="D624:H624"/>
    <mergeCell ref="D625:H625"/>
    <mergeCell ref="D626:H626"/>
    <mergeCell ref="D627:H627"/>
    <mergeCell ref="D657:H657"/>
    <mergeCell ref="D832:H832"/>
    <mergeCell ref="D833:H833"/>
    <mergeCell ref="D840:H840"/>
    <mergeCell ref="D841:H841"/>
    <mergeCell ref="D847:H847"/>
    <mergeCell ref="D643:H643"/>
    <mergeCell ref="D652:H652"/>
    <mergeCell ref="D653:H653"/>
    <mergeCell ref="D654:H654"/>
    <mergeCell ref="D655:H655"/>
    <mergeCell ref="D656:H656"/>
    <mergeCell ref="C864:F864"/>
    <mergeCell ref="G864:H864"/>
    <mergeCell ref="C865:F865"/>
    <mergeCell ref="G865:H865"/>
    <mergeCell ref="A867:H867"/>
    <mergeCell ref="D873:H873"/>
    <mergeCell ref="D848:H848"/>
    <mergeCell ref="D854:H854"/>
    <mergeCell ref="D855:H855"/>
    <mergeCell ref="C860:F860"/>
    <mergeCell ref="C863:F863"/>
    <mergeCell ref="G863:H863"/>
    <mergeCell ref="A938:H938"/>
    <mergeCell ref="C995:F995"/>
    <mergeCell ref="C999:F999"/>
    <mergeCell ref="C1002:F1002"/>
    <mergeCell ref="G1002:H1002"/>
    <mergeCell ref="C1003:F1003"/>
    <mergeCell ref="G1003:H1003"/>
    <mergeCell ref="D874:H874"/>
    <mergeCell ref="D875:H875"/>
    <mergeCell ref="D876:H876"/>
    <mergeCell ref="D877:H877"/>
    <mergeCell ref="D878:H878"/>
    <mergeCell ref="C934:F934"/>
    <mergeCell ref="A1015:B1015"/>
    <mergeCell ref="G1015:H1015"/>
    <mergeCell ref="G1016:H1016"/>
    <mergeCell ref="C1004:F1004"/>
    <mergeCell ref="G1004:H1004"/>
    <mergeCell ref="C1006:F1006"/>
    <mergeCell ref="A1010:B1010"/>
    <mergeCell ref="G1010:H1010"/>
    <mergeCell ref="G1011:H1011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Normal="100" workbookViewId="0">
      <selection sqref="A1:D1"/>
    </sheetView>
  </sheetViews>
  <sheetFormatPr defaultRowHeight="12.75" x14ac:dyDescent="0.2"/>
  <cols>
    <col min="1" max="1" width="5.7109375" customWidth="1"/>
    <col min="2" max="2" width="22.7109375" customWidth="1"/>
    <col min="10" max="11" width="11.140625" customWidth="1"/>
  </cols>
  <sheetData>
    <row r="1" spans="1:12" ht="14.25" x14ac:dyDescent="0.2">
      <c r="A1" s="157" t="str">
        <f>Source!B1</f>
        <v>Smeta.RU  (495) 974-1589</v>
      </c>
      <c r="B1" s="157"/>
      <c r="C1" s="157"/>
      <c r="D1" s="157"/>
      <c r="E1" s="12"/>
      <c r="F1" s="12"/>
      <c r="G1" s="12"/>
      <c r="H1" s="111" t="s">
        <v>1237</v>
      </c>
      <c r="I1" s="111"/>
      <c r="J1" s="111"/>
      <c r="K1" s="111"/>
      <c r="L1" s="111"/>
    </row>
    <row r="2" spans="1:12" ht="14.25" x14ac:dyDescent="0.2">
      <c r="A2" s="12"/>
      <c r="B2" s="12"/>
      <c r="C2" s="12"/>
      <c r="D2" s="12"/>
      <c r="E2" s="12"/>
      <c r="F2" s="12"/>
      <c r="G2" s="12"/>
      <c r="H2" s="111" t="s">
        <v>1176</v>
      </c>
      <c r="I2" s="111"/>
      <c r="J2" s="111"/>
      <c r="K2" s="111"/>
      <c r="L2" s="111"/>
    </row>
    <row r="3" spans="1:12" ht="14.25" x14ac:dyDescent="0.2">
      <c r="A3" s="12"/>
      <c r="B3" s="12"/>
      <c r="C3" s="12"/>
      <c r="D3" s="12"/>
      <c r="E3" s="12"/>
      <c r="F3" s="12"/>
      <c r="G3" s="12"/>
      <c r="H3" s="111" t="s">
        <v>1177</v>
      </c>
      <c r="I3" s="111"/>
      <c r="J3" s="111"/>
      <c r="K3" s="111"/>
      <c r="L3" s="111"/>
    </row>
    <row r="4" spans="1:12" ht="14.25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02" t="s">
        <v>1238</v>
      </c>
      <c r="L4" s="103"/>
    </row>
    <row r="5" spans="1:12" ht="14.25" x14ac:dyDescent="0.2">
      <c r="A5" s="12"/>
      <c r="B5" s="12"/>
      <c r="C5" s="12"/>
      <c r="D5" s="12"/>
      <c r="E5" s="12"/>
      <c r="F5" s="12"/>
      <c r="G5" s="12"/>
      <c r="H5" s="12"/>
      <c r="I5" s="80" t="s">
        <v>1179</v>
      </c>
      <c r="J5" s="80"/>
      <c r="K5" s="102">
        <v>322001</v>
      </c>
      <c r="L5" s="103"/>
    </row>
    <row r="6" spans="1:12" ht="14.25" x14ac:dyDescent="0.2">
      <c r="A6" s="80" t="s">
        <v>1239</v>
      </c>
      <c r="B6" s="80"/>
      <c r="C6" s="156"/>
      <c r="D6" s="156"/>
      <c r="E6" s="156"/>
      <c r="F6" s="156"/>
      <c r="G6" s="156"/>
      <c r="H6" s="156"/>
      <c r="I6" s="156"/>
      <c r="J6" s="11" t="s">
        <v>1182</v>
      </c>
      <c r="K6" s="102"/>
      <c r="L6" s="103"/>
    </row>
    <row r="7" spans="1:12" ht="14.25" x14ac:dyDescent="0.2">
      <c r="A7" s="12"/>
      <c r="B7" s="12"/>
      <c r="C7" s="100" t="s">
        <v>1183</v>
      </c>
      <c r="D7" s="100"/>
      <c r="E7" s="100"/>
      <c r="F7" s="100"/>
      <c r="G7" s="100"/>
      <c r="H7" s="100"/>
      <c r="I7" s="100"/>
      <c r="J7" s="12"/>
      <c r="K7" s="51"/>
      <c r="L7" s="64"/>
    </row>
    <row r="8" spans="1:12" ht="14.25" x14ac:dyDescent="0.2">
      <c r="A8" s="80" t="s">
        <v>1240</v>
      </c>
      <c r="B8" s="80"/>
      <c r="C8" s="156"/>
      <c r="D8" s="156"/>
      <c r="E8" s="156"/>
      <c r="F8" s="156"/>
      <c r="G8" s="156"/>
      <c r="H8" s="156"/>
      <c r="I8" s="25"/>
      <c r="J8" s="11" t="s">
        <v>1182</v>
      </c>
      <c r="K8" s="106"/>
      <c r="L8" s="107"/>
    </row>
    <row r="9" spans="1:12" ht="14.25" x14ac:dyDescent="0.2">
      <c r="A9" s="12"/>
      <c r="B9" s="12"/>
      <c r="C9" s="100" t="s">
        <v>1183</v>
      </c>
      <c r="D9" s="100"/>
      <c r="E9" s="100"/>
      <c r="F9" s="100"/>
      <c r="G9" s="100"/>
      <c r="H9" s="100"/>
      <c r="I9" s="100"/>
      <c r="J9" s="12"/>
      <c r="K9" s="51"/>
      <c r="L9" s="64"/>
    </row>
    <row r="10" spans="1:12" ht="14.25" x14ac:dyDescent="0.2">
      <c r="A10" s="80" t="s">
        <v>1241</v>
      </c>
      <c r="B10" s="80"/>
      <c r="C10" s="156"/>
      <c r="D10" s="156"/>
      <c r="E10" s="156"/>
      <c r="F10" s="156"/>
      <c r="G10" s="156"/>
      <c r="H10" s="156"/>
      <c r="I10" s="156"/>
      <c r="J10" s="11" t="s">
        <v>1182</v>
      </c>
      <c r="K10" s="106"/>
      <c r="L10" s="107"/>
    </row>
    <row r="11" spans="1:12" ht="14.25" x14ac:dyDescent="0.2">
      <c r="A11" s="12"/>
      <c r="B11" s="12"/>
      <c r="C11" s="100" t="s">
        <v>1183</v>
      </c>
      <c r="D11" s="100"/>
      <c r="E11" s="100"/>
      <c r="F11" s="100"/>
      <c r="G11" s="100"/>
      <c r="H11" s="100"/>
      <c r="I11" s="100"/>
      <c r="J11" s="12"/>
      <c r="K11" s="51"/>
      <c r="L11" s="64"/>
    </row>
    <row r="12" spans="1:12" ht="14.25" x14ac:dyDescent="0.2">
      <c r="A12" s="80" t="s">
        <v>1242</v>
      </c>
      <c r="B12" s="80"/>
      <c r="C12" s="156"/>
      <c r="D12" s="156"/>
      <c r="E12" s="156"/>
      <c r="F12" s="156"/>
      <c r="G12" s="156"/>
      <c r="H12" s="156"/>
      <c r="I12" s="156"/>
      <c r="J12" s="11" t="s">
        <v>1182</v>
      </c>
      <c r="K12" s="106"/>
      <c r="L12" s="107"/>
    </row>
    <row r="13" spans="1:12" ht="14.25" x14ac:dyDescent="0.2">
      <c r="A13" s="12"/>
      <c r="B13" s="12"/>
      <c r="C13" s="100" t="s">
        <v>1187</v>
      </c>
      <c r="D13" s="100"/>
      <c r="E13" s="100"/>
      <c r="F13" s="100"/>
      <c r="G13" s="100"/>
      <c r="H13" s="80" t="s">
        <v>1243</v>
      </c>
      <c r="I13" s="80"/>
      <c r="J13" s="101"/>
      <c r="K13" s="102"/>
      <c r="L13" s="103"/>
    </row>
    <row r="14" spans="1:12" ht="14.25" x14ac:dyDescent="0.2">
      <c r="A14" s="12"/>
      <c r="B14" s="12"/>
      <c r="C14" s="12"/>
      <c r="D14" s="12"/>
      <c r="E14" s="80" t="s">
        <v>1244</v>
      </c>
      <c r="F14" s="80"/>
      <c r="G14" s="80"/>
      <c r="H14" s="80"/>
      <c r="I14" s="155" t="s">
        <v>1192</v>
      </c>
      <c r="J14" s="119"/>
      <c r="K14" s="102"/>
      <c r="L14" s="103"/>
    </row>
    <row r="15" spans="1:12" ht="14.25" x14ac:dyDescent="0.2">
      <c r="A15" s="12"/>
      <c r="B15" s="12"/>
      <c r="C15" s="12"/>
      <c r="D15" s="12"/>
      <c r="E15" s="12"/>
      <c r="F15" s="12"/>
      <c r="G15" s="12"/>
      <c r="H15" s="12"/>
      <c r="I15" s="142" t="s">
        <v>1193</v>
      </c>
      <c r="J15" s="143"/>
      <c r="K15" s="104"/>
      <c r="L15" s="105"/>
    </row>
    <row r="16" spans="1:12" ht="14.25" x14ac:dyDescent="0.2">
      <c r="A16" s="12"/>
      <c r="B16" s="12"/>
      <c r="C16" s="12"/>
      <c r="D16" s="12"/>
      <c r="E16" s="12"/>
      <c r="F16" s="12"/>
      <c r="G16" s="12"/>
      <c r="H16" s="12"/>
      <c r="I16" s="119" t="s">
        <v>1245</v>
      </c>
      <c r="J16" s="119"/>
      <c r="K16" s="144"/>
      <c r="L16" s="145"/>
    </row>
    <row r="17" spans="1:12" ht="14.25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4.25" x14ac:dyDescent="0.2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12" ht="14.25" x14ac:dyDescent="0.2">
      <c r="A19" s="12"/>
      <c r="B19" s="12"/>
      <c r="C19" s="146" t="s">
        <v>1195</v>
      </c>
      <c r="D19" s="147"/>
      <c r="E19" s="146" t="s">
        <v>1196</v>
      </c>
      <c r="F19" s="150"/>
      <c r="G19" s="12"/>
      <c r="H19" s="12"/>
      <c r="I19" s="146" t="s">
        <v>1197</v>
      </c>
      <c r="J19" s="147"/>
      <c r="K19" s="147"/>
      <c r="L19" s="150"/>
    </row>
    <row r="20" spans="1:12" ht="14.25" x14ac:dyDescent="0.2">
      <c r="A20" s="12"/>
      <c r="B20" s="12"/>
      <c r="C20" s="148"/>
      <c r="D20" s="149"/>
      <c r="E20" s="148"/>
      <c r="F20" s="151"/>
      <c r="G20" s="12"/>
      <c r="H20" s="12"/>
      <c r="I20" s="152" t="s">
        <v>1198</v>
      </c>
      <c r="J20" s="153"/>
      <c r="K20" s="152" t="s">
        <v>1199</v>
      </c>
      <c r="L20" s="154"/>
    </row>
    <row r="21" spans="1:12" ht="14.25" x14ac:dyDescent="0.2">
      <c r="A21" s="12"/>
      <c r="B21" s="12"/>
      <c r="C21" s="92"/>
      <c r="D21" s="138"/>
      <c r="E21" s="139"/>
      <c r="F21" s="140"/>
      <c r="G21" s="65"/>
      <c r="H21" s="65"/>
      <c r="I21" s="139"/>
      <c r="J21" s="141"/>
      <c r="K21" s="139"/>
      <c r="L21" s="140"/>
    </row>
    <row r="22" spans="1:12" ht="14.2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14.2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x14ac:dyDescent="0.25">
      <c r="A24" s="99" t="s">
        <v>1246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</row>
    <row r="25" spans="1:12" ht="18" x14ac:dyDescent="0.25">
      <c r="A25" s="99" t="s">
        <v>1247</v>
      </c>
      <c r="B25" s="99"/>
      <c r="C25" s="99"/>
      <c r="D25" s="99"/>
      <c r="E25" s="99"/>
      <c r="F25" s="99"/>
      <c r="G25" s="99"/>
      <c r="H25" s="99"/>
      <c r="I25" s="99"/>
      <c r="J25" s="99"/>
      <c r="K25" s="99"/>
      <c r="L25" s="99"/>
    </row>
    <row r="26" spans="1:12" ht="14.2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14.2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12" ht="14.25" x14ac:dyDescent="0.2">
      <c r="A28" s="132" t="s">
        <v>1154</v>
      </c>
      <c r="B28" s="132" t="s">
        <v>1248</v>
      </c>
      <c r="C28" s="134"/>
      <c r="D28" s="134"/>
      <c r="E28" s="134"/>
      <c r="F28" s="132" t="s">
        <v>1178</v>
      </c>
      <c r="G28" s="132" t="s">
        <v>1249</v>
      </c>
      <c r="H28" s="134"/>
      <c r="I28" s="134"/>
      <c r="J28" s="134"/>
      <c r="K28" s="134"/>
      <c r="L28" s="136"/>
    </row>
    <row r="29" spans="1:12" x14ac:dyDescent="0.2">
      <c r="A29" s="133"/>
      <c r="B29" s="133"/>
      <c r="C29" s="135"/>
      <c r="D29" s="135"/>
      <c r="E29" s="135"/>
      <c r="F29" s="133"/>
      <c r="G29" s="132" t="s">
        <v>1250</v>
      </c>
      <c r="H29" s="134"/>
      <c r="I29" s="132" t="s">
        <v>1251</v>
      </c>
      <c r="J29" s="134"/>
      <c r="K29" s="132" t="s">
        <v>1252</v>
      </c>
      <c r="L29" s="136"/>
    </row>
    <row r="30" spans="1:12" x14ac:dyDescent="0.2">
      <c r="A30" s="133"/>
      <c r="B30" s="133"/>
      <c r="C30" s="135"/>
      <c r="D30" s="135"/>
      <c r="E30" s="135"/>
      <c r="F30" s="133"/>
      <c r="G30" s="133"/>
      <c r="H30" s="135"/>
      <c r="I30" s="133"/>
      <c r="J30" s="135"/>
      <c r="K30" s="133"/>
      <c r="L30" s="137"/>
    </row>
    <row r="31" spans="1:12" x14ac:dyDescent="0.2">
      <c r="A31" s="133"/>
      <c r="B31" s="133"/>
      <c r="C31" s="135"/>
      <c r="D31" s="135"/>
      <c r="E31" s="135"/>
      <c r="F31" s="133"/>
      <c r="G31" s="133"/>
      <c r="H31" s="135"/>
      <c r="I31" s="133"/>
      <c r="J31" s="135"/>
      <c r="K31" s="133"/>
      <c r="L31" s="137"/>
    </row>
    <row r="32" spans="1:12" x14ac:dyDescent="0.2">
      <c r="A32" s="133"/>
      <c r="B32" s="133"/>
      <c r="C32" s="135"/>
      <c r="D32" s="135"/>
      <c r="E32" s="135"/>
      <c r="F32" s="133"/>
      <c r="G32" s="133"/>
      <c r="H32" s="135"/>
      <c r="I32" s="133"/>
      <c r="J32" s="135"/>
      <c r="K32" s="133"/>
      <c r="L32" s="137"/>
    </row>
    <row r="33" spans="1:12" ht="14.25" x14ac:dyDescent="0.2">
      <c r="A33" s="51">
        <v>1</v>
      </c>
      <c r="B33" s="102">
        <v>2</v>
      </c>
      <c r="C33" s="127"/>
      <c r="D33" s="127"/>
      <c r="E33" s="127"/>
      <c r="F33" s="51">
        <v>3</v>
      </c>
      <c r="G33" s="102">
        <v>4</v>
      </c>
      <c r="H33" s="127"/>
      <c r="I33" s="102">
        <v>5</v>
      </c>
      <c r="J33" s="127"/>
      <c r="K33" s="102">
        <v>6</v>
      </c>
      <c r="L33" s="103"/>
    </row>
    <row r="34" spans="1:12" ht="14.25" x14ac:dyDescent="0.2">
      <c r="A34" s="66"/>
      <c r="B34" s="128" t="s">
        <v>1253</v>
      </c>
      <c r="C34" s="117"/>
      <c r="D34" s="117"/>
      <c r="E34" s="117"/>
      <c r="F34" s="67"/>
      <c r="G34" s="129"/>
      <c r="H34" s="130"/>
      <c r="I34" s="129"/>
      <c r="J34" s="130"/>
      <c r="K34" s="129"/>
      <c r="L34" s="131"/>
    </row>
    <row r="35" spans="1:12" ht="14.25" x14ac:dyDescent="0.2">
      <c r="A35" s="68"/>
      <c r="B35" s="115" t="s">
        <v>1254</v>
      </c>
      <c r="C35" s="116"/>
      <c r="D35" s="116"/>
      <c r="E35" s="116"/>
      <c r="F35" s="116"/>
      <c r="G35" s="116"/>
      <c r="H35" s="116"/>
      <c r="I35" s="116"/>
      <c r="J35" s="116"/>
      <c r="K35" s="117"/>
      <c r="L35" s="118"/>
    </row>
    <row r="36" spans="1:12" ht="14.25" x14ac:dyDescent="0.2">
      <c r="A36" s="119" t="s">
        <v>647</v>
      </c>
      <c r="B36" s="119"/>
      <c r="C36" s="119"/>
      <c r="D36" s="119"/>
      <c r="E36" s="119"/>
      <c r="F36" s="119"/>
      <c r="G36" s="119"/>
      <c r="H36" s="119"/>
      <c r="I36" s="119"/>
      <c r="J36" s="120"/>
      <c r="K36" s="121"/>
      <c r="L36" s="120"/>
    </row>
    <row r="37" spans="1:12" ht="14.25" x14ac:dyDescent="0.2">
      <c r="A37" s="122" t="s">
        <v>1255</v>
      </c>
      <c r="B37" s="122"/>
      <c r="C37" s="122"/>
      <c r="D37" s="122"/>
      <c r="E37" s="122"/>
      <c r="F37" s="122"/>
      <c r="G37" s="122"/>
      <c r="H37" s="122"/>
      <c r="I37" s="122"/>
      <c r="J37" s="122"/>
      <c r="K37" s="123"/>
      <c r="L37" s="124"/>
    </row>
    <row r="38" spans="1:12" ht="14.25" x14ac:dyDescent="0.2">
      <c r="A38" s="122" t="s">
        <v>1256</v>
      </c>
      <c r="B38" s="122"/>
      <c r="C38" s="122"/>
      <c r="D38" s="122"/>
      <c r="E38" s="122"/>
      <c r="F38" s="122"/>
      <c r="G38" s="122"/>
      <c r="H38" s="122"/>
      <c r="I38" s="122"/>
      <c r="J38" s="122"/>
      <c r="K38" s="125"/>
      <c r="L38" s="126"/>
    </row>
    <row r="39" spans="1:12" ht="14.2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2" spans="1:12" ht="14.25" x14ac:dyDescent="0.2">
      <c r="A42" s="86" t="s">
        <v>1240</v>
      </c>
      <c r="B42" s="86"/>
      <c r="C42" s="113"/>
      <c r="D42" s="113"/>
      <c r="E42" s="113"/>
      <c r="F42" s="12"/>
      <c r="G42" s="113"/>
      <c r="H42" s="113"/>
      <c r="I42" s="12"/>
      <c r="J42" s="113"/>
      <c r="K42" s="113"/>
      <c r="L42" s="113"/>
    </row>
    <row r="43" spans="1:12" ht="14.25" x14ac:dyDescent="0.2">
      <c r="A43" s="12"/>
      <c r="B43" s="12"/>
      <c r="C43" s="114" t="s">
        <v>1232</v>
      </c>
      <c r="D43" s="114"/>
      <c r="E43" s="114"/>
      <c r="F43" s="12"/>
      <c r="G43" s="114" t="s">
        <v>1233</v>
      </c>
      <c r="H43" s="114"/>
      <c r="I43" s="12"/>
      <c r="J43" s="114" t="s">
        <v>1234</v>
      </c>
      <c r="K43" s="114"/>
      <c r="L43" s="114"/>
    </row>
    <row r="44" spans="1:12" ht="14.2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 spans="1:12" ht="14.25" x14ac:dyDescent="0.2">
      <c r="A45" s="11" t="s">
        <v>1257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 spans="1:12" ht="14.2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 spans="1:12" ht="14.2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 spans="1:12" ht="14.2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 spans="1:12" ht="14.25" x14ac:dyDescent="0.2">
      <c r="A49" s="86" t="s">
        <v>1241</v>
      </c>
      <c r="B49" s="86"/>
      <c r="C49" s="113"/>
      <c r="D49" s="113"/>
      <c r="E49" s="113"/>
      <c r="F49" s="12"/>
      <c r="G49" s="113"/>
      <c r="H49" s="113"/>
      <c r="I49" s="12"/>
      <c r="J49" s="113"/>
      <c r="K49" s="113"/>
      <c r="L49" s="113"/>
    </row>
    <row r="50" spans="1:12" ht="14.25" x14ac:dyDescent="0.2">
      <c r="A50" s="12"/>
      <c r="B50" s="12"/>
      <c r="C50" s="114" t="s">
        <v>1232</v>
      </c>
      <c r="D50" s="114"/>
      <c r="E50" s="114"/>
      <c r="F50" s="12"/>
      <c r="G50" s="114" t="s">
        <v>1233</v>
      </c>
      <c r="H50" s="114"/>
      <c r="I50" s="12"/>
      <c r="J50" s="114" t="s">
        <v>1234</v>
      </c>
      <c r="K50" s="114"/>
      <c r="L50" s="114"/>
    </row>
    <row r="51" spans="1:12" ht="14.2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 spans="1:12" ht="14.25" x14ac:dyDescent="0.2">
      <c r="A52" s="11" t="s">
        <v>1257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</sheetData>
  <mergeCells count="79">
    <mergeCell ref="I5:J5"/>
    <mergeCell ref="K5:L5"/>
    <mergeCell ref="A1:D1"/>
    <mergeCell ref="H1:L1"/>
    <mergeCell ref="H2:L2"/>
    <mergeCell ref="H3:L3"/>
    <mergeCell ref="K4:L4"/>
    <mergeCell ref="A12:B12"/>
    <mergeCell ref="C12:I12"/>
    <mergeCell ref="K12:L12"/>
    <mergeCell ref="A6:B6"/>
    <mergeCell ref="C6:I6"/>
    <mergeCell ref="K6:L6"/>
    <mergeCell ref="C7:I7"/>
    <mergeCell ref="A8:B8"/>
    <mergeCell ref="C8:H8"/>
    <mergeCell ref="K8:L8"/>
    <mergeCell ref="C9:I9"/>
    <mergeCell ref="A10:B10"/>
    <mergeCell ref="C10:I10"/>
    <mergeCell ref="K10:L10"/>
    <mergeCell ref="C11:I11"/>
    <mergeCell ref="C13:G13"/>
    <mergeCell ref="H13:J13"/>
    <mergeCell ref="K13:L13"/>
    <mergeCell ref="E14:H14"/>
    <mergeCell ref="I14:J14"/>
    <mergeCell ref="K14:L14"/>
    <mergeCell ref="A25:L25"/>
    <mergeCell ref="I15:J15"/>
    <mergeCell ref="K15:L15"/>
    <mergeCell ref="I16:J16"/>
    <mergeCell ref="K16:L16"/>
    <mergeCell ref="C19:D20"/>
    <mergeCell ref="E19:F20"/>
    <mergeCell ref="I19:L19"/>
    <mergeCell ref="I20:J20"/>
    <mergeCell ref="K20:L20"/>
    <mergeCell ref="C21:D21"/>
    <mergeCell ref="E21:F21"/>
    <mergeCell ref="I21:J21"/>
    <mergeCell ref="K21:L21"/>
    <mergeCell ref="A24:L24"/>
    <mergeCell ref="A28:A32"/>
    <mergeCell ref="B28:E32"/>
    <mergeCell ref="F28:F32"/>
    <mergeCell ref="G28:L28"/>
    <mergeCell ref="G29:H32"/>
    <mergeCell ref="I29:J32"/>
    <mergeCell ref="K29:L32"/>
    <mergeCell ref="A38:J38"/>
    <mergeCell ref="K38:L38"/>
    <mergeCell ref="B33:E33"/>
    <mergeCell ref="G33:H33"/>
    <mergeCell ref="I33:J33"/>
    <mergeCell ref="K33:L33"/>
    <mergeCell ref="B34:E34"/>
    <mergeCell ref="G34:H34"/>
    <mergeCell ref="I34:J34"/>
    <mergeCell ref="K34:L34"/>
    <mergeCell ref="B35:L35"/>
    <mergeCell ref="A36:J36"/>
    <mergeCell ref="K36:L36"/>
    <mergeCell ref="A37:J37"/>
    <mergeCell ref="K37:L37"/>
    <mergeCell ref="A42:B42"/>
    <mergeCell ref="C42:E42"/>
    <mergeCell ref="G42:H42"/>
    <mergeCell ref="J42:L42"/>
    <mergeCell ref="C43:E43"/>
    <mergeCell ref="G43:H43"/>
    <mergeCell ref="J43:L43"/>
    <mergeCell ref="A49:B49"/>
    <mergeCell ref="C49:E49"/>
    <mergeCell ref="G49:H49"/>
    <mergeCell ref="J49:L49"/>
    <mergeCell ref="C50:E50"/>
    <mergeCell ref="G50:H50"/>
    <mergeCell ref="J50:L50"/>
  </mergeCells>
  <pageMargins left="0.4" right="0.2" top="0.4" bottom="0.4" header="0.2" footer="0.2"/>
  <pageSetup paperSize="9" scale="78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443"/>
  <sheetViews>
    <sheetView workbookViewId="0">
      <selection activeCell="I7" sqref="I7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438</v>
      </c>
      <c r="C12" s="1">
        <v>0</v>
      </c>
      <c r="D12" s="1">
        <f>ROW(A380)</f>
        <v>380</v>
      </c>
      <c r="E12" s="1">
        <v>0</v>
      </c>
      <c r="F12" s="1" t="s">
        <v>4</v>
      </c>
      <c r="G12" s="1" t="s">
        <v>1259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">
      <c r="A18" s="2">
        <v>52</v>
      </c>
      <c r="B18" s="2">
        <f t="shared" ref="B18:G18" si="0">B380</f>
        <v>438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</v>
      </c>
      <c r="G18" s="2" t="str">
        <f t="shared" si="0"/>
        <v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  <c r="H18" s="2"/>
      <c r="I18" s="2"/>
      <c r="J18" s="2"/>
      <c r="K18" s="2"/>
      <c r="L18" s="2"/>
      <c r="M18" s="2"/>
      <c r="N18" s="2"/>
      <c r="O18" s="2">
        <f t="shared" ref="O18:AT18" si="1">O380</f>
        <v>1719506.63</v>
      </c>
      <c r="P18" s="2">
        <f t="shared" si="1"/>
        <v>1586245.79</v>
      </c>
      <c r="Q18" s="2">
        <f t="shared" si="1"/>
        <v>10602.66</v>
      </c>
      <c r="R18" s="2">
        <f t="shared" si="1"/>
        <v>1816.96</v>
      </c>
      <c r="S18" s="2">
        <f t="shared" si="1"/>
        <v>122658.18</v>
      </c>
      <c r="T18" s="2">
        <f t="shared" si="1"/>
        <v>0</v>
      </c>
      <c r="U18" s="2">
        <f t="shared" si="1"/>
        <v>1678.3632344</v>
      </c>
      <c r="V18" s="2">
        <f t="shared" si="1"/>
        <v>22.156505374999995</v>
      </c>
      <c r="W18" s="2">
        <f t="shared" si="1"/>
        <v>0</v>
      </c>
      <c r="X18" s="2">
        <f t="shared" si="1"/>
        <v>108957.56</v>
      </c>
      <c r="Y18" s="2">
        <f t="shared" si="1"/>
        <v>67933.929999999993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1901641.99</v>
      </c>
      <c r="AS18" s="2">
        <f t="shared" si="1"/>
        <v>1223103.4099999999</v>
      </c>
      <c r="AT18" s="2">
        <f t="shared" si="1"/>
        <v>624299.68000000005</v>
      </c>
      <c r="AU18" s="2">
        <f t="shared" ref="AU18:BZ18" si="2">AU380</f>
        <v>54238.9</v>
      </c>
      <c r="AV18" s="2">
        <f t="shared" si="2"/>
        <v>1586245.79</v>
      </c>
      <c r="AW18" s="2">
        <f t="shared" si="2"/>
        <v>1586245.79</v>
      </c>
      <c r="AX18" s="2">
        <f t="shared" si="2"/>
        <v>0</v>
      </c>
      <c r="AY18" s="2">
        <f t="shared" si="2"/>
        <v>1586245.79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CA380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DG380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EM380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FS380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">
      <c r="A20" s="1">
        <v>3</v>
      </c>
      <c r="B20" s="1">
        <v>1</v>
      </c>
      <c r="C20" s="1"/>
      <c r="D20" s="1">
        <f>ROW(A348)</f>
        <v>348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">
      <c r="A22" s="2">
        <v>52</v>
      </c>
      <c r="B22" s="2">
        <f t="shared" ref="B22:G22" si="7">B348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O348</f>
        <v>1719506.63</v>
      </c>
      <c r="P22" s="2">
        <f t="shared" si="8"/>
        <v>1586245.79</v>
      </c>
      <c r="Q22" s="2">
        <f t="shared" si="8"/>
        <v>10602.66</v>
      </c>
      <c r="R22" s="2">
        <f t="shared" si="8"/>
        <v>1816.96</v>
      </c>
      <c r="S22" s="2">
        <f t="shared" si="8"/>
        <v>122658.18</v>
      </c>
      <c r="T22" s="2">
        <f t="shared" si="8"/>
        <v>0</v>
      </c>
      <c r="U22" s="2">
        <f t="shared" si="8"/>
        <v>1678.3632344</v>
      </c>
      <c r="V22" s="2">
        <f t="shared" si="8"/>
        <v>22.156505374999995</v>
      </c>
      <c r="W22" s="2">
        <f t="shared" si="8"/>
        <v>0</v>
      </c>
      <c r="X22" s="2">
        <f t="shared" si="8"/>
        <v>108957.56</v>
      </c>
      <c r="Y22" s="2">
        <f t="shared" si="8"/>
        <v>67933.929999999993</v>
      </c>
      <c r="Z22" s="2">
        <f t="shared" si="8"/>
        <v>0</v>
      </c>
      <c r="AA22" s="2">
        <f t="shared" si="8"/>
        <v>0</v>
      </c>
      <c r="AB22" s="2">
        <f t="shared" si="8"/>
        <v>0</v>
      </c>
      <c r="AC22" s="2">
        <f t="shared" si="8"/>
        <v>0</v>
      </c>
      <c r="AD22" s="2">
        <f t="shared" si="8"/>
        <v>0</v>
      </c>
      <c r="AE22" s="2">
        <f t="shared" si="8"/>
        <v>0</v>
      </c>
      <c r="AF22" s="2">
        <f t="shared" si="8"/>
        <v>0</v>
      </c>
      <c r="AG22" s="2">
        <f t="shared" si="8"/>
        <v>0</v>
      </c>
      <c r="AH22" s="2">
        <f t="shared" si="8"/>
        <v>0</v>
      </c>
      <c r="AI22" s="2">
        <f t="shared" si="8"/>
        <v>0</v>
      </c>
      <c r="AJ22" s="2">
        <f t="shared" si="8"/>
        <v>0</v>
      </c>
      <c r="AK22" s="2">
        <f t="shared" si="8"/>
        <v>0</v>
      </c>
      <c r="AL22" s="2">
        <f t="shared" si="8"/>
        <v>0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1901641.99</v>
      </c>
      <c r="AS22" s="2">
        <f t="shared" si="8"/>
        <v>1223103.4099999999</v>
      </c>
      <c r="AT22" s="2">
        <f t="shared" si="8"/>
        <v>624299.68000000005</v>
      </c>
      <c r="AU22" s="2">
        <f t="shared" ref="AU22:BZ22" si="9">AU348</f>
        <v>54238.9</v>
      </c>
      <c r="AV22" s="2">
        <f t="shared" si="9"/>
        <v>1586245.79</v>
      </c>
      <c r="AW22" s="2">
        <f t="shared" si="9"/>
        <v>1586245.79</v>
      </c>
      <c r="AX22" s="2">
        <f t="shared" si="9"/>
        <v>0</v>
      </c>
      <c r="AY22" s="2">
        <f t="shared" si="9"/>
        <v>1586245.79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CA348</f>
        <v>0</v>
      </c>
      <c r="CB22" s="2">
        <f t="shared" si="10"/>
        <v>0</v>
      </c>
      <c r="CC22" s="2">
        <f t="shared" si="10"/>
        <v>0</v>
      </c>
      <c r="CD22" s="2">
        <f t="shared" si="10"/>
        <v>0</v>
      </c>
      <c r="CE22" s="2">
        <f t="shared" si="10"/>
        <v>0</v>
      </c>
      <c r="CF22" s="2">
        <f t="shared" si="10"/>
        <v>0</v>
      </c>
      <c r="CG22" s="2">
        <f t="shared" si="10"/>
        <v>0</v>
      </c>
      <c r="CH22" s="2">
        <f t="shared" si="10"/>
        <v>0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DG348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EM348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FS348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">
      <c r="A24" s="1">
        <v>4</v>
      </c>
      <c r="B24" s="1">
        <v>1</v>
      </c>
      <c r="C24" s="1"/>
      <c r="D24" s="1">
        <f>ROW(A108)</f>
        <v>108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45" x14ac:dyDescent="0.2">
      <c r="A26" s="2">
        <v>52</v>
      </c>
      <c r="B26" s="2">
        <f t="shared" ref="B26:G26" si="14">B108</f>
        <v>1</v>
      </c>
      <c r="C26" s="2">
        <f t="shared" si="14"/>
        <v>4</v>
      </c>
      <c r="D26" s="2">
        <f t="shared" si="14"/>
        <v>24</v>
      </c>
      <c r="E26" s="2">
        <f t="shared" si="14"/>
        <v>0</v>
      </c>
      <c r="F26" s="2" t="str">
        <f t="shared" si="14"/>
        <v>Новый раздел</v>
      </c>
      <c r="G26" s="2" t="str">
        <f t="shared" si="14"/>
        <v>1 Общестроительные работы</v>
      </c>
      <c r="H26" s="2"/>
      <c r="I26" s="2"/>
      <c r="J26" s="2"/>
      <c r="K26" s="2"/>
      <c r="L26" s="2"/>
      <c r="M26" s="2"/>
      <c r="N26" s="2"/>
      <c r="O26" s="2">
        <f t="shared" ref="O26:AT26" si="15">O108</f>
        <v>995743.89</v>
      </c>
      <c r="P26" s="2">
        <f t="shared" si="15"/>
        <v>935402.41</v>
      </c>
      <c r="Q26" s="2">
        <f t="shared" si="15"/>
        <v>7073.06</v>
      </c>
      <c r="R26" s="2">
        <f t="shared" si="15"/>
        <v>1401.4</v>
      </c>
      <c r="S26" s="2">
        <f t="shared" si="15"/>
        <v>53268.42</v>
      </c>
      <c r="T26" s="2">
        <f t="shared" si="15"/>
        <v>0</v>
      </c>
      <c r="U26" s="2">
        <f t="shared" si="15"/>
        <v>888.2400303999998</v>
      </c>
      <c r="V26" s="2">
        <f t="shared" si="15"/>
        <v>17.226777374999994</v>
      </c>
      <c r="W26" s="2">
        <f t="shared" si="15"/>
        <v>0</v>
      </c>
      <c r="X26" s="2">
        <f t="shared" si="15"/>
        <v>50913.96</v>
      </c>
      <c r="Y26" s="2">
        <f t="shared" si="15"/>
        <v>29411.87</v>
      </c>
      <c r="Z26" s="2">
        <f t="shared" si="15"/>
        <v>0</v>
      </c>
      <c r="AA26" s="2">
        <f t="shared" si="15"/>
        <v>0</v>
      </c>
      <c r="AB26" s="2">
        <f t="shared" si="15"/>
        <v>995743.89</v>
      </c>
      <c r="AC26" s="2">
        <f t="shared" si="15"/>
        <v>935402.41</v>
      </c>
      <c r="AD26" s="2">
        <f t="shared" si="15"/>
        <v>7073.06</v>
      </c>
      <c r="AE26" s="2">
        <f t="shared" si="15"/>
        <v>1401.4</v>
      </c>
      <c r="AF26" s="2">
        <f t="shared" si="15"/>
        <v>53268.42</v>
      </c>
      <c r="AG26" s="2">
        <f t="shared" si="15"/>
        <v>0</v>
      </c>
      <c r="AH26" s="2">
        <f t="shared" si="15"/>
        <v>888.2400303999998</v>
      </c>
      <c r="AI26" s="2">
        <f t="shared" si="15"/>
        <v>17.226777374999994</v>
      </c>
      <c r="AJ26" s="2">
        <f t="shared" si="15"/>
        <v>0</v>
      </c>
      <c r="AK26" s="2">
        <f t="shared" si="15"/>
        <v>50913.96</v>
      </c>
      <c r="AL26" s="2">
        <f t="shared" si="15"/>
        <v>29411.87</v>
      </c>
      <c r="AM26" s="2">
        <f t="shared" si="15"/>
        <v>0</v>
      </c>
      <c r="AN26" s="2">
        <f t="shared" si="15"/>
        <v>0</v>
      </c>
      <c r="AO26" s="2">
        <f t="shared" si="15"/>
        <v>0</v>
      </c>
      <c r="AP26" s="2">
        <f t="shared" si="15"/>
        <v>0</v>
      </c>
      <c r="AQ26" s="2">
        <f t="shared" si="15"/>
        <v>0</v>
      </c>
      <c r="AR26" s="2">
        <f t="shared" si="15"/>
        <v>1081313.5900000001</v>
      </c>
      <c r="AS26" s="2">
        <f t="shared" si="15"/>
        <v>1081313.5900000001</v>
      </c>
      <c r="AT26" s="2">
        <f t="shared" si="15"/>
        <v>0</v>
      </c>
      <c r="AU26" s="2">
        <f t="shared" ref="AU26:BZ26" si="16">AU108</f>
        <v>0</v>
      </c>
      <c r="AV26" s="2">
        <f t="shared" si="16"/>
        <v>935402.41</v>
      </c>
      <c r="AW26" s="2">
        <f t="shared" si="16"/>
        <v>935402.41</v>
      </c>
      <c r="AX26" s="2">
        <f t="shared" si="16"/>
        <v>0</v>
      </c>
      <c r="AY26" s="2">
        <f t="shared" si="16"/>
        <v>935402.41</v>
      </c>
      <c r="AZ26" s="2">
        <f t="shared" si="16"/>
        <v>0</v>
      </c>
      <c r="BA26" s="2">
        <f t="shared" si="16"/>
        <v>0</v>
      </c>
      <c r="BB26" s="2">
        <f t="shared" si="16"/>
        <v>0</v>
      </c>
      <c r="BC26" s="2">
        <f t="shared" si="16"/>
        <v>0</v>
      </c>
      <c r="BD26" s="2">
        <f t="shared" si="16"/>
        <v>0</v>
      </c>
      <c r="BE26" s="2">
        <f t="shared" si="16"/>
        <v>0</v>
      </c>
      <c r="BF26" s="2">
        <f t="shared" si="16"/>
        <v>0</v>
      </c>
      <c r="BG26" s="2">
        <f t="shared" si="16"/>
        <v>0</v>
      </c>
      <c r="BH26" s="2">
        <f t="shared" si="16"/>
        <v>0</v>
      </c>
      <c r="BI26" s="2">
        <f t="shared" si="16"/>
        <v>0</v>
      </c>
      <c r="BJ26" s="2">
        <f t="shared" si="16"/>
        <v>0</v>
      </c>
      <c r="BK26" s="2">
        <f t="shared" si="16"/>
        <v>0</v>
      </c>
      <c r="BL26" s="2">
        <f t="shared" si="16"/>
        <v>0</v>
      </c>
      <c r="BM26" s="2">
        <f t="shared" si="16"/>
        <v>0</v>
      </c>
      <c r="BN26" s="2">
        <f t="shared" si="16"/>
        <v>0</v>
      </c>
      <c r="BO26" s="2">
        <f t="shared" si="16"/>
        <v>0</v>
      </c>
      <c r="BP26" s="2">
        <f t="shared" si="16"/>
        <v>0</v>
      </c>
      <c r="BQ26" s="2">
        <f t="shared" si="16"/>
        <v>0</v>
      </c>
      <c r="BR26" s="2">
        <f t="shared" si="16"/>
        <v>0</v>
      </c>
      <c r="BS26" s="2">
        <f t="shared" si="16"/>
        <v>0</v>
      </c>
      <c r="BT26" s="2">
        <f t="shared" si="16"/>
        <v>0</v>
      </c>
      <c r="BU26" s="2">
        <f t="shared" si="16"/>
        <v>0</v>
      </c>
      <c r="BV26" s="2">
        <f t="shared" si="16"/>
        <v>0</v>
      </c>
      <c r="BW26" s="2">
        <f t="shared" si="16"/>
        <v>0</v>
      </c>
      <c r="BX26" s="2">
        <f t="shared" si="16"/>
        <v>0</v>
      </c>
      <c r="BY26" s="2">
        <f t="shared" si="16"/>
        <v>0</v>
      </c>
      <c r="BZ26" s="2">
        <f t="shared" si="16"/>
        <v>0</v>
      </c>
      <c r="CA26" s="2">
        <f t="shared" ref="CA26:DF26" si="17">CA108</f>
        <v>1081313.5900000001</v>
      </c>
      <c r="CB26" s="2">
        <f t="shared" si="17"/>
        <v>1081313.5900000001</v>
      </c>
      <c r="CC26" s="2">
        <f t="shared" si="17"/>
        <v>0</v>
      </c>
      <c r="CD26" s="2">
        <f t="shared" si="17"/>
        <v>0</v>
      </c>
      <c r="CE26" s="2">
        <f t="shared" si="17"/>
        <v>935402.41</v>
      </c>
      <c r="CF26" s="2">
        <f t="shared" si="17"/>
        <v>935402.41</v>
      </c>
      <c r="CG26" s="2">
        <f t="shared" si="17"/>
        <v>0</v>
      </c>
      <c r="CH26" s="2">
        <f t="shared" si="17"/>
        <v>935402.41</v>
      </c>
      <c r="CI26" s="2">
        <f t="shared" si="17"/>
        <v>0</v>
      </c>
      <c r="CJ26" s="2">
        <f t="shared" si="17"/>
        <v>0</v>
      </c>
      <c r="CK26" s="2">
        <f t="shared" si="17"/>
        <v>0</v>
      </c>
      <c r="CL26" s="2">
        <f t="shared" si="17"/>
        <v>0</v>
      </c>
      <c r="CM26" s="2">
        <f t="shared" si="17"/>
        <v>0</v>
      </c>
      <c r="CN26" s="2">
        <f t="shared" si="17"/>
        <v>0</v>
      </c>
      <c r="CO26" s="2">
        <f t="shared" si="17"/>
        <v>0</v>
      </c>
      <c r="CP26" s="2">
        <f t="shared" si="17"/>
        <v>0</v>
      </c>
      <c r="CQ26" s="2">
        <f t="shared" si="17"/>
        <v>0</v>
      </c>
      <c r="CR26" s="2">
        <f t="shared" si="17"/>
        <v>0</v>
      </c>
      <c r="CS26" s="2">
        <f t="shared" si="17"/>
        <v>0</v>
      </c>
      <c r="CT26" s="2">
        <f t="shared" si="17"/>
        <v>0</v>
      </c>
      <c r="CU26" s="2">
        <f t="shared" si="17"/>
        <v>0</v>
      </c>
      <c r="CV26" s="2">
        <f t="shared" si="17"/>
        <v>0</v>
      </c>
      <c r="CW26" s="2">
        <f t="shared" si="17"/>
        <v>0</v>
      </c>
      <c r="CX26" s="2">
        <f t="shared" si="17"/>
        <v>0</v>
      </c>
      <c r="CY26" s="2">
        <f t="shared" si="17"/>
        <v>0</v>
      </c>
      <c r="CZ26" s="2">
        <f t="shared" si="17"/>
        <v>0</v>
      </c>
      <c r="DA26" s="2">
        <f t="shared" si="17"/>
        <v>0</v>
      </c>
      <c r="DB26" s="2">
        <f t="shared" si="17"/>
        <v>0</v>
      </c>
      <c r="DC26" s="2">
        <f t="shared" si="17"/>
        <v>0</v>
      </c>
      <c r="DD26" s="2">
        <f t="shared" si="17"/>
        <v>0</v>
      </c>
      <c r="DE26" s="2">
        <f t="shared" si="17"/>
        <v>0</v>
      </c>
      <c r="DF26" s="2">
        <f t="shared" si="17"/>
        <v>0</v>
      </c>
      <c r="DG26" s="3">
        <f t="shared" ref="DG26:EL26" si="18">DG108</f>
        <v>0</v>
      </c>
      <c r="DH26" s="3">
        <f t="shared" si="18"/>
        <v>0</v>
      </c>
      <c r="DI26" s="3">
        <f t="shared" si="18"/>
        <v>0</v>
      </c>
      <c r="DJ26" s="3">
        <f t="shared" si="18"/>
        <v>0</v>
      </c>
      <c r="DK26" s="3">
        <f t="shared" si="18"/>
        <v>0</v>
      </c>
      <c r="DL26" s="3">
        <f t="shared" si="18"/>
        <v>0</v>
      </c>
      <c r="DM26" s="3">
        <f t="shared" si="18"/>
        <v>0</v>
      </c>
      <c r="DN26" s="3">
        <f t="shared" si="18"/>
        <v>0</v>
      </c>
      <c r="DO26" s="3">
        <f t="shared" si="18"/>
        <v>0</v>
      </c>
      <c r="DP26" s="3">
        <f t="shared" si="18"/>
        <v>0</v>
      </c>
      <c r="DQ26" s="3">
        <f t="shared" si="18"/>
        <v>0</v>
      </c>
      <c r="DR26" s="3">
        <f t="shared" si="18"/>
        <v>0</v>
      </c>
      <c r="DS26" s="3">
        <f t="shared" si="18"/>
        <v>0</v>
      </c>
      <c r="DT26" s="3">
        <f t="shared" si="18"/>
        <v>0</v>
      </c>
      <c r="DU26" s="3">
        <f t="shared" si="18"/>
        <v>0</v>
      </c>
      <c r="DV26" s="3">
        <f t="shared" si="18"/>
        <v>0</v>
      </c>
      <c r="DW26" s="3">
        <f t="shared" si="18"/>
        <v>0</v>
      </c>
      <c r="DX26" s="3">
        <f t="shared" si="18"/>
        <v>0</v>
      </c>
      <c r="DY26" s="3">
        <f t="shared" si="18"/>
        <v>0</v>
      </c>
      <c r="DZ26" s="3">
        <f t="shared" si="18"/>
        <v>0</v>
      </c>
      <c r="EA26" s="3">
        <f t="shared" si="18"/>
        <v>0</v>
      </c>
      <c r="EB26" s="3">
        <f t="shared" si="18"/>
        <v>0</v>
      </c>
      <c r="EC26" s="3">
        <f t="shared" si="18"/>
        <v>0</v>
      </c>
      <c r="ED26" s="3">
        <f t="shared" si="18"/>
        <v>0</v>
      </c>
      <c r="EE26" s="3">
        <f t="shared" si="18"/>
        <v>0</v>
      </c>
      <c r="EF26" s="3">
        <f t="shared" si="18"/>
        <v>0</v>
      </c>
      <c r="EG26" s="3">
        <f t="shared" si="18"/>
        <v>0</v>
      </c>
      <c r="EH26" s="3">
        <f t="shared" si="18"/>
        <v>0</v>
      </c>
      <c r="EI26" s="3">
        <f t="shared" si="18"/>
        <v>0</v>
      </c>
      <c r="EJ26" s="3">
        <f t="shared" si="18"/>
        <v>0</v>
      </c>
      <c r="EK26" s="3">
        <f t="shared" si="18"/>
        <v>0</v>
      </c>
      <c r="EL26" s="3">
        <f t="shared" si="18"/>
        <v>0</v>
      </c>
      <c r="EM26" s="3">
        <f t="shared" ref="EM26:FR26" si="19">EM108</f>
        <v>0</v>
      </c>
      <c r="EN26" s="3">
        <f t="shared" si="19"/>
        <v>0</v>
      </c>
      <c r="EO26" s="3">
        <f t="shared" si="19"/>
        <v>0</v>
      </c>
      <c r="EP26" s="3">
        <f t="shared" si="19"/>
        <v>0</v>
      </c>
      <c r="EQ26" s="3">
        <f t="shared" si="19"/>
        <v>0</v>
      </c>
      <c r="ER26" s="3">
        <f t="shared" si="19"/>
        <v>0</v>
      </c>
      <c r="ES26" s="3">
        <f t="shared" si="19"/>
        <v>0</v>
      </c>
      <c r="ET26" s="3">
        <f t="shared" si="19"/>
        <v>0</v>
      </c>
      <c r="EU26" s="3">
        <f t="shared" si="19"/>
        <v>0</v>
      </c>
      <c r="EV26" s="3">
        <f t="shared" si="19"/>
        <v>0</v>
      </c>
      <c r="EW26" s="3">
        <f t="shared" si="19"/>
        <v>0</v>
      </c>
      <c r="EX26" s="3">
        <f t="shared" si="19"/>
        <v>0</v>
      </c>
      <c r="EY26" s="3">
        <f t="shared" si="19"/>
        <v>0</v>
      </c>
      <c r="EZ26" s="3">
        <f t="shared" si="19"/>
        <v>0</v>
      </c>
      <c r="FA26" s="3">
        <f t="shared" si="19"/>
        <v>0</v>
      </c>
      <c r="FB26" s="3">
        <f t="shared" si="19"/>
        <v>0</v>
      </c>
      <c r="FC26" s="3">
        <f t="shared" si="19"/>
        <v>0</v>
      </c>
      <c r="FD26" s="3">
        <f t="shared" si="19"/>
        <v>0</v>
      </c>
      <c r="FE26" s="3">
        <f t="shared" si="19"/>
        <v>0</v>
      </c>
      <c r="FF26" s="3">
        <f t="shared" si="19"/>
        <v>0</v>
      </c>
      <c r="FG26" s="3">
        <f t="shared" si="19"/>
        <v>0</v>
      </c>
      <c r="FH26" s="3">
        <f t="shared" si="19"/>
        <v>0</v>
      </c>
      <c r="FI26" s="3">
        <f t="shared" si="19"/>
        <v>0</v>
      </c>
      <c r="FJ26" s="3">
        <f t="shared" si="19"/>
        <v>0</v>
      </c>
      <c r="FK26" s="3">
        <f t="shared" si="19"/>
        <v>0</v>
      </c>
      <c r="FL26" s="3">
        <f t="shared" si="19"/>
        <v>0</v>
      </c>
      <c r="FM26" s="3">
        <f t="shared" si="19"/>
        <v>0</v>
      </c>
      <c r="FN26" s="3">
        <f t="shared" si="19"/>
        <v>0</v>
      </c>
      <c r="FO26" s="3">
        <f t="shared" si="19"/>
        <v>0</v>
      </c>
      <c r="FP26" s="3">
        <f t="shared" si="19"/>
        <v>0</v>
      </c>
      <c r="FQ26" s="3">
        <f t="shared" si="19"/>
        <v>0</v>
      </c>
      <c r="FR26" s="3">
        <f t="shared" si="19"/>
        <v>0</v>
      </c>
      <c r="FS26" s="3">
        <f t="shared" ref="FS26:GX26" si="20">FS108</f>
        <v>0</v>
      </c>
      <c r="FT26" s="3">
        <f t="shared" si="20"/>
        <v>0</v>
      </c>
      <c r="FU26" s="3">
        <f t="shared" si="20"/>
        <v>0</v>
      </c>
      <c r="FV26" s="3">
        <f t="shared" si="20"/>
        <v>0</v>
      </c>
      <c r="FW26" s="3">
        <f t="shared" si="20"/>
        <v>0</v>
      </c>
      <c r="FX26" s="3">
        <f t="shared" si="20"/>
        <v>0</v>
      </c>
      <c r="FY26" s="3">
        <f t="shared" si="20"/>
        <v>0</v>
      </c>
      <c r="FZ26" s="3">
        <f t="shared" si="20"/>
        <v>0</v>
      </c>
      <c r="GA26" s="3">
        <f t="shared" si="20"/>
        <v>0</v>
      </c>
      <c r="GB26" s="3">
        <f t="shared" si="20"/>
        <v>0</v>
      </c>
      <c r="GC26" s="3">
        <f t="shared" si="20"/>
        <v>0</v>
      </c>
      <c r="GD26" s="3">
        <f t="shared" si="20"/>
        <v>0</v>
      </c>
      <c r="GE26" s="3">
        <f t="shared" si="20"/>
        <v>0</v>
      </c>
      <c r="GF26" s="3">
        <f t="shared" si="20"/>
        <v>0</v>
      </c>
      <c r="GG26" s="3">
        <f t="shared" si="20"/>
        <v>0</v>
      </c>
      <c r="GH26" s="3">
        <f t="shared" si="20"/>
        <v>0</v>
      </c>
      <c r="GI26" s="3">
        <f t="shared" si="20"/>
        <v>0</v>
      </c>
      <c r="GJ26" s="3">
        <f t="shared" si="20"/>
        <v>0</v>
      </c>
      <c r="GK26" s="3">
        <f t="shared" si="20"/>
        <v>0</v>
      </c>
      <c r="GL26" s="3">
        <f t="shared" si="20"/>
        <v>0</v>
      </c>
      <c r="GM26" s="3">
        <f t="shared" si="20"/>
        <v>0</v>
      </c>
      <c r="GN26" s="3">
        <f t="shared" si="20"/>
        <v>0</v>
      </c>
      <c r="GO26" s="3">
        <f t="shared" si="20"/>
        <v>0</v>
      </c>
      <c r="GP26" s="3">
        <f t="shared" si="20"/>
        <v>0</v>
      </c>
      <c r="GQ26" s="3">
        <f t="shared" si="20"/>
        <v>0</v>
      </c>
      <c r="GR26" s="3">
        <f t="shared" si="20"/>
        <v>0</v>
      </c>
      <c r="GS26" s="3">
        <f t="shared" si="20"/>
        <v>0</v>
      </c>
      <c r="GT26" s="3">
        <f t="shared" si="20"/>
        <v>0</v>
      </c>
      <c r="GU26" s="3">
        <f t="shared" si="20"/>
        <v>0</v>
      </c>
      <c r="GV26" s="3">
        <f t="shared" si="20"/>
        <v>0</v>
      </c>
      <c r="GW26" s="3">
        <f t="shared" si="20"/>
        <v>0</v>
      </c>
      <c r="GX26" s="3">
        <f t="shared" si="20"/>
        <v>0</v>
      </c>
    </row>
    <row r="28" spans="1:245" x14ac:dyDescent="0.2">
      <c r="A28">
        <v>17</v>
      </c>
      <c r="B28">
        <v>1</v>
      </c>
      <c r="C28">
        <f>ROW(SmtRes!A3)</f>
        <v>3</v>
      </c>
      <c r="D28">
        <f>ROW(EtalonRes!A3)</f>
        <v>3</v>
      </c>
      <c r="E28" t="s">
        <v>15</v>
      </c>
      <c r="F28" t="s">
        <v>16</v>
      </c>
      <c r="G28" t="s">
        <v>17</v>
      </c>
      <c r="H28" t="s">
        <v>18</v>
      </c>
      <c r="I28">
        <f>ROUND(9.36/100,9)</f>
        <v>9.3600000000000003E-2</v>
      </c>
      <c r="J28">
        <v>0</v>
      </c>
      <c r="O28">
        <f t="shared" ref="O28:O59" si="21">ROUND(CP28,2)</f>
        <v>679.92</v>
      </c>
      <c r="P28">
        <f t="shared" ref="P28:P59" si="22">ROUND(CQ28*I28,2)</f>
        <v>0</v>
      </c>
      <c r="Q28">
        <f t="shared" ref="Q28:Q59" si="23">ROUND(CR28*I28,2)</f>
        <v>151.96</v>
      </c>
      <c r="R28">
        <f t="shared" ref="R28:R59" si="24">ROUND(CS28*I28,2)</f>
        <v>65.63</v>
      </c>
      <c r="S28">
        <f t="shared" ref="S28:S59" si="25">ROUND(CT28*I28,2)</f>
        <v>527.96</v>
      </c>
      <c r="T28">
        <f t="shared" ref="T28:T59" si="26">ROUND(CU28*I28,2)</f>
        <v>0</v>
      </c>
      <c r="U28">
        <f t="shared" ref="U28:U59" si="27">CV28*I28</f>
        <v>9.7259759999999993</v>
      </c>
      <c r="V28">
        <f t="shared" ref="V28:V59" si="28">CW28*I28</f>
        <v>0.724464</v>
      </c>
      <c r="W28">
        <f t="shared" ref="W28:W59" si="29">ROUND(CX28*I28,2)</f>
        <v>0</v>
      </c>
      <c r="X28">
        <f t="shared" ref="X28:X59" si="30">ROUND(CY28,2)</f>
        <v>587.65</v>
      </c>
      <c r="Y28">
        <f t="shared" ref="Y28:Y59" si="31">ROUND(CZ28,2)</f>
        <v>356.15</v>
      </c>
      <c r="AA28">
        <v>16812721</v>
      </c>
      <c r="AB28">
        <f t="shared" ref="AB28:AB59" si="32">ROUND((AC28+AD28+AF28),2)</f>
        <v>1082.58</v>
      </c>
      <c r="AC28">
        <f>ROUND((ES28),2)</f>
        <v>0</v>
      </c>
      <c r="AD28">
        <f>ROUND((((ET28)-(EU28))+AE28),2)</f>
        <v>241.95</v>
      </c>
      <c r="AE28">
        <f>ROUND((EU28),2)</f>
        <v>104.49</v>
      </c>
      <c r="AF28">
        <f>ROUND((EV28),2)</f>
        <v>840.63</v>
      </c>
      <c r="AG28">
        <f t="shared" ref="AG28:AG59" si="33">ROUND((AP28),2)</f>
        <v>0</v>
      </c>
      <c r="AH28">
        <f>(EW28)</f>
        <v>103.91</v>
      </c>
      <c r="AI28">
        <f>(EX28)</f>
        <v>7.74</v>
      </c>
      <c r="AJ28">
        <f t="shared" ref="AJ28:AJ59" si="34">(AS28)</f>
        <v>0</v>
      </c>
      <c r="AK28">
        <v>1082.58</v>
      </c>
      <c r="AL28">
        <v>0</v>
      </c>
      <c r="AM28">
        <v>241.95</v>
      </c>
      <c r="AN28">
        <v>104.49</v>
      </c>
      <c r="AO28">
        <v>840.63</v>
      </c>
      <c r="AP28">
        <v>0</v>
      </c>
      <c r="AQ28">
        <v>103.91</v>
      </c>
      <c r="AR28">
        <v>7.74</v>
      </c>
      <c r="AS28">
        <v>0</v>
      </c>
      <c r="AT28">
        <v>99</v>
      </c>
      <c r="AU28">
        <v>60</v>
      </c>
      <c r="AV28">
        <v>1</v>
      </c>
      <c r="AW28">
        <v>1</v>
      </c>
      <c r="AZ28">
        <v>6.71</v>
      </c>
      <c r="BA28">
        <v>6.71</v>
      </c>
      <c r="BB28">
        <v>6.71</v>
      </c>
      <c r="BC28">
        <v>6.71</v>
      </c>
      <c r="BD28" t="s">
        <v>6</v>
      </c>
      <c r="BE28" t="s">
        <v>6</v>
      </c>
      <c r="BF28" t="s">
        <v>6</v>
      </c>
      <c r="BG28" t="s">
        <v>6</v>
      </c>
      <c r="BH28">
        <v>0</v>
      </c>
      <c r="BI28">
        <v>1</v>
      </c>
      <c r="BJ28" t="s">
        <v>19</v>
      </c>
      <c r="BM28">
        <v>46001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6.71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110</v>
      </c>
      <c r="CA28">
        <v>70</v>
      </c>
      <c r="CE28">
        <v>0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ref="CP28:CP59" si="35">(P28+Q28+S28)</f>
        <v>679.92000000000007</v>
      </c>
      <c r="CQ28">
        <f t="shared" ref="CQ28:CQ59" si="36">AC28*BC28</f>
        <v>0</v>
      </c>
      <c r="CR28">
        <f t="shared" ref="CR28:CR59" si="37">AD28*BB28</f>
        <v>1623.4845</v>
      </c>
      <c r="CS28">
        <f t="shared" ref="CS28:CS59" si="38">AE28*BS28</f>
        <v>701.12789999999995</v>
      </c>
      <c r="CT28">
        <f t="shared" ref="CT28:CT59" si="39">AF28*BA28</f>
        <v>5640.6273000000001</v>
      </c>
      <c r="CU28">
        <f t="shared" ref="CU28:CU59" si="40">AG28</f>
        <v>0</v>
      </c>
      <c r="CV28">
        <f t="shared" ref="CV28:CV59" si="41">AH28</f>
        <v>103.91</v>
      </c>
      <c r="CW28">
        <f t="shared" ref="CW28:CW59" si="42">AI28</f>
        <v>7.74</v>
      </c>
      <c r="CX28">
        <f t="shared" ref="CX28:CX59" si="43">AJ28</f>
        <v>0</v>
      </c>
      <c r="CY28">
        <f t="shared" ref="CY28:CY59" si="44">(((S28+R28)*AT28)/100)</f>
        <v>587.65410000000008</v>
      </c>
      <c r="CZ28">
        <f t="shared" ref="CZ28:CZ59" si="45">(((S28+R28)*AU28)/100)</f>
        <v>356.154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1005</v>
      </c>
      <c r="DV28" t="s">
        <v>18</v>
      </c>
      <c r="DW28" t="s">
        <v>18</v>
      </c>
      <c r="DX28">
        <v>100</v>
      </c>
      <c r="EE28">
        <v>16510555</v>
      </c>
      <c r="EF28">
        <v>2</v>
      </c>
      <c r="EG28" t="s">
        <v>20</v>
      </c>
      <c r="EH28">
        <v>0</v>
      </c>
      <c r="EI28" t="s">
        <v>6</v>
      </c>
      <c r="EJ28">
        <v>1</v>
      </c>
      <c r="EK28">
        <v>46001</v>
      </c>
      <c r="EL28" t="s">
        <v>21</v>
      </c>
      <c r="EM28" t="s">
        <v>22</v>
      </c>
      <c r="EO28" t="s">
        <v>6</v>
      </c>
      <c r="EQ28">
        <v>131072</v>
      </c>
      <c r="ER28">
        <v>1082.58</v>
      </c>
      <c r="ES28">
        <v>0</v>
      </c>
      <c r="ET28">
        <v>241.95</v>
      </c>
      <c r="EU28">
        <v>104.49</v>
      </c>
      <c r="EV28">
        <v>840.63</v>
      </c>
      <c r="EW28">
        <v>103.91</v>
      </c>
      <c r="EX28">
        <v>7.74</v>
      </c>
      <c r="EY28">
        <v>0</v>
      </c>
      <c r="FQ28">
        <v>0</v>
      </c>
      <c r="FR28">
        <f t="shared" ref="FR28:FR59" si="46">ROUND(IF(AND(BH28=3,BI28=3),P28,0),2)</f>
        <v>0</v>
      </c>
      <c r="FS28">
        <v>0</v>
      </c>
      <c r="FT28" t="s">
        <v>23</v>
      </c>
      <c r="FU28" t="s">
        <v>24</v>
      </c>
      <c r="FX28">
        <v>99</v>
      </c>
      <c r="FY28">
        <v>59.5</v>
      </c>
      <c r="GA28" t="s">
        <v>6</v>
      </c>
      <c r="GD28">
        <v>0</v>
      </c>
      <c r="GF28">
        <v>714913370</v>
      </c>
      <c r="GG28">
        <v>1</v>
      </c>
      <c r="GH28">
        <v>1</v>
      </c>
      <c r="GI28">
        <v>4</v>
      </c>
      <c r="GJ28">
        <v>0</v>
      </c>
      <c r="GK28">
        <f>ROUND(R28*(R12)/100,2)</f>
        <v>0</v>
      </c>
      <c r="GL28">
        <f t="shared" ref="GL28:GL59" si="47">ROUND(IF(AND(BH28=3,BI28=3,FS28&lt;&gt;0),P28,0),2)</f>
        <v>0</v>
      </c>
      <c r="GM28">
        <f t="shared" ref="GM28:GM59" si="48">ROUND(O28+X28+Y28+GK28,2)+GX28</f>
        <v>1623.72</v>
      </c>
      <c r="GN28">
        <f t="shared" ref="GN28:GN59" si="49">IF(OR(BI28=0,BI28=1),ROUND(O28+X28+Y28+GK28,2),0)</f>
        <v>1623.72</v>
      </c>
      <c r="GO28">
        <f t="shared" ref="GO28:GO59" si="50">IF(BI28=2,ROUND(O28+X28+Y28+GK28,2),0)</f>
        <v>0</v>
      </c>
      <c r="GP28">
        <f t="shared" ref="GP28:GP59" si="51">IF(BI28=4,ROUND(O28+X28+Y28+GK28,2)+GX28,0)</f>
        <v>0</v>
      </c>
      <c r="GR28">
        <v>0</v>
      </c>
      <c r="GS28">
        <v>3</v>
      </c>
      <c r="GT28">
        <v>0</v>
      </c>
      <c r="GU28" t="s">
        <v>6</v>
      </c>
      <c r="GV28">
        <f t="shared" ref="GV28:GV59" si="52">ROUND((GT28),2)</f>
        <v>0</v>
      </c>
      <c r="GW28">
        <v>1</v>
      </c>
      <c r="GX28">
        <f t="shared" ref="GX28:GX59" si="53">ROUND(HC28*I28,2)</f>
        <v>0</v>
      </c>
      <c r="HA28">
        <v>0</v>
      </c>
      <c r="HB28">
        <v>0</v>
      </c>
      <c r="HC28">
        <f t="shared" ref="HC28:HC59" si="54">GV28*GW28</f>
        <v>0</v>
      </c>
      <c r="IK28">
        <v>0</v>
      </c>
    </row>
    <row r="29" spans="1:245" x14ac:dyDescent="0.2">
      <c r="A29">
        <v>17</v>
      </c>
      <c r="B29">
        <v>1</v>
      </c>
      <c r="C29">
        <f>ROW(SmtRes!A10)</f>
        <v>10</v>
      </c>
      <c r="D29">
        <f>ROW(EtalonRes!A12)</f>
        <v>12</v>
      </c>
      <c r="E29" t="s">
        <v>25</v>
      </c>
      <c r="F29" t="s">
        <v>26</v>
      </c>
      <c r="G29" t="s">
        <v>27</v>
      </c>
      <c r="H29" t="s">
        <v>28</v>
      </c>
      <c r="I29">
        <v>8.74</v>
      </c>
      <c r="J29">
        <v>0</v>
      </c>
      <c r="O29">
        <f t="shared" si="21"/>
        <v>1569.35</v>
      </c>
      <c r="P29">
        <f t="shared" si="22"/>
        <v>0</v>
      </c>
      <c r="Q29">
        <f t="shared" si="23"/>
        <v>591.73</v>
      </c>
      <c r="R29">
        <f t="shared" si="24"/>
        <v>80.930000000000007</v>
      </c>
      <c r="S29">
        <f t="shared" si="25"/>
        <v>977.62</v>
      </c>
      <c r="T29">
        <f t="shared" si="26"/>
        <v>0</v>
      </c>
      <c r="U29">
        <f t="shared" si="27"/>
        <v>14.683199999999999</v>
      </c>
      <c r="V29">
        <f t="shared" si="28"/>
        <v>1.04006</v>
      </c>
      <c r="W29">
        <f t="shared" si="29"/>
        <v>0</v>
      </c>
      <c r="X29">
        <f t="shared" si="30"/>
        <v>857.43</v>
      </c>
      <c r="Y29">
        <f t="shared" si="31"/>
        <v>762.16</v>
      </c>
      <c r="AA29">
        <v>16812721</v>
      </c>
      <c r="AB29">
        <f t="shared" si="32"/>
        <v>26.76</v>
      </c>
      <c r="AC29">
        <f>ROUND(((ES29*0)),2)</f>
        <v>0</v>
      </c>
      <c r="AD29">
        <f>ROUND(((((ET29*0.7))-((EU29*0.7)))+AE29),2)</f>
        <v>10.09</v>
      </c>
      <c r="AE29">
        <f>ROUND(((EU29*0.7)),2)</f>
        <v>1.38</v>
      </c>
      <c r="AF29">
        <f>ROUND(((EV29*0.7)),2)</f>
        <v>16.670000000000002</v>
      </c>
      <c r="AG29">
        <f t="shared" si="33"/>
        <v>0</v>
      </c>
      <c r="AH29">
        <f>((EW29*0.7))</f>
        <v>1.68</v>
      </c>
      <c r="AI29">
        <f>((EX29*0.7))</f>
        <v>0.11899999999999999</v>
      </c>
      <c r="AJ29">
        <f t="shared" si="34"/>
        <v>0</v>
      </c>
      <c r="AK29">
        <v>63.94</v>
      </c>
      <c r="AL29">
        <v>25.72</v>
      </c>
      <c r="AM29">
        <v>14.41</v>
      </c>
      <c r="AN29">
        <v>1.97</v>
      </c>
      <c r="AO29">
        <v>23.81</v>
      </c>
      <c r="AP29">
        <v>0</v>
      </c>
      <c r="AQ29">
        <v>2.4</v>
      </c>
      <c r="AR29">
        <v>0.17</v>
      </c>
      <c r="AS29">
        <v>0</v>
      </c>
      <c r="AT29">
        <v>81</v>
      </c>
      <c r="AU29">
        <v>72</v>
      </c>
      <c r="AV29">
        <v>1</v>
      </c>
      <c r="AW29">
        <v>1</v>
      </c>
      <c r="AZ29">
        <v>6.71</v>
      </c>
      <c r="BA29">
        <v>6.71</v>
      </c>
      <c r="BB29">
        <v>6.71</v>
      </c>
      <c r="BC29">
        <v>6.71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29</v>
      </c>
      <c r="BM29">
        <v>9001</v>
      </c>
      <c r="BN29">
        <v>0</v>
      </c>
      <c r="BO29" t="s">
        <v>6</v>
      </c>
      <c r="BP29">
        <v>0</v>
      </c>
      <c r="BQ29">
        <v>2</v>
      </c>
      <c r="BR29">
        <v>0</v>
      </c>
      <c r="BS29">
        <v>6.71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90</v>
      </c>
      <c r="CA29">
        <v>85</v>
      </c>
      <c r="CE29">
        <v>0</v>
      </c>
      <c r="CF29">
        <v>0</v>
      </c>
      <c r="CG29">
        <v>0</v>
      </c>
      <c r="CM29">
        <v>0</v>
      </c>
      <c r="CN29" t="s">
        <v>30</v>
      </c>
      <c r="CO29">
        <v>0</v>
      </c>
      <c r="CP29">
        <f t="shared" si="35"/>
        <v>1569.35</v>
      </c>
      <c r="CQ29">
        <f t="shared" si="36"/>
        <v>0</v>
      </c>
      <c r="CR29">
        <f t="shared" si="37"/>
        <v>67.703900000000004</v>
      </c>
      <c r="CS29">
        <f t="shared" si="38"/>
        <v>9.2597999999999985</v>
      </c>
      <c r="CT29">
        <f t="shared" si="39"/>
        <v>111.85570000000001</v>
      </c>
      <c r="CU29">
        <f t="shared" si="40"/>
        <v>0</v>
      </c>
      <c r="CV29">
        <f t="shared" si="41"/>
        <v>1.68</v>
      </c>
      <c r="CW29">
        <f t="shared" si="42"/>
        <v>0.11899999999999999</v>
      </c>
      <c r="CX29">
        <f t="shared" si="43"/>
        <v>0</v>
      </c>
      <c r="CY29">
        <f t="shared" si="44"/>
        <v>857.42550000000006</v>
      </c>
      <c r="CZ29">
        <f t="shared" si="45"/>
        <v>762.15599999999995</v>
      </c>
      <c r="DC29" t="s">
        <v>6</v>
      </c>
      <c r="DD29" t="s">
        <v>31</v>
      </c>
      <c r="DE29" t="s">
        <v>32</v>
      </c>
      <c r="DF29" t="s">
        <v>32</v>
      </c>
      <c r="DG29" t="s">
        <v>32</v>
      </c>
      <c r="DH29" t="s">
        <v>6</v>
      </c>
      <c r="DI29" t="s">
        <v>32</v>
      </c>
      <c r="DJ29" t="s">
        <v>32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1005</v>
      </c>
      <c r="DV29" t="s">
        <v>28</v>
      </c>
      <c r="DW29" t="s">
        <v>28</v>
      </c>
      <c r="DX29">
        <v>1</v>
      </c>
      <c r="EE29">
        <v>16510486</v>
      </c>
      <c r="EF29">
        <v>2</v>
      </c>
      <c r="EG29" t="s">
        <v>20</v>
      </c>
      <c r="EH29">
        <v>0</v>
      </c>
      <c r="EI29" t="s">
        <v>6</v>
      </c>
      <c r="EJ29">
        <v>1</v>
      </c>
      <c r="EK29">
        <v>9001</v>
      </c>
      <c r="EL29" t="s">
        <v>33</v>
      </c>
      <c r="EM29" t="s">
        <v>34</v>
      </c>
      <c r="EO29" t="s">
        <v>35</v>
      </c>
      <c r="EQ29">
        <v>0</v>
      </c>
      <c r="ER29">
        <v>63.94</v>
      </c>
      <c r="ES29">
        <v>25.72</v>
      </c>
      <c r="ET29">
        <v>14.41</v>
      </c>
      <c r="EU29">
        <v>1.97</v>
      </c>
      <c r="EV29">
        <v>23.81</v>
      </c>
      <c r="EW29">
        <v>2.4</v>
      </c>
      <c r="EX29">
        <v>0.17</v>
      </c>
      <c r="EY29">
        <v>0</v>
      </c>
      <c r="FQ29">
        <v>0</v>
      </c>
      <c r="FR29">
        <f t="shared" si="46"/>
        <v>0</v>
      </c>
      <c r="FS29">
        <v>0</v>
      </c>
      <c r="FT29" t="s">
        <v>23</v>
      </c>
      <c r="FU29" t="s">
        <v>24</v>
      </c>
      <c r="FX29">
        <v>81</v>
      </c>
      <c r="FY29">
        <v>72.25</v>
      </c>
      <c r="GA29" t="s">
        <v>6</v>
      </c>
      <c r="GD29">
        <v>0</v>
      </c>
      <c r="GF29">
        <v>-1162533564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7"/>
        <v>0</v>
      </c>
      <c r="GM29">
        <f t="shared" si="48"/>
        <v>3188.94</v>
      </c>
      <c r="GN29">
        <f t="shared" si="49"/>
        <v>3188.94</v>
      </c>
      <c r="GO29">
        <f t="shared" si="50"/>
        <v>0</v>
      </c>
      <c r="GP29">
        <f t="shared" si="51"/>
        <v>0</v>
      </c>
      <c r="GR29">
        <v>0</v>
      </c>
      <c r="GS29">
        <v>3</v>
      </c>
      <c r="GT29">
        <v>0</v>
      </c>
      <c r="GU29" t="s">
        <v>6</v>
      </c>
      <c r="GV29">
        <f t="shared" si="52"/>
        <v>0</v>
      </c>
      <c r="GW29">
        <v>1</v>
      </c>
      <c r="GX29">
        <f t="shared" si="53"/>
        <v>0</v>
      </c>
      <c r="HA29">
        <v>0</v>
      </c>
      <c r="HB29">
        <v>0</v>
      </c>
      <c r="HC29">
        <f t="shared" si="54"/>
        <v>0</v>
      </c>
      <c r="IK29">
        <v>0</v>
      </c>
    </row>
    <row r="30" spans="1:245" x14ac:dyDescent="0.2">
      <c r="A30">
        <v>17</v>
      </c>
      <c r="B30">
        <v>1</v>
      </c>
      <c r="C30">
        <f>ROW(SmtRes!A11)</f>
        <v>11</v>
      </c>
      <c r="D30">
        <f>ROW(EtalonRes!A14)</f>
        <v>14</v>
      </c>
      <c r="E30" t="s">
        <v>36</v>
      </c>
      <c r="F30" t="s">
        <v>37</v>
      </c>
      <c r="G30" t="s">
        <v>38</v>
      </c>
      <c r="H30" t="s">
        <v>39</v>
      </c>
      <c r="I30">
        <f>ROUND(95.6/100,9)</f>
        <v>0.95599999999999996</v>
      </c>
      <c r="J30">
        <v>0</v>
      </c>
      <c r="O30">
        <f t="shared" si="21"/>
        <v>188.66</v>
      </c>
      <c r="P30">
        <f t="shared" si="22"/>
        <v>0</v>
      </c>
      <c r="Q30">
        <f t="shared" si="23"/>
        <v>0</v>
      </c>
      <c r="R30">
        <f t="shared" si="24"/>
        <v>0</v>
      </c>
      <c r="S30">
        <f t="shared" si="25"/>
        <v>188.66</v>
      </c>
      <c r="T30">
        <f t="shared" si="26"/>
        <v>0</v>
      </c>
      <c r="U30">
        <f t="shared" si="27"/>
        <v>3.60412</v>
      </c>
      <c r="V30">
        <f t="shared" si="28"/>
        <v>0</v>
      </c>
      <c r="W30">
        <f t="shared" si="29"/>
        <v>0</v>
      </c>
      <c r="X30">
        <f t="shared" si="30"/>
        <v>150.93</v>
      </c>
      <c r="Y30">
        <f t="shared" si="31"/>
        <v>128.29</v>
      </c>
      <c r="AA30">
        <v>16812721</v>
      </c>
      <c r="AB30">
        <f t="shared" si="32"/>
        <v>29.41</v>
      </c>
      <c r="AC30">
        <f t="shared" ref="AC30:AC35" si="55">ROUND((ES30),2)</f>
        <v>0</v>
      </c>
      <c r="AD30">
        <f t="shared" ref="AD30:AD35" si="56">ROUND((((ET30)-(EU30))+AE30),2)</f>
        <v>0</v>
      </c>
      <c r="AE30">
        <f t="shared" ref="AE30:AF35" si="57">ROUND((EU30),2)</f>
        <v>0</v>
      </c>
      <c r="AF30">
        <f t="shared" si="57"/>
        <v>29.41</v>
      </c>
      <c r="AG30">
        <f t="shared" si="33"/>
        <v>0</v>
      </c>
      <c r="AH30">
        <f t="shared" ref="AH30:AI35" si="58">(EW30)</f>
        <v>3.77</v>
      </c>
      <c r="AI30">
        <f t="shared" si="58"/>
        <v>0</v>
      </c>
      <c r="AJ30">
        <f t="shared" si="34"/>
        <v>0</v>
      </c>
      <c r="AK30">
        <v>29.41</v>
      </c>
      <c r="AL30">
        <v>0</v>
      </c>
      <c r="AM30">
        <v>0</v>
      </c>
      <c r="AN30">
        <v>0</v>
      </c>
      <c r="AO30">
        <v>29.41</v>
      </c>
      <c r="AP30">
        <v>0</v>
      </c>
      <c r="AQ30">
        <v>3.77</v>
      </c>
      <c r="AR30">
        <v>0</v>
      </c>
      <c r="AS30">
        <v>0</v>
      </c>
      <c r="AT30">
        <v>80</v>
      </c>
      <c r="AU30">
        <v>68</v>
      </c>
      <c r="AV30">
        <v>1</v>
      </c>
      <c r="AW30">
        <v>1</v>
      </c>
      <c r="AZ30">
        <v>6.71</v>
      </c>
      <c r="BA30">
        <v>6.71</v>
      </c>
      <c r="BB30">
        <v>6.71</v>
      </c>
      <c r="BC30">
        <v>6.71</v>
      </c>
      <c r="BD30" t="s">
        <v>6</v>
      </c>
      <c r="BE30" t="s">
        <v>6</v>
      </c>
      <c r="BF30" t="s">
        <v>6</v>
      </c>
      <c r="BG30" t="s">
        <v>6</v>
      </c>
      <c r="BH30">
        <v>0</v>
      </c>
      <c r="BI30">
        <v>1</v>
      </c>
      <c r="BJ30" t="s">
        <v>40</v>
      </c>
      <c r="BM30">
        <v>57001</v>
      </c>
      <c r="BN30">
        <v>0</v>
      </c>
      <c r="BO30" t="s">
        <v>6</v>
      </c>
      <c r="BP30">
        <v>0</v>
      </c>
      <c r="BQ30">
        <v>6</v>
      </c>
      <c r="BR30">
        <v>0</v>
      </c>
      <c r="BS30">
        <v>6.71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80</v>
      </c>
      <c r="CA30">
        <v>68</v>
      </c>
      <c r="CE30">
        <v>0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35"/>
        <v>188.66</v>
      </c>
      <c r="CQ30">
        <f t="shared" si="36"/>
        <v>0</v>
      </c>
      <c r="CR30">
        <f t="shared" si="37"/>
        <v>0</v>
      </c>
      <c r="CS30">
        <f t="shared" si="38"/>
        <v>0</v>
      </c>
      <c r="CT30">
        <f t="shared" si="39"/>
        <v>197.34110000000001</v>
      </c>
      <c r="CU30">
        <f t="shared" si="40"/>
        <v>0</v>
      </c>
      <c r="CV30">
        <f t="shared" si="41"/>
        <v>3.77</v>
      </c>
      <c r="CW30">
        <f t="shared" si="42"/>
        <v>0</v>
      </c>
      <c r="CX30">
        <f t="shared" si="43"/>
        <v>0</v>
      </c>
      <c r="CY30">
        <f t="shared" si="44"/>
        <v>150.928</v>
      </c>
      <c r="CZ30">
        <f t="shared" si="45"/>
        <v>128.28879999999998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39</v>
      </c>
      <c r="DW30" t="s">
        <v>39</v>
      </c>
      <c r="DX30">
        <v>100</v>
      </c>
      <c r="EE30">
        <v>16510566</v>
      </c>
      <c r="EF30">
        <v>6</v>
      </c>
      <c r="EG30" t="s">
        <v>41</v>
      </c>
      <c r="EH30">
        <v>0</v>
      </c>
      <c r="EI30" t="s">
        <v>6</v>
      </c>
      <c r="EJ30">
        <v>1</v>
      </c>
      <c r="EK30">
        <v>57001</v>
      </c>
      <c r="EL30" t="s">
        <v>42</v>
      </c>
      <c r="EM30" t="s">
        <v>43</v>
      </c>
      <c r="EO30" t="s">
        <v>6</v>
      </c>
      <c r="EQ30">
        <v>131072</v>
      </c>
      <c r="ER30">
        <v>29.41</v>
      </c>
      <c r="ES30">
        <v>0</v>
      </c>
      <c r="ET30">
        <v>0</v>
      </c>
      <c r="EU30">
        <v>0</v>
      </c>
      <c r="EV30">
        <v>29.41</v>
      </c>
      <c r="EW30">
        <v>3.77</v>
      </c>
      <c r="EX30">
        <v>0</v>
      </c>
      <c r="EY30">
        <v>0</v>
      </c>
      <c r="FQ30">
        <v>0</v>
      </c>
      <c r="FR30">
        <f t="shared" si="46"/>
        <v>0</v>
      </c>
      <c r="FS30">
        <v>0</v>
      </c>
      <c r="FX30">
        <v>80</v>
      </c>
      <c r="FY30">
        <v>68</v>
      </c>
      <c r="GA30" t="s">
        <v>6</v>
      </c>
      <c r="GD30">
        <v>0</v>
      </c>
      <c r="GF30">
        <v>-1431764135</v>
      </c>
      <c r="GG30">
        <v>1</v>
      </c>
      <c r="GH30">
        <v>1</v>
      </c>
      <c r="GI30">
        <v>4</v>
      </c>
      <c r="GJ30">
        <v>0</v>
      </c>
      <c r="GK30">
        <f>ROUND(R30*(R12)/100,2)</f>
        <v>0</v>
      </c>
      <c r="GL30">
        <f t="shared" si="47"/>
        <v>0</v>
      </c>
      <c r="GM30">
        <f t="shared" si="48"/>
        <v>467.88</v>
      </c>
      <c r="GN30">
        <f t="shared" si="49"/>
        <v>467.88</v>
      </c>
      <c r="GO30">
        <f t="shared" si="50"/>
        <v>0</v>
      </c>
      <c r="GP30">
        <f t="shared" si="51"/>
        <v>0</v>
      </c>
      <c r="GR30">
        <v>0</v>
      </c>
      <c r="GS30">
        <v>0</v>
      </c>
      <c r="GT30">
        <v>0</v>
      </c>
      <c r="GU30" t="s">
        <v>6</v>
      </c>
      <c r="GV30">
        <f t="shared" si="52"/>
        <v>0</v>
      </c>
      <c r="GW30">
        <v>1</v>
      </c>
      <c r="GX30">
        <f t="shared" si="53"/>
        <v>0</v>
      </c>
      <c r="HA30">
        <v>0</v>
      </c>
      <c r="HB30">
        <v>0</v>
      </c>
      <c r="HC30">
        <f t="shared" si="54"/>
        <v>0</v>
      </c>
      <c r="IK30">
        <v>0</v>
      </c>
    </row>
    <row r="31" spans="1:245" x14ac:dyDescent="0.2">
      <c r="A31">
        <v>17</v>
      </c>
      <c r="B31">
        <v>1</v>
      </c>
      <c r="C31">
        <f>ROW(SmtRes!A14)</f>
        <v>14</v>
      </c>
      <c r="D31">
        <f>ROW(EtalonRes!A18)</f>
        <v>18</v>
      </c>
      <c r="E31" t="s">
        <v>44</v>
      </c>
      <c r="F31" t="s">
        <v>45</v>
      </c>
      <c r="G31" t="s">
        <v>46</v>
      </c>
      <c r="H31" t="s">
        <v>18</v>
      </c>
      <c r="I31">
        <f>ROUND(133.16/100,9)</f>
        <v>1.3315999999999999</v>
      </c>
      <c r="J31">
        <v>0</v>
      </c>
      <c r="O31">
        <f t="shared" si="21"/>
        <v>830.07</v>
      </c>
      <c r="P31">
        <f t="shared" si="22"/>
        <v>0</v>
      </c>
      <c r="Q31">
        <f t="shared" si="23"/>
        <v>36.28</v>
      </c>
      <c r="R31">
        <f t="shared" si="24"/>
        <v>15.73</v>
      </c>
      <c r="S31">
        <f t="shared" si="25"/>
        <v>793.79</v>
      </c>
      <c r="T31">
        <f t="shared" si="26"/>
        <v>0</v>
      </c>
      <c r="U31">
        <f t="shared" si="27"/>
        <v>15.166924</v>
      </c>
      <c r="V31">
        <f t="shared" si="28"/>
        <v>0.17310799999999998</v>
      </c>
      <c r="W31">
        <f t="shared" si="29"/>
        <v>0</v>
      </c>
      <c r="X31">
        <f t="shared" si="30"/>
        <v>647.62</v>
      </c>
      <c r="Y31">
        <f t="shared" si="31"/>
        <v>550.47</v>
      </c>
      <c r="AA31">
        <v>16812721</v>
      </c>
      <c r="AB31">
        <f t="shared" si="32"/>
        <v>92.9</v>
      </c>
      <c r="AC31">
        <f t="shared" si="55"/>
        <v>0</v>
      </c>
      <c r="AD31">
        <f t="shared" si="56"/>
        <v>4.0599999999999996</v>
      </c>
      <c r="AE31">
        <f t="shared" si="57"/>
        <v>1.76</v>
      </c>
      <c r="AF31">
        <f t="shared" si="57"/>
        <v>88.84</v>
      </c>
      <c r="AG31">
        <f t="shared" si="33"/>
        <v>0</v>
      </c>
      <c r="AH31">
        <f t="shared" si="58"/>
        <v>11.39</v>
      </c>
      <c r="AI31">
        <f t="shared" si="58"/>
        <v>0.13</v>
      </c>
      <c r="AJ31">
        <f t="shared" si="34"/>
        <v>0</v>
      </c>
      <c r="AK31">
        <v>92.9</v>
      </c>
      <c r="AL31">
        <v>0</v>
      </c>
      <c r="AM31">
        <v>4.0599999999999996</v>
      </c>
      <c r="AN31">
        <v>1.76</v>
      </c>
      <c r="AO31">
        <v>88.84</v>
      </c>
      <c r="AP31">
        <v>0</v>
      </c>
      <c r="AQ31">
        <v>11.39</v>
      </c>
      <c r="AR31">
        <v>0.13</v>
      </c>
      <c r="AS31">
        <v>0</v>
      </c>
      <c r="AT31">
        <v>80</v>
      </c>
      <c r="AU31">
        <v>68</v>
      </c>
      <c r="AV31">
        <v>1</v>
      </c>
      <c r="AW31">
        <v>1</v>
      </c>
      <c r="AZ31">
        <v>6.71</v>
      </c>
      <c r="BA31">
        <v>6.71</v>
      </c>
      <c r="BB31">
        <v>6.71</v>
      </c>
      <c r="BC31">
        <v>6.71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47</v>
      </c>
      <c r="BM31">
        <v>57001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6.71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80</v>
      </c>
      <c r="CA31">
        <v>68</v>
      </c>
      <c r="CE31">
        <v>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35"/>
        <v>830.06999999999994</v>
      </c>
      <c r="CQ31">
        <f t="shared" si="36"/>
        <v>0</v>
      </c>
      <c r="CR31">
        <f t="shared" si="37"/>
        <v>27.242599999999996</v>
      </c>
      <c r="CS31">
        <f t="shared" si="38"/>
        <v>11.8096</v>
      </c>
      <c r="CT31">
        <f t="shared" si="39"/>
        <v>596.1164</v>
      </c>
      <c r="CU31">
        <f t="shared" si="40"/>
        <v>0</v>
      </c>
      <c r="CV31">
        <f t="shared" si="41"/>
        <v>11.39</v>
      </c>
      <c r="CW31">
        <f t="shared" si="42"/>
        <v>0.13</v>
      </c>
      <c r="CX31">
        <f t="shared" si="43"/>
        <v>0</v>
      </c>
      <c r="CY31">
        <f t="shared" si="44"/>
        <v>647.61599999999999</v>
      </c>
      <c r="CZ31">
        <f t="shared" si="45"/>
        <v>550.47360000000003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18</v>
      </c>
      <c r="DW31" t="s">
        <v>18</v>
      </c>
      <c r="DX31">
        <v>100</v>
      </c>
      <c r="EE31">
        <v>16510566</v>
      </c>
      <c r="EF31">
        <v>6</v>
      </c>
      <c r="EG31" t="s">
        <v>41</v>
      </c>
      <c r="EH31">
        <v>0</v>
      </c>
      <c r="EI31" t="s">
        <v>6</v>
      </c>
      <c r="EJ31">
        <v>1</v>
      </c>
      <c r="EK31">
        <v>57001</v>
      </c>
      <c r="EL31" t="s">
        <v>42</v>
      </c>
      <c r="EM31" t="s">
        <v>43</v>
      </c>
      <c r="EO31" t="s">
        <v>6</v>
      </c>
      <c r="EQ31">
        <v>131072</v>
      </c>
      <c r="ER31">
        <v>92.9</v>
      </c>
      <c r="ES31">
        <v>0</v>
      </c>
      <c r="ET31">
        <v>4.0599999999999996</v>
      </c>
      <c r="EU31">
        <v>1.76</v>
      </c>
      <c r="EV31">
        <v>88.84</v>
      </c>
      <c r="EW31">
        <v>11.39</v>
      </c>
      <c r="EX31">
        <v>0.13</v>
      </c>
      <c r="EY31">
        <v>0</v>
      </c>
      <c r="FQ31">
        <v>0</v>
      </c>
      <c r="FR31">
        <f t="shared" si="46"/>
        <v>0</v>
      </c>
      <c r="FS31">
        <v>0</v>
      </c>
      <c r="FX31">
        <v>80</v>
      </c>
      <c r="FY31">
        <v>68</v>
      </c>
      <c r="GA31" t="s">
        <v>6</v>
      </c>
      <c r="GD31">
        <v>0</v>
      </c>
      <c r="GF31">
        <v>537707280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7"/>
        <v>0</v>
      </c>
      <c r="GM31">
        <f t="shared" si="48"/>
        <v>2028.16</v>
      </c>
      <c r="GN31">
        <f t="shared" si="49"/>
        <v>2028.16</v>
      </c>
      <c r="GO31">
        <f t="shared" si="50"/>
        <v>0</v>
      </c>
      <c r="GP31">
        <f t="shared" si="51"/>
        <v>0</v>
      </c>
      <c r="GR31">
        <v>0</v>
      </c>
      <c r="GS31">
        <v>3</v>
      </c>
      <c r="GT31">
        <v>0</v>
      </c>
      <c r="GU31" t="s">
        <v>6</v>
      </c>
      <c r="GV31">
        <f t="shared" si="52"/>
        <v>0</v>
      </c>
      <c r="GW31">
        <v>1</v>
      </c>
      <c r="GX31">
        <f t="shared" si="53"/>
        <v>0</v>
      </c>
      <c r="HA31">
        <v>0</v>
      </c>
      <c r="HB31">
        <v>0</v>
      </c>
      <c r="HC31">
        <f t="shared" si="54"/>
        <v>0</v>
      </c>
      <c r="IK31">
        <v>0</v>
      </c>
    </row>
    <row r="32" spans="1:245" x14ac:dyDescent="0.2">
      <c r="A32">
        <v>17</v>
      </c>
      <c r="B32">
        <v>1</v>
      </c>
      <c r="C32">
        <f>ROW(SmtRes!A17)</f>
        <v>17</v>
      </c>
      <c r="D32">
        <f>ROW(EtalonRes!A21)</f>
        <v>21</v>
      </c>
      <c r="E32" t="s">
        <v>48</v>
      </c>
      <c r="F32" t="s">
        <v>49</v>
      </c>
      <c r="G32" t="s">
        <v>50</v>
      </c>
      <c r="H32" t="s">
        <v>18</v>
      </c>
      <c r="I32">
        <f>ROUND(1.26/100,9)</f>
        <v>1.26E-2</v>
      </c>
      <c r="J32">
        <v>0</v>
      </c>
      <c r="O32">
        <f t="shared" si="21"/>
        <v>34.99</v>
      </c>
      <c r="P32">
        <f t="shared" si="22"/>
        <v>0</v>
      </c>
      <c r="Q32">
        <f t="shared" si="23"/>
        <v>4.6500000000000004</v>
      </c>
      <c r="R32">
        <f t="shared" si="24"/>
        <v>2.0099999999999998</v>
      </c>
      <c r="S32">
        <f t="shared" si="25"/>
        <v>30.34</v>
      </c>
      <c r="T32">
        <f t="shared" si="26"/>
        <v>0</v>
      </c>
      <c r="U32">
        <f t="shared" si="27"/>
        <v>0.57972599999999996</v>
      </c>
      <c r="V32">
        <f t="shared" si="28"/>
        <v>2.2176000000000001E-2</v>
      </c>
      <c r="W32">
        <f t="shared" si="29"/>
        <v>0</v>
      </c>
      <c r="X32">
        <f t="shared" si="30"/>
        <v>32.03</v>
      </c>
      <c r="Y32">
        <f t="shared" si="31"/>
        <v>19.41</v>
      </c>
      <c r="AA32">
        <v>16812721</v>
      </c>
      <c r="AB32">
        <f t="shared" si="32"/>
        <v>413.9</v>
      </c>
      <c r="AC32">
        <f t="shared" si="55"/>
        <v>0</v>
      </c>
      <c r="AD32">
        <f t="shared" si="56"/>
        <v>55.02</v>
      </c>
      <c r="AE32">
        <f t="shared" si="57"/>
        <v>23.76</v>
      </c>
      <c r="AF32">
        <f t="shared" si="57"/>
        <v>358.88</v>
      </c>
      <c r="AG32">
        <f t="shared" si="33"/>
        <v>0</v>
      </c>
      <c r="AH32">
        <f t="shared" si="58"/>
        <v>46.01</v>
      </c>
      <c r="AI32">
        <f t="shared" si="58"/>
        <v>1.76</v>
      </c>
      <c r="AJ32">
        <f t="shared" si="34"/>
        <v>0</v>
      </c>
      <c r="AK32">
        <v>413.9</v>
      </c>
      <c r="AL32">
        <v>0</v>
      </c>
      <c r="AM32">
        <v>55.02</v>
      </c>
      <c r="AN32">
        <v>23.76</v>
      </c>
      <c r="AO32">
        <v>358.88</v>
      </c>
      <c r="AP32">
        <v>0</v>
      </c>
      <c r="AQ32">
        <v>46.01</v>
      </c>
      <c r="AR32">
        <v>1.76</v>
      </c>
      <c r="AS32">
        <v>0</v>
      </c>
      <c r="AT32">
        <v>99</v>
      </c>
      <c r="AU32">
        <v>60</v>
      </c>
      <c r="AV32">
        <v>1</v>
      </c>
      <c r="AW32">
        <v>1</v>
      </c>
      <c r="AZ32">
        <v>6.71</v>
      </c>
      <c r="BA32">
        <v>6.71</v>
      </c>
      <c r="BB32">
        <v>6.71</v>
      </c>
      <c r="BC32">
        <v>6.71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1</v>
      </c>
      <c r="BJ32" t="s">
        <v>51</v>
      </c>
      <c r="BM32">
        <v>46001</v>
      </c>
      <c r="BN32">
        <v>0</v>
      </c>
      <c r="BO32" t="s">
        <v>6</v>
      </c>
      <c r="BP32">
        <v>0</v>
      </c>
      <c r="BQ32">
        <v>2</v>
      </c>
      <c r="BR32">
        <v>0</v>
      </c>
      <c r="BS32">
        <v>6.71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110</v>
      </c>
      <c r="CA32">
        <v>70</v>
      </c>
      <c r="CE32">
        <v>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35"/>
        <v>34.99</v>
      </c>
      <c r="CQ32">
        <f t="shared" si="36"/>
        <v>0</v>
      </c>
      <c r="CR32">
        <f t="shared" si="37"/>
        <v>369.18420000000003</v>
      </c>
      <c r="CS32">
        <f t="shared" si="38"/>
        <v>159.42960000000002</v>
      </c>
      <c r="CT32">
        <f t="shared" si="39"/>
        <v>2408.0848000000001</v>
      </c>
      <c r="CU32">
        <f t="shared" si="40"/>
        <v>0</v>
      </c>
      <c r="CV32">
        <f t="shared" si="41"/>
        <v>46.01</v>
      </c>
      <c r="CW32">
        <f t="shared" si="42"/>
        <v>1.76</v>
      </c>
      <c r="CX32">
        <f t="shared" si="43"/>
        <v>0</v>
      </c>
      <c r="CY32">
        <f t="shared" si="44"/>
        <v>32.026499999999999</v>
      </c>
      <c r="CZ32">
        <f t="shared" si="45"/>
        <v>19.41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18</v>
      </c>
      <c r="DW32" t="s">
        <v>18</v>
      </c>
      <c r="DX32">
        <v>100</v>
      </c>
      <c r="EE32">
        <v>16510555</v>
      </c>
      <c r="EF32">
        <v>2</v>
      </c>
      <c r="EG32" t="s">
        <v>20</v>
      </c>
      <c r="EH32">
        <v>0</v>
      </c>
      <c r="EI32" t="s">
        <v>6</v>
      </c>
      <c r="EJ32">
        <v>1</v>
      </c>
      <c r="EK32">
        <v>46001</v>
      </c>
      <c r="EL32" t="s">
        <v>21</v>
      </c>
      <c r="EM32" t="s">
        <v>22</v>
      </c>
      <c r="EO32" t="s">
        <v>6</v>
      </c>
      <c r="EQ32">
        <v>0</v>
      </c>
      <c r="ER32">
        <v>413.9</v>
      </c>
      <c r="ES32">
        <v>0</v>
      </c>
      <c r="ET32">
        <v>55.02</v>
      </c>
      <c r="EU32">
        <v>23.76</v>
      </c>
      <c r="EV32">
        <v>358.88</v>
      </c>
      <c r="EW32">
        <v>46.01</v>
      </c>
      <c r="EX32">
        <v>1.76</v>
      </c>
      <c r="EY32">
        <v>0</v>
      </c>
      <c r="FQ32">
        <v>0</v>
      </c>
      <c r="FR32">
        <f t="shared" si="46"/>
        <v>0</v>
      </c>
      <c r="FS32">
        <v>0</v>
      </c>
      <c r="FT32" t="s">
        <v>23</v>
      </c>
      <c r="FU32" t="s">
        <v>24</v>
      </c>
      <c r="FX32">
        <v>99</v>
      </c>
      <c r="FY32">
        <v>59.5</v>
      </c>
      <c r="GA32" t="s">
        <v>6</v>
      </c>
      <c r="GD32">
        <v>0</v>
      </c>
      <c r="GF32">
        <v>-96571562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7"/>
        <v>0</v>
      </c>
      <c r="GM32">
        <f t="shared" si="48"/>
        <v>86.43</v>
      </c>
      <c r="GN32">
        <f t="shared" si="49"/>
        <v>86.43</v>
      </c>
      <c r="GO32">
        <f t="shared" si="50"/>
        <v>0</v>
      </c>
      <c r="GP32">
        <f t="shared" si="51"/>
        <v>0</v>
      </c>
      <c r="GR32">
        <v>0</v>
      </c>
      <c r="GS32">
        <v>3</v>
      </c>
      <c r="GT32">
        <v>0</v>
      </c>
      <c r="GU32" t="s">
        <v>6</v>
      </c>
      <c r="GV32">
        <f t="shared" si="52"/>
        <v>0</v>
      </c>
      <c r="GW32">
        <v>1</v>
      </c>
      <c r="GX32">
        <f t="shared" si="53"/>
        <v>0</v>
      </c>
      <c r="HA32">
        <v>0</v>
      </c>
      <c r="HB32">
        <v>0</v>
      </c>
      <c r="HC32">
        <f t="shared" si="54"/>
        <v>0</v>
      </c>
      <c r="IK32">
        <v>0</v>
      </c>
    </row>
    <row r="33" spans="1:245" x14ac:dyDescent="0.2">
      <c r="A33">
        <v>17</v>
      </c>
      <c r="B33">
        <v>1</v>
      </c>
      <c r="C33">
        <f>ROW(SmtRes!A23)</f>
        <v>23</v>
      </c>
      <c r="D33">
        <f>ROW(EtalonRes!A28)</f>
        <v>28</v>
      </c>
      <c r="E33" t="s">
        <v>52</v>
      </c>
      <c r="F33" t="s">
        <v>53</v>
      </c>
      <c r="G33" t="s">
        <v>54</v>
      </c>
      <c r="H33" t="s">
        <v>55</v>
      </c>
      <c r="I33">
        <f>ROUND(8/100,9)</f>
        <v>0.08</v>
      </c>
      <c r="J33">
        <v>0</v>
      </c>
      <c r="O33">
        <f t="shared" si="21"/>
        <v>231.29</v>
      </c>
      <c r="P33">
        <f t="shared" si="22"/>
        <v>19.62</v>
      </c>
      <c r="Q33">
        <f t="shared" si="23"/>
        <v>0.17</v>
      </c>
      <c r="R33">
        <f t="shared" si="24"/>
        <v>0.08</v>
      </c>
      <c r="S33">
        <f t="shared" si="25"/>
        <v>211.5</v>
      </c>
      <c r="T33">
        <f t="shared" si="26"/>
        <v>0</v>
      </c>
      <c r="U33">
        <f t="shared" si="27"/>
        <v>3.6951999999999998</v>
      </c>
      <c r="V33">
        <f t="shared" si="28"/>
        <v>8.0000000000000004E-4</v>
      </c>
      <c r="W33">
        <f t="shared" si="29"/>
        <v>0</v>
      </c>
      <c r="X33">
        <f t="shared" si="30"/>
        <v>217.93</v>
      </c>
      <c r="Y33">
        <f t="shared" si="31"/>
        <v>126.95</v>
      </c>
      <c r="AA33">
        <v>16812721</v>
      </c>
      <c r="AB33">
        <f t="shared" si="32"/>
        <v>430.86</v>
      </c>
      <c r="AC33">
        <f t="shared" si="55"/>
        <v>36.549999999999997</v>
      </c>
      <c r="AD33">
        <f t="shared" si="56"/>
        <v>0.31</v>
      </c>
      <c r="AE33">
        <f t="shared" si="57"/>
        <v>0.14000000000000001</v>
      </c>
      <c r="AF33">
        <f t="shared" si="57"/>
        <v>394</v>
      </c>
      <c r="AG33">
        <f t="shared" si="33"/>
        <v>0</v>
      </c>
      <c r="AH33">
        <f t="shared" si="58"/>
        <v>46.19</v>
      </c>
      <c r="AI33">
        <f t="shared" si="58"/>
        <v>0.01</v>
      </c>
      <c r="AJ33">
        <f t="shared" si="34"/>
        <v>0</v>
      </c>
      <c r="AK33">
        <v>430.86</v>
      </c>
      <c r="AL33">
        <v>36.549999999999997</v>
      </c>
      <c r="AM33">
        <v>0.31</v>
      </c>
      <c r="AN33">
        <v>0.14000000000000001</v>
      </c>
      <c r="AO33">
        <v>394</v>
      </c>
      <c r="AP33">
        <v>0</v>
      </c>
      <c r="AQ33">
        <v>46.19</v>
      </c>
      <c r="AR33">
        <v>0.01</v>
      </c>
      <c r="AS33">
        <v>0</v>
      </c>
      <c r="AT33">
        <v>103</v>
      </c>
      <c r="AU33">
        <v>60</v>
      </c>
      <c r="AV33">
        <v>1</v>
      </c>
      <c r="AW33">
        <v>1</v>
      </c>
      <c r="AZ33">
        <v>6.71</v>
      </c>
      <c r="BA33">
        <v>6.71</v>
      </c>
      <c r="BB33">
        <v>6.71</v>
      </c>
      <c r="BC33">
        <v>6.71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56</v>
      </c>
      <c r="BM33">
        <v>65010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6.71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103</v>
      </c>
      <c r="CA33">
        <v>60</v>
      </c>
      <c r="CE33">
        <v>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35"/>
        <v>231.29</v>
      </c>
      <c r="CQ33">
        <f t="shared" si="36"/>
        <v>245.25049999999999</v>
      </c>
      <c r="CR33">
        <f t="shared" si="37"/>
        <v>2.0800999999999998</v>
      </c>
      <c r="CS33">
        <f t="shared" si="38"/>
        <v>0.93940000000000012</v>
      </c>
      <c r="CT33">
        <f t="shared" si="39"/>
        <v>2643.74</v>
      </c>
      <c r="CU33">
        <f t="shared" si="40"/>
        <v>0</v>
      </c>
      <c r="CV33">
        <f t="shared" si="41"/>
        <v>46.19</v>
      </c>
      <c r="CW33">
        <f t="shared" si="42"/>
        <v>0.01</v>
      </c>
      <c r="CX33">
        <f t="shared" si="43"/>
        <v>0</v>
      </c>
      <c r="CY33">
        <f t="shared" si="44"/>
        <v>217.92740000000001</v>
      </c>
      <c r="CZ33">
        <f t="shared" si="45"/>
        <v>126.94800000000001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1013</v>
      </c>
      <c r="DV33" t="s">
        <v>55</v>
      </c>
      <c r="DW33" t="s">
        <v>55</v>
      </c>
      <c r="DX33">
        <v>1</v>
      </c>
      <c r="EE33">
        <v>16510589</v>
      </c>
      <c r="EF33">
        <v>6</v>
      </c>
      <c r="EG33" t="s">
        <v>41</v>
      </c>
      <c r="EH33">
        <v>0</v>
      </c>
      <c r="EI33" t="s">
        <v>6</v>
      </c>
      <c r="EJ33">
        <v>1</v>
      </c>
      <c r="EK33">
        <v>65010</v>
      </c>
      <c r="EL33" t="s">
        <v>57</v>
      </c>
      <c r="EM33" t="s">
        <v>58</v>
      </c>
      <c r="EO33" t="s">
        <v>6</v>
      </c>
      <c r="EQ33">
        <v>131072</v>
      </c>
      <c r="ER33">
        <v>430.86</v>
      </c>
      <c r="ES33">
        <v>36.549999999999997</v>
      </c>
      <c r="ET33">
        <v>0.31</v>
      </c>
      <c r="EU33">
        <v>0.14000000000000001</v>
      </c>
      <c r="EV33">
        <v>394</v>
      </c>
      <c r="EW33">
        <v>46.19</v>
      </c>
      <c r="EX33">
        <v>0.01</v>
      </c>
      <c r="EY33">
        <v>0</v>
      </c>
      <c r="FQ33">
        <v>0</v>
      </c>
      <c r="FR33">
        <f t="shared" si="46"/>
        <v>0</v>
      </c>
      <c r="FS33">
        <v>0</v>
      </c>
      <c r="FX33">
        <v>103</v>
      </c>
      <c r="FY33">
        <v>60</v>
      </c>
      <c r="GA33" t="s">
        <v>6</v>
      </c>
      <c r="GD33">
        <v>0</v>
      </c>
      <c r="GF33">
        <v>-2051527918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7"/>
        <v>0</v>
      </c>
      <c r="GM33">
        <f t="shared" si="48"/>
        <v>576.16999999999996</v>
      </c>
      <c r="GN33">
        <f t="shared" si="49"/>
        <v>576.16999999999996</v>
      </c>
      <c r="GO33">
        <f t="shared" si="50"/>
        <v>0</v>
      </c>
      <c r="GP33">
        <f t="shared" si="51"/>
        <v>0</v>
      </c>
      <c r="GR33">
        <v>0</v>
      </c>
      <c r="GS33">
        <v>0</v>
      </c>
      <c r="GT33">
        <v>0</v>
      </c>
      <c r="GU33" t="s">
        <v>6</v>
      </c>
      <c r="GV33">
        <f t="shared" si="52"/>
        <v>0</v>
      </c>
      <c r="GW33">
        <v>1</v>
      </c>
      <c r="GX33">
        <f t="shared" si="53"/>
        <v>0</v>
      </c>
      <c r="HA33">
        <v>0</v>
      </c>
      <c r="HB33">
        <v>0</v>
      </c>
      <c r="HC33">
        <f t="shared" si="54"/>
        <v>0</v>
      </c>
      <c r="IK33">
        <v>0</v>
      </c>
    </row>
    <row r="34" spans="1:245" x14ac:dyDescent="0.2">
      <c r="A34">
        <v>18</v>
      </c>
      <c r="B34">
        <v>1</v>
      </c>
      <c r="C34">
        <v>23</v>
      </c>
      <c r="E34" t="s">
        <v>59</v>
      </c>
      <c r="F34" t="s">
        <v>60</v>
      </c>
      <c r="G34" t="s">
        <v>61</v>
      </c>
      <c r="H34" t="s">
        <v>62</v>
      </c>
      <c r="I34">
        <f>I33*J34</f>
        <v>8</v>
      </c>
      <c r="J34">
        <v>100</v>
      </c>
      <c r="O34">
        <f t="shared" si="21"/>
        <v>51333.65</v>
      </c>
      <c r="P34">
        <f t="shared" si="22"/>
        <v>51333.65</v>
      </c>
      <c r="Q34">
        <f t="shared" si="23"/>
        <v>0</v>
      </c>
      <c r="R34">
        <f t="shared" si="24"/>
        <v>0</v>
      </c>
      <c r="S34">
        <f t="shared" si="25"/>
        <v>0</v>
      </c>
      <c r="T34">
        <f t="shared" si="26"/>
        <v>0</v>
      </c>
      <c r="U34">
        <f t="shared" si="27"/>
        <v>0</v>
      </c>
      <c r="V34">
        <f t="shared" si="28"/>
        <v>0</v>
      </c>
      <c r="W34">
        <f t="shared" si="29"/>
        <v>0</v>
      </c>
      <c r="X34">
        <f t="shared" si="30"/>
        <v>0</v>
      </c>
      <c r="Y34">
        <f t="shared" si="31"/>
        <v>0</v>
      </c>
      <c r="AA34">
        <v>16812721</v>
      </c>
      <c r="AB34">
        <f t="shared" si="32"/>
        <v>956.29</v>
      </c>
      <c r="AC34">
        <f t="shared" si="55"/>
        <v>956.29</v>
      </c>
      <c r="AD34">
        <f t="shared" si="56"/>
        <v>0</v>
      </c>
      <c r="AE34">
        <f t="shared" si="57"/>
        <v>0</v>
      </c>
      <c r="AF34">
        <f t="shared" si="57"/>
        <v>0</v>
      </c>
      <c r="AG34">
        <f t="shared" si="33"/>
        <v>0</v>
      </c>
      <c r="AH34">
        <f t="shared" si="58"/>
        <v>0</v>
      </c>
      <c r="AI34">
        <f t="shared" si="58"/>
        <v>0</v>
      </c>
      <c r="AJ34">
        <f t="shared" si="34"/>
        <v>0</v>
      </c>
      <c r="AK34">
        <v>956.29</v>
      </c>
      <c r="AL34">
        <v>956.29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103</v>
      </c>
      <c r="AU34">
        <v>60</v>
      </c>
      <c r="AV34">
        <v>1</v>
      </c>
      <c r="AW34">
        <v>1</v>
      </c>
      <c r="AZ34">
        <v>6.71</v>
      </c>
      <c r="BA34">
        <v>1</v>
      </c>
      <c r="BB34">
        <v>1</v>
      </c>
      <c r="BC34">
        <v>6.71</v>
      </c>
      <c r="BD34" t="s">
        <v>6</v>
      </c>
      <c r="BE34" t="s">
        <v>6</v>
      </c>
      <c r="BF34" t="s">
        <v>6</v>
      </c>
      <c r="BG34" t="s">
        <v>6</v>
      </c>
      <c r="BH34">
        <v>3</v>
      </c>
      <c r="BI34">
        <v>1</v>
      </c>
      <c r="BJ34" t="s">
        <v>63</v>
      </c>
      <c r="BM34">
        <v>65010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103</v>
      </c>
      <c r="CA34">
        <v>60</v>
      </c>
      <c r="CE34">
        <v>0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35"/>
        <v>51333.65</v>
      </c>
      <c r="CQ34">
        <f t="shared" si="36"/>
        <v>6416.7058999999999</v>
      </c>
      <c r="CR34">
        <f t="shared" si="37"/>
        <v>0</v>
      </c>
      <c r="CS34">
        <f t="shared" si="38"/>
        <v>0</v>
      </c>
      <c r="CT34">
        <f t="shared" si="39"/>
        <v>0</v>
      </c>
      <c r="CU34">
        <f t="shared" si="40"/>
        <v>0</v>
      </c>
      <c r="CV34">
        <f t="shared" si="41"/>
        <v>0</v>
      </c>
      <c r="CW34">
        <f t="shared" si="42"/>
        <v>0</v>
      </c>
      <c r="CX34">
        <f t="shared" si="43"/>
        <v>0</v>
      </c>
      <c r="CY34">
        <f t="shared" si="44"/>
        <v>0</v>
      </c>
      <c r="CZ34">
        <f t="shared" si="45"/>
        <v>0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1010</v>
      </c>
      <c r="DV34" t="s">
        <v>62</v>
      </c>
      <c r="DW34" t="s">
        <v>62</v>
      </c>
      <c r="DX34">
        <v>1</v>
      </c>
      <c r="EE34">
        <v>16510589</v>
      </c>
      <c r="EF34">
        <v>6</v>
      </c>
      <c r="EG34" t="s">
        <v>41</v>
      </c>
      <c r="EH34">
        <v>0</v>
      </c>
      <c r="EI34" t="s">
        <v>6</v>
      </c>
      <c r="EJ34">
        <v>1</v>
      </c>
      <c r="EK34">
        <v>65010</v>
      </c>
      <c r="EL34" t="s">
        <v>57</v>
      </c>
      <c r="EM34" t="s">
        <v>58</v>
      </c>
      <c r="EO34" t="s">
        <v>6</v>
      </c>
      <c r="EQ34">
        <v>0</v>
      </c>
      <c r="ER34">
        <v>956.29</v>
      </c>
      <c r="ES34">
        <v>956.29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6"/>
        <v>0</v>
      </c>
      <c r="FS34">
        <v>0</v>
      </c>
      <c r="FX34">
        <v>103</v>
      </c>
      <c r="FY34">
        <v>60</v>
      </c>
      <c r="GA34" t="s">
        <v>6</v>
      </c>
      <c r="GD34">
        <v>0</v>
      </c>
      <c r="GF34">
        <v>128350836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7"/>
        <v>0</v>
      </c>
      <c r="GM34">
        <f t="shared" si="48"/>
        <v>51333.65</v>
      </c>
      <c r="GN34">
        <f t="shared" si="49"/>
        <v>51333.65</v>
      </c>
      <c r="GO34">
        <f t="shared" si="50"/>
        <v>0</v>
      </c>
      <c r="GP34">
        <f t="shared" si="51"/>
        <v>0</v>
      </c>
      <c r="GR34">
        <v>0</v>
      </c>
      <c r="GS34">
        <v>3</v>
      </c>
      <c r="GT34">
        <v>0</v>
      </c>
      <c r="GU34" t="s">
        <v>6</v>
      </c>
      <c r="GV34">
        <f t="shared" si="52"/>
        <v>0</v>
      </c>
      <c r="GW34">
        <v>1</v>
      </c>
      <c r="GX34">
        <f t="shared" si="53"/>
        <v>0</v>
      </c>
      <c r="HA34">
        <v>0</v>
      </c>
      <c r="HB34">
        <v>0</v>
      </c>
      <c r="HC34">
        <f t="shared" si="54"/>
        <v>0</v>
      </c>
      <c r="IK34">
        <v>0</v>
      </c>
    </row>
    <row r="35" spans="1:245" x14ac:dyDescent="0.2">
      <c r="A35">
        <v>17</v>
      </c>
      <c r="B35">
        <v>1</v>
      </c>
      <c r="C35">
        <f>ROW(SmtRes!A24)</f>
        <v>24</v>
      </c>
      <c r="D35">
        <f>ROW(EtalonRes!A29)</f>
        <v>29</v>
      </c>
      <c r="E35" t="s">
        <v>64</v>
      </c>
      <c r="F35" t="s">
        <v>65</v>
      </c>
      <c r="G35" t="s">
        <v>66</v>
      </c>
      <c r="H35" t="s">
        <v>18</v>
      </c>
      <c r="I35">
        <f>ROUND(148/100,9)</f>
        <v>1.48</v>
      </c>
      <c r="J35">
        <v>0</v>
      </c>
      <c r="O35">
        <f t="shared" si="21"/>
        <v>1767.68</v>
      </c>
      <c r="P35">
        <f t="shared" si="22"/>
        <v>0</v>
      </c>
      <c r="Q35">
        <f t="shared" si="23"/>
        <v>0</v>
      </c>
      <c r="R35">
        <f t="shared" si="24"/>
        <v>0</v>
      </c>
      <c r="S35">
        <f t="shared" si="25"/>
        <v>1767.68</v>
      </c>
      <c r="T35">
        <f t="shared" si="26"/>
        <v>0</v>
      </c>
      <c r="U35">
        <f t="shared" si="27"/>
        <v>33.773600000000002</v>
      </c>
      <c r="V35">
        <f t="shared" si="28"/>
        <v>0</v>
      </c>
      <c r="W35">
        <f t="shared" si="29"/>
        <v>0</v>
      </c>
      <c r="X35">
        <f t="shared" si="30"/>
        <v>1750</v>
      </c>
      <c r="Y35">
        <f t="shared" si="31"/>
        <v>1060.6099999999999</v>
      </c>
      <c r="AA35">
        <v>16812721</v>
      </c>
      <c r="AB35">
        <f t="shared" si="32"/>
        <v>178</v>
      </c>
      <c r="AC35">
        <f t="shared" si="55"/>
        <v>0</v>
      </c>
      <c r="AD35">
        <f t="shared" si="56"/>
        <v>0</v>
      </c>
      <c r="AE35">
        <f t="shared" si="57"/>
        <v>0</v>
      </c>
      <c r="AF35">
        <f t="shared" si="57"/>
        <v>178</v>
      </c>
      <c r="AG35">
        <f t="shared" si="33"/>
        <v>0</v>
      </c>
      <c r="AH35">
        <f t="shared" si="58"/>
        <v>22.82</v>
      </c>
      <c r="AI35">
        <f t="shared" si="58"/>
        <v>0</v>
      </c>
      <c r="AJ35">
        <f t="shared" si="34"/>
        <v>0</v>
      </c>
      <c r="AK35">
        <v>178</v>
      </c>
      <c r="AL35">
        <v>0</v>
      </c>
      <c r="AM35">
        <v>0</v>
      </c>
      <c r="AN35">
        <v>0</v>
      </c>
      <c r="AO35">
        <v>178</v>
      </c>
      <c r="AP35">
        <v>0</v>
      </c>
      <c r="AQ35">
        <v>22.82</v>
      </c>
      <c r="AR35">
        <v>0</v>
      </c>
      <c r="AS35">
        <v>0</v>
      </c>
      <c r="AT35">
        <v>99</v>
      </c>
      <c r="AU35">
        <v>60</v>
      </c>
      <c r="AV35">
        <v>1</v>
      </c>
      <c r="AW35">
        <v>1</v>
      </c>
      <c r="AZ35">
        <v>6.71</v>
      </c>
      <c r="BA35">
        <v>6.71</v>
      </c>
      <c r="BB35">
        <v>6.71</v>
      </c>
      <c r="BC35">
        <v>6.71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67</v>
      </c>
      <c r="BM35">
        <v>46001</v>
      </c>
      <c r="BN35">
        <v>0</v>
      </c>
      <c r="BO35" t="s">
        <v>6</v>
      </c>
      <c r="BP35">
        <v>0</v>
      </c>
      <c r="BQ35">
        <v>2</v>
      </c>
      <c r="BR35">
        <v>0</v>
      </c>
      <c r="BS35">
        <v>6.71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110</v>
      </c>
      <c r="CA35">
        <v>70</v>
      </c>
      <c r="CE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35"/>
        <v>1767.68</v>
      </c>
      <c r="CQ35">
        <f t="shared" si="36"/>
        <v>0</v>
      </c>
      <c r="CR35">
        <f t="shared" si="37"/>
        <v>0</v>
      </c>
      <c r="CS35">
        <f t="shared" si="38"/>
        <v>0</v>
      </c>
      <c r="CT35">
        <f t="shared" si="39"/>
        <v>1194.3799999999999</v>
      </c>
      <c r="CU35">
        <f t="shared" si="40"/>
        <v>0</v>
      </c>
      <c r="CV35">
        <f t="shared" si="41"/>
        <v>22.82</v>
      </c>
      <c r="CW35">
        <f t="shared" si="42"/>
        <v>0</v>
      </c>
      <c r="CX35">
        <f t="shared" si="43"/>
        <v>0</v>
      </c>
      <c r="CY35">
        <f t="shared" si="44"/>
        <v>1750.0032000000001</v>
      </c>
      <c r="CZ35">
        <f t="shared" si="45"/>
        <v>1060.6079999999999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1005</v>
      </c>
      <c r="DV35" t="s">
        <v>18</v>
      </c>
      <c r="DW35" t="s">
        <v>18</v>
      </c>
      <c r="DX35">
        <v>100</v>
      </c>
      <c r="EE35">
        <v>16510555</v>
      </c>
      <c r="EF35">
        <v>2</v>
      </c>
      <c r="EG35" t="s">
        <v>20</v>
      </c>
      <c r="EH35">
        <v>0</v>
      </c>
      <c r="EI35" t="s">
        <v>6</v>
      </c>
      <c r="EJ35">
        <v>1</v>
      </c>
      <c r="EK35">
        <v>46001</v>
      </c>
      <c r="EL35" t="s">
        <v>21</v>
      </c>
      <c r="EM35" t="s">
        <v>22</v>
      </c>
      <c r="EO35" t="s">
        <v>6</v>
      </c>
      <c r="EQ35">
        <v>131072</v>
      </c>
      <c r="ER35">
        <v>178</v>
      </c>
      <c r="ES35">
        <v>0</v>
      </c>
      <c r="ET35">
        <v>0</v>
      </c>
      <c r="EU35">
        <v>0</v>
      </c>
      <c r="EV35">
        <v>178</v>
      </c>
      <c r="EW35">
        <v>22.82</v>
      </c>
      <c r="EX35">
        <v>0</v>
      </c>
      <c r="EY35">
        <v>0</v>
      </c>
      <c r="FQ35">
        <v>0</v>
      </c>
      <c r="FR35">
        <f t="shared" si="46"/>
        <v>0</v>
      </c>
      <c r="FS35">
        <v>0</v>
      </c>
      <c r="FT35" t="s">
        <v>23</v>
      </c>
      <c r="FU35" t="s">
        <v>24</v>
      </c>
      <c r="FX35">
        <v>99</v>
      </c>
      <c r="FY35">
        <v>59.5</v>
      </c>
      <c r="GA35" t="s">
        <v>6</v>
      </c>
      <c r="GD35">
        <v>0</v>
      </c>
      <c r="GF35">
        <v>232532105</v>
      </c>
      <c r="GG35">
        <v>1</v>
      </c>
      <c r="GH35">
        <v>1</v>
      </c>
      <c r="GI35">
        <v>4</v>
      </c>
      <c r="GJ35">
        <v>0</v>
      </c>
      <c r="GK35">
        <f>ROUND(R35*(R12)/100,2)</f>
        <v>0</v>
      </c>
      <c r="GL35">
        <f t="shared" si="47"/>
        <v>0</v>
      </c>
      <c r="GM35">
        <f t="shared" si="48"/>
        <v>4578.29</v>
      </c>
      <c r="GN35">
        <f t="shared" si="49"/>
        <v>4578.29</v>
      </c>
      <c r="GO35">
        <f t="shared" si="50"/>
        <v>0</v>
      </c>
      <c r="GP35">
        <f t="shared" si="51"/>
        <v>0</v>
      </c>
      <c r="GR35">
        <v>0</v>
      </c>
      <c r="GS35">
        <v>0</v>
      </c>
      <c r="GT35">
        <v>0</v>
      </c>
      <c r="GU35" t="s">
        <v>6</v>
      </c>
      <c r="GV35">
        <f t="shared" si="52"/>
        <v>0</v>
      </c>
      <c r="GW35">
        <v>1</v>
      </c>
      <c r="GX35">
        <f t="shared" si="53"/>
        <v>0</v>
      </c>
      <c r="HA35">
        <v>0</v>
      </c>
      <c r="HB35">
        <v>0</v>
      </c>
      <c r="HC35">
        <f t="shared" si="54"/>
        <v>0</v>
      </c>
      <c r="IK35">
        <v>0</v>
      </c>
    </row>
    <row r="36" spans="1:245" x14ac:dyDescent="0.2">
      <c r="A36">
        <v>17</v>
      </c>
      <c r="B36">
        <v>1</v>
      </c>
      <c r="C36">
        <f>ROW(SmtRes!A30)</f>
        <v>30</v>
      </c>
      <c r="D36">
        <f>ROW(EtalonRes!A35)</f>
        <v>35</v>
      </c>
      <c r="E36" t="s">
        <v>68</v>
      </c>
      <c r="F36" t="s">
        <v>69</v>
      </c>
      <c r="G36" t="s">
        <v>70</v>
      </c>
      <c r="H36" t="s">
        <v>71</v>
      </c>
      <c r="I36">
        <f>ROUND(1/10,9)</f>
        <v>0.1</v>
      </c>
      <c r="J36">
        <v>0</v>
      </c>
      <c r="O36">
        <f t="shared" si="21"/>
        <v>54.12</v>
      </c>
      <c r="P36">
        <f t="shared" si="22"/>
        <v>0</v>
      </c>
      <c r="Q36">
        <f t="shared" si="23"/>
        <v>3.53</v>
      </c>
      <c r="R36">
        <f t="shared" si="24"/>
        <v>0.62</v>
      </c>
      <c r="S36">
        <f t="shared" si="25"/>
        <v>50.59</v>
      </c>
      <c r="T36">
        <f t="shared" si="26"/>
        <v>0</v>
      </c>
      <c r="U36">
        <f t="shared" si="27"/>
        <v>0.76000000000000012</v>
      </c>
      <c r="V36">
        <f t="shared" si="28"/>
        <v>8.0000000000000019E-3</v>
      </c>
      <c r="W36">
        <f t="shared" si="29"/>
        <v>0</v>
      </c>
      <c r="X36">
        <f t="shared" si="30"/>
        <v>58.89</v>
      </c>
      <c r="Y36">
        <f t="shared" si="31"/>
        <v>36.36</v>
      </c>
      <c r="AA36">
        <v>16812721</v>
      </c>
      <c r="AB36">
        <f t="shared" si="32"/>
        <v>80.650000000000006</v>
      </c>
      <c r="AC36">
        <f>ROUND(((ES36*0)),2)</f>
        <v>0</v>
      </c>
      <c r="AD36">
        <f>ROUND(((((ET36*0.4))-((EU36*0.4)))+AE36),2)</f>
        <v>5.26</v>
      </c>
      <c r="AE36">
        <f>ROUND(((EU36*0.4)),2)</f>
        <v>0.93</v>
      </c>
      <c r="AF36">
        <f>ROUND(((EV36*0.4)),2)</f>
        <v>75.39</v>
      </c>
      <c r="AG36">
        <f t="shared" si="33"/>
        <v>0</v>
      </c>
      <c r="AH36">
        <f>((EW36*0.4))</f>
        <v>7.6000000000000005</v>
      </c>
      <c r="AI36">
        <f>((EX36*0.4))</f>
        <v>8.0000000000000016E-2</v>
      </c>
      <c r="AJ36">
        <f t="shared" si="34"/>
        <v>0</v>
      </c>
      <c r="AK36">
        <v>203.31</v>
      </c>
      <c r="AL36">
        <v>1.69</v>
      </c>
      <c r="AM36">
        <v>13.14</v>
      </c>
      <c r="AN36">
        <v>2.3199999999999998</v>
      </c>
      <c r="AO36">
        <v>188.48</v>
      </c>
      <c r="AP36">
        <v>0</v>
      </c>
      <c r="AQ36">
        <v>19</v>
      </c>
      <c r="AR36">
        <v>0.2</v>
      </c>
      <c r="AS36">
        <v>0</v>
      </c>
      <c r="AT36">
        <v>115</v>
      </c>
      <c r="AU36">
        <v>71</v>
      </c>
      <c r="AV36">
        <v>1</v>
      </c>
      <c r="AW36">
        <v>1</v>
      </c>
      <c r="AZ36">
        <v>6.71</v>
      </c>
      <c r="BA36">
        <v>6.71</v>
      </c>
      <c r="BB36">
        <v>6.71</v>
      </c>
      <c r="BC36">
        <v>6.71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72</v>
      </c>
      <c r="BM36">
        <v>20001</v>
      </c>
      <c r="BN36">
        <v>0</v>
      </c>
      <c r="BO36" t="s">
        <v>6</v>
      </c>
      <c r="BP36">
        <v>0</v>
      </c>
      <c r="BQ36">
        <v>2</v>
      </c>
      <c r="BR36">
        <v>0</v>
      </c>
      <c r="BS36">
        <v>6.71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128</v>
      </c>
      <c r="CA36">
        <v>83</v>
      </c>
      <c r="CE36">
        <v>0</v>
      </c>
      <c r="CF36">
        <v>0</v>
      </c>
      <c r="CG36">
        <v>0</v>
      </c>
      <c r="CM36">
        <v>0</v>
      </c>
      <c r="CN36" t="s">
        <v>73</v>
      </c>
      <c r="CO36">
        <v>0</v>
      </c>
      <c r="CP36">
        <f t="shared" si="35"/>
        <v>54.120000000000005</v>
      </c>
      <c r="CQ36">
        <f t="shared" si="36"/>
        <v>0</v>
      </c>
      <c r="CR36">
        <f t="shared" si="37"/>
        <v>35.294599999999996</v>
      </c>
      <c r="CS36">
        <f t="shared" si="38"/>
        <v>6.2403000000000004</v>
      </c>
      <c r="CT36">
        <f t="shared" si="39"/>
        <v>505.86689999999999</v>
      </c>
      <c r="CU36">
        <f t="shared" si="40"/>
        <v>0</v>
      </c>
      <c r="CV36">
        <f t="shared" si="41"/>
        <v>7.6000000000000005</v>
      </c>
      <c r="CW36">
        <f t="shared" si="42"/>
        <v>8.0000000000000016E-2</v>
      </c>
      <c r="CX36">
        <f t="shared" si="43"/>
        <v>0</v>
      </c>
      <c r="CY36">
        <f t="shared" si="44"/>
        <v>58.891500000000008</v>
      </c>
      <c r="CZ36">
        <f t="shared" si="45"/>
        <v>36.359099999999998</v>
      </c>
      <c r="DC36" t="s">
        <v>6</v>
      </c>
      <c r="DD36" t="s">
        <v>31</v>
      </c>
      <c r="DE36" t="s">
        <v>74</v>
      </c>
      <c r="DF36" t="s">
        <v>74</v>
      </c>
      <c r="DG36" t="s">
        <v>74</v>
      </c>
      <c r="DH36" t="s">
        <v>6</v>
      </c>
      <c r="DI36" t="s">
        <v>74</v>
      </c>
      <c r="DJ36" t="s">
        <v>74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71</v>
      </c>
      <c r="DW36" t="s">
        <v>71</v>
      </c>
      <c r="DX36">
        <v>1</v>
      </c>
      <c r="EE36">
        <v>16510518</v>
      </c>
      <c r="EF36">
        <v>2</v>
      </c>
      <c r="EG36" t="s">
        <v>20</v>
      </c>
      <c r="EH36">
        <v>0</v>
      </c>
      <c r="EI36" t="s">
        <v>6</v>
      </c>
      <c r="EJ36">
        <v>1</v>
      </c>
      <c r="EK36">
        <v>20001</v>
      </c>
      <c r="EL36" t="s">
        <v>75</v>
      </c>
      <c r="EM36" t="s">
        <v>76</v>
      </c>
      <c r="EO36" t="s">
        <v>77</v>
      </c>
      <c r="EQ36">
        <v>0</v>
      </c>
      <c r="ER36">
        <v>203.31</v>
      </c>
      <c r="ES36">
        <v>1.69</v>
      </c>
      <c r="ET36">
        <v>13.14</v>
      </c>
      <c r="EU36">
        <v>2.3199999999999998</v>
      </c>
      <c r="EV36">
        <v>188.48</v>
      </c>
      <c r="EW36">
        <v>19</v>
      </c>
      <c r="EX36">
        <v>0.2</v>
      </c>
      <c r="EY36">
        <v>0</v>
      </c>
      <c r="FQ36">
        <v>0</v>
      </c>
      <c r="FR36">
        <f t="shared" si="46"/>
        <v>0</v>
      </c>
      <c r="FS36">
        <v>0</v>
      </c>
      <c r="FT36" t="s">
        <v>23</v>
      </c>
      <c r="FU36" t="s">
        <v>24</v>
      </c>
      <c r="FX36">
        <v>115.2</v>
      </c>
      <c r="FY36">
        <v>70.55</v>
      </c>
      <c r="GA36" t="s">
        <v>6</v>
      </c>
      <c r="GD36">
        <v>0</v>
      </c>
      <c r="GF36">
        <v>950093922</v>
      </c>
      <c r="GG36">
        <v>1</v>
      </c>
      <c r="GH36">
        <v>1</v>
      </c>
      <c r="GI36">
        <v>4</v>
      </c>
      <c r="GJ36">
        <v>0</v>
      </c>
      <c r="GK36">
        <f>ROUND(R36*(R12)/100,2)</f>
        <v>0</v>
      </c>
      <c r="GL36">
        <f t="shared" si="47"/>
        <v>0</v>
      </c>
      <c r="GM36">
        <f t="shared" si="48"/>
        <v>149.37</v>
      </c>
      <c r="GN36">
        <f t="shared" si="49"/>
        <v>149.37</v>
      </c>
      <c r="GO36">
        <f t="shared" si="50"/>
        <v>0</v>
      </c>
      <c r="GP36">
        <f t="shared" si="51"/>
        <v>0</v>
      </c>
      <c r="GR36">
        <v>0</v>
      </c>
      <c r="GS36">
        <v>3</v>
      </c>
      <c r="GT36">
        <v>0</v>
      </c>
      <c r="GU36" t="s">
        <v>6</v>
      </c>
      <c r="GV36">
        <f t="shared" si="52"/>
        <v>0</v>
      </c>
      <c r="GW36">
        <v>1</v>
      </c>
      <c r="GX36">
        <f t="shared" si="53"/>
        <v>0</v>
      </c>
      <c r="HA36">
        <v>0</v>
      </c>
      <c r="HB36">
        <v>0</v>
      </c>
      <c r="HC36">
        <f t="shared" si="54"/>
        <v>0</v>
      </c>
      <c r="IK36">
        <v>0</v>
      </c>
    </row>
    <row r="37" spans="1:245" x14ac:dyDescent="0.2">
      <c r="A37">
        <v>17</v>
      </c>
      <c r="B37">
        <v>1</v>
      </c>
      <c r="C37">
        <f>ROW(SmtRes!A39)</f>
        <v>39</v>
      </c>
      <c r="D37">
        <f>ROW(EtalonRes!A45)</f>
        <v>45</v>
      </c>
      <c r="E37" t="s">
        <v>78</v>
      </c>
      <c r="F37" t="s">
        <v>79</v>
      </c>
      <c r="G37" t="s">
        <v>80</v>
      </c>
      <c r="H37" t="s">
        <v>18</v>
      </c>
      <c r="I37">
        <f>ROUND(15/100,9)</f>
        <v>0.15</v>
      </c>
      <c r="J37">
        <v>0</v>
      </c>
      <c r="O37">
        <f t="shared" si="21"/>
        <v>456.5</v>
      </c>
      <c r="P37">
        <f t="shared" si="22"/>
        <v>0</v>
      </c>
      <c r="Q37">
        <f t="shared" si="23"/>
        <v>69.03</v>
      </c>
      <c r="R37">
        <f t="shared" si="24"/>
        <v>13.6</v>
      </c>
      <c r="S37">
        <f t="shared" si="25"/>
        <v>387.47</v>
      </c>
      <c r="T37">
        <f t="shared" si="26"/>
        <v>0</v>
      </c>
      <c r="U37">
        <f t="shared" si="27"/>
        <v>6.0720000000000001</v>
      </c>
      <c r="V37">
        <f t="shared" si="28"/>
        <v>0.17039999999999997</v>
      </c>
      <c r="W37">
        <f t="shared" si="29"/>
        <v>0</v>
      </c>
      <c r="X37">
        <f t="shared" si="30"/>
        <v>381.02</v>
      </c>
      <c r="Y37">
        <f t="shared" si="31"/>
        <v>188.5</v>
      </c>
      <c r="AA37">
        <v>16812721</v>
      </c>
      <c r="AB37">
        <f t="shared" si="32"/>
        <v>453.55</v>
      </c>
      <c r="AC37">
        <f>ROUND(((ES37*0)),2)</f>
        <v>0</v>
      </c>
      <c r="AD37">
        <f>ROUND(((((ET37*0.8))-((EU37*0.8)))+AE37),2)</f>
        <v>68.58</v>
      </c>
      <c r="AE37">
        <f>ROUND(((EU37*0.8)),2)</f>
        <v>13.51</v>
      </c>
      <c r="AF37">
        <f>ROUND(((EV37*0.8)),2)</f>
        <v>384.97</v>
      </c>
      <c r="AG37">
        <f t="shared" si="33"/>
        <v>0</v>
      </c>
      <c r="AH37">
        <f>((EW37*0.8))</f>
        <v>40.480000000000004</v>
      </c>
      <c r="AI37">
        <f>((EX37*0.8))</f>
        <v>1.1359999999999999</v>
      </c>
      <c r="AJ37">
        <f t="shared" si="34"/>
        <v>0</v>
      </c>
      <c r="AK37">
        <v>686.77</v>
      </c>
      <c r="AL37">
        <v>119.83</v>
      </c>
      <c r="AM37">
        <v>85.73</v>
      </c>
      <c r="AN37">
        <v>16.89</v>
      </c>
      <c r="AO37">
        <v>481.21</v>
      </c>
      <c r="AP37">
        <v>0</v>
      </c>
      <c r="AQ37">
        <v>50.6</v>
      </c>
      <c r="AR37">
        <v>1.42</v>
      </c>
      <c r="AS37">
        <v>0</v>
      </c>
      <c r="AT37">
        <v>95</v>
      </c>
      <c r="AU37">
        <v>47</v>
      </c>
      <c r="AV37">
        <v>1</v>
      </c>
      <c r="AW37">
        <v>1</v>
      </c>
      <c r="AZ37">
        <v>6.71</v>
      </c>
      <c r="BA37">
        <v>6.71</v>
      </c>
      <c r="BB37">
        <v>6.71</v>
      </c>
      <c r="BC37">
        <v>6.71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81</v>
      </c>
      <c r="BM37">
        <v>15001</v>
      </c>
      <c r="BN37">
        <v>0</v>
      </c>
      <c r="BO37" t="s">
        <v>6</v>
      </c>
      <c r="BP37">
        <v>0</v>
      </c>
      <c r="BQ37">
        <v>2</v>
      </c>
      <c r="BR37">
        <v>0</v>
      </c>
      <c r="BS37">
        <v>6.71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105</v>
      </c>
      <c r="CA37">
        <v>55</v>
      </c>
      <c r="CE37">
        <v>0</v>
      </c>
      <c r="CF37">
        <v>0</v>
      </c>
      <c r="CG37">
        <v>0</v>
      </c>
      <c r="CM37">
        <v>0</v>
      </c>
      <c r="CN37" t="s">
        <v>82</v>
      </c>
      <c r="CO37">
        <v>0</v>
      </c>
      <c r="CP37">
        <f t="shared" si="35"/>
        <v>456.5</v>
      </c>
      <c r="CQ37">
        <f t="shared" si="36"/>
        <v>0</v>
      </c>
      <c r="CR37">
        <f t="shared" si="37"/>
        <v>460.17179999999996</v>
      </c>
      <c r="CS37">
        <f t="shared" si="38"/>
        <v>90.652100000000004</v>
      </c>
      <c r="CT37">
        <f t="shared" si="39"/>
        <v>2583.1487000000002</v>
      </c>
      <c r="CU37">
        <f t="shared" si="40"/>
        <v>0</v>
      </c>
      <c r="CV37">
        <f t="shared" si="41"/>
        <v>40.480000000000004</v>
      </c>
      <c r="CW37">
        <f t="shared" si="42"/>
        <v>1.1359999999999999</v>
      </c>
      <c r="CX37">
        <f t="shared" si="43"/>
        <v>0</v>
      </c>
      <c r="CY37">
        <f t="shared" si="44"/>
        <v>381.01650000000001</v>
      </c>
      <c r="CZ37">
        <f t="shared" si="45"/>
        <v>188.50290000000001</v>
      </c>
      <c r="DC37" t="s">
        <v>6</v>
      </c>
      <c r="DD37" t="s">
        <v>31</v>
      </c>
      <c r="DE37" t="s">
        <v>83</v>
      </c>
      <c r="DF37" t="s">
        <v>83</v>
      </c>
      <c r="DG37" t="s">
        <v>83</v>
      </c>
      <c r="DH37" t="s">
        <v>6</v>
      </c>
      <c r="DI37" t="s">
        <v>83</v>
      </c>
      <c r="DJ37" t="s">
        <v>83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1005</v>
      </c>
      <c r="DV37" t="s">
        <v>18</v>
      </c>
      <c r="DW37" t="s">
        <v>18</v>
      </c>
      <c r="DX37">
        <v>100</v>
      </c>
      <c r="EE37">
        <v>16510513</v>
      </c>
      <c r="EF37">
        <v>2</v>
      </c>
      <c r="EG37" t="s">
        <v>20</v>
      </c>
      <c r="EH37">
        <v>0</v>
      </c>
      <c r="EI37" t="s">
        <v>6</v>
      </c>
      <c r="EJ37">
        <v>1</v>
      </c>
      <c r="EK37">
        <v>15001</v>
      </c>
      <c r="EL37" t="s">
        <v>84</v>
      </c>
      <c r="EM37" t="s">
        <v>85</v>
      </c>
      <c r="EO37" t="s">
        <v>86</v>
      </c>
      <c r="EQ37">
        <v>131072</v>
      </c>
      <c r="ER37">
        <v>686.77</v>
      </c>
      <c r="ES37">
        <v>119.83</v>
      </c>
      <c r="ET37">
        <v>85.73</v>
      </c>
      <c r="EU37">
        <v>16.89</v>
      </c>
      <c r="EV37">
        <v>481.21</v>
      </c>
      <c r="EW37">
        <v>50.6</v>
      </c>
      <c r="EX37">
        <v>1.42</v>
      </c>
      <c r="EY37">
        <v>0</v>
      </c>
      <c r="FQ37">
        <v>0</v>
      </c>
      <c r="FR37">
        <f t="shared" si="46"/>
        <v>0</v>
      </c>
      <c r="FS37">
        <v>0</v>
      </c>
      <c r="FT37" t="s">
        <v>23</v>
      </c>
      <c r="FU37" t="s">
        <v>24</v>
      </c>
      <c r="FX37">
        <v>94.5</v>
      </c>
      <c r="FY37">
        <v>46.75</v>
      </c>
      <c r="GA37" t="s">
        <v>6</v>
      </c>
      <c r="GD37">
        <v>0</v>
      </c>
      <c r="GF37">
        <v>-1924098841</v>
      </c>
      <c r="GG37">
        <v>1</v>
      </c>
      <c r="GH37">
        <v>1</v>
      </c>
      <c r="GI37">
        <v>4</v>
      </c>
      <c r="GJ37">
        <v>0</v>
      </c>
      <c r="GK37">
        <f>ROUND(R37*(R12)/100,2)</f>
        <v>0</v>
      </c>
      <c r="GL37">
        <f t="shared" si="47"/>
        <v>0</v>
      </c>
      <c r="GM37">
        <f t="shared" si="48"/>
        <v>1026.02</v>
      </c>
      <c r="GN37">
        <f t="shared" si="49"/>
        <v>1026.02</v>
      </c>
      <c r="GO37">
        <f t="shared" si="50"/>
        <v>0</v>
      </c>
      <c r="GP37">
        <f t="shared" si="51"/>
        <v>0</v>
      </c>
      <c r="GR37">
        <v>0</v>
      </c>
      <c r="GS37">
        <v>3</v>
      </c>
      <c r="GT37">
        <v>0</v>
      </c>
      <c r="GU37" t="s">
        <v>6</v>
      </c>
      <c r="GV37">
        <f t="shared" si="52"/>
        <v>0</v>
      </c>
      <c r="GW37">
        <v>1</v>
      </c>
      <c r="GX37">
        <f t="shared" si="53"/>
        <v>0</v>
      </c>
      <c r="HA37">
        <v>0</v>
      </c>
      <c r="HB37">
        <v>0</v>
      </c>
      <c r="HC37">
        <f t="shared" si="54"/>
        <v>0</v>
      </c>
      <c r="IK37">
        <v>0</v>
      </c>
    </row>
    <row r="38" spans="1:245" x14ac:dyDescent="0.2">
      <c r="A38">
        <v>17</v>
      </c>
      <c r="B38">
        <v>1</v>
      </c>
      <c r="C38">
        <f>ROW(SmtRes!A41)</f>
        <v>41</v>
      </c>
      <c r="D38">
        <f>ROW(EtalonRes!A50)</f>
        <v>50</v>
      </c>
      <c r="E38" t="s">
        <v>87</v>
      </c>
      <c r="F38" t="s">
        <v>88</v>
      </c>
      <c r="G38" t="s">
        <v>89</v>
      </c>
      <c r="H38" t="s">
        <v>71</v>
      </c>
      <c r="I38">
        <f>ROUND(1/10,9)</f>
        <v>0.1</v>
      </c>
      <c r="J38">
        <v>0</v>
      </c>
      <c r="O38">
        <f t="shared" si="21"/>
        <v>7.23</v>
      </c>
      <c r="P38">
        <f t="shared" si="22"/>
        <v>0</v>
      </c>
      <c r="Q38">
        <f t="shared" si="23"/>
        <v>0</v>
      </c>
      <c r="R38">
        <f t="shared" si="24"/>
        <v>0</v>
      </c>
      <c r="S38">
        <f t="shared" si="25"/>
        <v>7.23</v>
      </c>
      <c r="T38">
        <f t="shared" si="26"/>
        <v>0</v>
      </c>
      <c r="U38">
        <f t="shared" si="27"/>
        <v>0.11199999999999999</v>
      </c>
      <c r="V38">
        <f t="shared" si="28"/>
        <v>0</v>
      </c>
      <c r="W38">
        <f t="shared" si="29"/>
        <v>0</v>
      </c>
      <c r="X38">
        <f t="shared" si="30"/>
        <v>8.31</v>
      </c>
      <c r="Y38">
        <f t="shared" si="31"/>
        <v>5.13</v>
      </c>
      <c r="AA38">
        <v>16812721</v>
      </c>
      <c r="AB38">
        <f t="shared" si="32"/>
        <v>10.78</v>
      </c>
      <c r="AC38">
        <f>ROUND(((ES38*0)),2)</f>
        <v>0</v>
      </c>
      <c r="AD38">
        <f>ROUND(((((ET38*0.4))-((EU38*0.4)))+AE38),2)</f>
        <v>0</v>
      </c>
      <c r="AE38">
        <f>ROUND(((EU38*0.4)),2)</f>
        <v>0</v>
      </c>
      <c r="AF38">
        <f>ROUND(((EV38*0.4)),2)</f>
        <v>10.78</v>
      </c>
      <c r="AG38">
        <f t="shared" si="33"/>
        <v>0</v>
      </c>
      <c r="AH38">
        <f>((EW38*0.4))</f>
        <v>1.1199999999999999</v>
      </c>
      <c r="AI38">
        <f>((EX38*0.4))</f>
        <v>0</v>
      </c>
      <c r="AJ38">
        <f t="shared" si="34"/>
        <v>0</v>
      </c>
      <c r="AK38">
        <v>27.54</v>
      </c>
      <c r="AL38">
        <v>0.6</v>
      </c>
      <c r="AM38">
        <v>0</v>
      </c>
      <c r="AN38">
        <v>0</v>
      </c>
      <c r="AO38">
        <v>26.94</v>
      </c>
      <c r="AP38">
        <v>0</v>
      </c>
      <c r="AQ38">
        <v>2.8</v>
      </c>
      <c r="AR38">
        <v>0</v>
      </c>
      <c r="AS38">
        <v>0</v>
      </c>
      <c r="AT38">
        <v>115</v>
      </c>
      <c r="AU38">
        <v>71</v>
      </c>
      <c r="AV38">
        <v>1</v>
      </c>
      <c r="AW38">
        <v>1</v>
      </c>
      <c r="AZ38">
        <v>6.71</v>
      </c>
      <c r="BA38">
        <v>6.71</v>
      </c>
      <c r="BB38">
        <v>6.71</v>
      </c>
      <c r="BC38">
        <v>6.71</v>
      </c>
      <c r="BD38" t="s">
        <v>6</v>
      </c>
      <c r="BE38" t="s">
        <v>6</v>
      </c>
      <c r="BF38" t="s">
        <v>6</v>
      </c>
      <c r="BG38" t="s">
        <v>6</v>
      </c>
      <c r="BH38">
        <v>0</v>
      </c>
      <c r="BI38">
        <v>1</v>
      </c>
      <c r="BJ38" t="s">
        <v>90</v>
      </c>
      <c r="BM38">
        <v>17001</v>
      </c>
      <c r="BN38">
        <v>0</v>
      </c>
      <c r="BO38" t="s">
        <v>6</v>
      </c>
      <c r="BP38">
        <v>0</v>
      </c>
      <c r="BQ38">
        <v>2</v>
      </c>
      <c r="BR38">
        <v>0</v>
      </c>
      <c r="BS38">
        <v>6.71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6</v>
      </c>
      <c r="BZ38">
        <v>128</v>
      </c>
      <c r="CA38">
        <v>83</v>
      </c>
      <c r="CE38">
        <v>0</v>
      </c>
      <c r="CF38">
        <v>0</v>
      </c>
      <c r="CG38">
        <v>0</v>
      </c>
      <c r="CM38">
        <v>0</v>
      </c>
      <c r="CN38" t="s">
        <v>91</v>
      </c>
      <c r="CO38">
        <v>0</v>
      </c>
      <c r="CP38">
        <f t="shared" si="35"/>
        <v>7.23</v>
      </c>
      <c r="CQ38">
        <f t="shared" si="36"/>
        <v>0</v>
      </c>
      <c r="CR38">
        <f t="shared" si="37"/>
        <v>0</v>
      </c>
      <c r="CS38">
        <f t="shared" si="38"/>
        <v>0</v>
      </c>
      <c r="CT38">
        <f t="shared" si="39"/>
        <v>72.333799999999997</v>
      </c>
      <c r="CU38">
        <f t="shared" si="40"/>
        <v>0</v>
      </c>
      <c r="CV38">
        <f t="shared" si="41"/>
        <v>1.1199999999999999</v>
      </c>
      <c r="CW38">
        <f t="shared" si="42"/>
        <v>0</v>
      </c>
      <c r="CX38">
        <f t="shared" si="43"/>
        <v>0</v>
      </c>
      <c r="CY38">
        <f t="shared" si="44"/>
        <v>8.3145000000000007</v>
      </c>
      <c r="CZ38">
        <f t="shared" si="45"/>
        <v>5.1333000000000002</v>
      </c>
      <c r="DC38" t="s">
        <v>6</v>
      </c>
      <c r="DD38" t="s">
        <v>31</v>
      </c>
      <c r="DE38" t="s">
        <v>74</v>
      </c>
      <c r="DF38" t="s">
        <v>74</v>
      </c>
      <c r="DG38" t="s">
        <v>74</v>
      </c>
      <c r="DH38" t="s">
        <v>6</v>
      </c>
      <c r="DI38" t="s">
        <v>74</v>
      </c>
      <c r="DJ38" t="s">
        <v>74</v>
      </c>
      <c r="DK38" t="s">
        <v>6</v>
      </c>
      <c r="DL38" t="s">
        <v>6</v>
      </c>
      <c r="DM38" t="s">
        <v>6</v>
      </c>
      <c r="DN38">
        <v>0</v>
      </c>
      <c r="DO38">
        <v>0</v>
      </c>
      <c r="DP38">
        <v>1</v>
      </c>
      <c r="DQ38">
        <v>1</v>
      </c>
      <c r="DU38">
        <v>1013</v>
      </c>
      <c r="DV38" t="s">
        <v>71</v>
      </c>
      <c r="DW38" t="s">
        <v>71</v>
      </c>
      <c r="DX38">
        <v>1</v>
      </c>
      <c r="EE38">
        <v>16510515</v>
      </c>
      <c r="EF38">
        <v>2</v>
      </c>
      <c r="EG38" t="s">
        <v>20</v>
      </c>
      <c r="EH38">
        <v>0</v>
      </c>
      <c r="EI38" t="s">
        <v>6</v>
      </c>
      <c r="EJ38">
        <v>1</v>
      </c>
      <c r="EK38">
        <v>17001</v>
      </c>
      <c r="EL38" t="s">
        <v>92</v>
      </c>
      <c r="EM38" t="s">
        <v>93</v>
      </c>
      <c r="EO38" t="s">
        <v>94</v>
      </c>
      <c r="EQ38">
        <v>131072</v>
      </c>
      <c r="ER38">
        <v>27.54</v>
      </c>
      <c r="ES38">
        <v>0.6</v>
      </c>
      <c r="ET38">
        <v>0</v>
      </c>
      <c r="EU38">
        <v>0</v>
      </c>
      <c r="EV38">
        <v>26.94</v>
      </c>
      <c r="EW38">
        <v>2.8</v>
      </c>
      <c r="EX38">
        <v>0</v>
      </c>
      <c r="EY38">
        <v>0</v>
      </c>
      <c r="FQ38">
        <v>0</v>
      </c>
      <c r="FR38">
        <f t="shared" si="46"/>
        <v>0</v>
      </c>
      <c r="FS38">
        <v>0</v>
      </c>
      <c r="FT38" t="s">
        <v>23</v>
      </c>
      <c r="FU38" t="s">
        <v>24</v>
      </c>
      <c r="FX38">
        <v>115.2</v>
      </c>
      <c r="FY38">
        <v>70.55</v>
      </c>
      <c r="GA38" t="s">
        <v>6</v>
      </c>
      <c r="GD38">
        <v>0</v>
      </c>
      <c r="GF38">
        <v>-1335911278</v>
      </c>
      <c r="GG38">
        <v>1</v>
      </c>
      <c r="GH38">
        <v>1</v>
      </c>
      <c r="GI38">
        <v>4</v>
      </c>
      <c r="GJ38">
        <v>0</v>
      </c>
      <c r="GK38">
        <f>ROUND(R38*(R12)/100,2)</f>
        <v>0</v>
      </c>
      <c r="GL38">
        <f t="shared" si="47"/>
        <v>0</v>
      </c>
      <c r="GM38">
        <f t="shared" si="48"/>
        <v>20.67</v>
      </c>
      <c r="GN38">
        <f t="shared" si="49"/>
        <v>20.67</v>
      </c>
      <c r="GO38">
        <f t="shared" si="50"/>
        <v>0</v>
      </c>
      <c r="GP38">
        <f t="shared" si="51"/>
        <v>0</v>
      </c>
      <c r="GR38">
        <v>0</v>
      </c>
      <c r="GS38">
        <v>3</v>
      </c>
      <c r="GT38">
        <v>0</v>
      </c>
      <c r="GU38" t="s">
        <v>6</v>
      </c>
      <c r="GV38">
        <f t="shared" si="52"/>
        <v>0</v>
      </c>
      <c r="GW38">
        <v>1</v>
      </c>
      <c r="GX38">
        <f t="shared" si="53"/>
        <v>0</v>
      </c>
      <c r="HA38">
        <v>0</v>
      </c>
      <c r="HB38">
        <v>0</v>
      </c>
      <c r="HC38">
        <f t="shared" si="54"/>
        <v>0</v>
      </c>
      <c r="IK38">
        <v>0</v>
      </c>
    </row>
    <row r="39" spans="1:245" x14ac:dyDescent="0.2">
      <c r="A39">
        <v>17</v>
      </c>
      <c r="B39">
        <v>1</v>
      </c>
      <c r="C39">
        <f>ROW(SmtRes!A44)</f>
        <v>44</v>
      </c>
      <c r="D39">
        <f>ROW(EtalonRes!A55)</f>
        <v>55</v>
      </c>
      <c r="E39" t="s">
        <v>95</v>
      </c>
      <c r="F39" t="s">
        <v>88</v>
      </c>
      <c r="G39" t="s">
        <v>96</v>
      </c>
      <c r="H39" t="s">
        <v>71</v>
      </c>
      <c r="I39">
        <f>ROUND(2/10,9)</f>
        <v>0.2</v>
      </c>
      <c r="J39">
        <v>0</v>
      </c>
      <c r="O39">
        <f t="shared" si="21"/>
        <v>36.96</v>
      </c>
      <c r="P39">
        <f t="shared" si="22"/>
        <v>0.81</v>
      </c>
      <c r="Q39">
        <f t="shared" si="23"/>
        <v>0</v>
      </c>
      <c r="R39">
        <f t="shared" si="24"/>
        <v>0</v>
      </c>
      <c r="S39">
        <f t="shared" si="25"/>
        <v>36.15</v>
      </c>
      <c r="T39">
        <f t="shared" si="26"/>
        <v>0</v>
      </c>
      <c r="U39">
        <f t="shared" si="27"/>
        <v>0.55999999999999994</v>
      </c>
      <c r="V39">
        <f t="shared" si="28"/>
        <v>0</v>
      </c>
      <c r="W39">
        <f t="shared" si="29"/>
        <v>0</v>
      </c>
      <c r="X39">
        <f t="shared" si="30"/>
        <v>41.57</v>
      </c>
      <c r="Y39">
        <f t="shared" si="31"/>
        <v>25.67</v>
      </c>
      <c r="AA39">
        <v>16812721</v>
      </c>
      <c r="AB39">
        <f t="shared" si="32"/>
        <v>27.54</v>
      </c>
      <c r="AC39">
        <f t="shared" ref="AC39:AC51" si="59">ROUND((ES39),2)</f>
        <v>0.6</v>
      </c>
      <c r="AD39">
        <f>ROUND((((ET39)-(EU39))+AE39),2)</f>
        <v>0</v>
      </c>
      <c r="AE39">
        <f>ROUND((EU39),2)</f>
        <v>0</v>
      </c>
      <c r="AF39">
        <f>ROUND((EV39),2)</f>
        <v>26.94</v>
      </c>
      <c r="AG39">
        <f t="shared" si="33"/>
        <v>0</v>
      </c>
      <c r="AH39">
        <f>(EW39)</f>
        <v>2.8</v>
      </c>
      <c r="AI39">
        <f>(EX39)</f>
        <v>0</v>
      </c>
      <c r="AJ39">
        <f t="shared" si="34"/>
        <v>0</v>
      </c>
      <c r="AK39">
        <v>27.54</v>
      </c>
      <c r="AL39">
        <v>0.6</v>
      </c>
      <c r="AM39">
        <v>0</v>
      </c>
      <c r="AN39">
        <v>0</v>
      </c>
      <c r="AO39">
        <v>26.94</v>
      </c>
      <c r="AP39">
        <v>0</v>
      </c>
      <c r="AQ39">
        <v>2.8</v>
      </c>
      <c r="AR39">
        <v>0</v>
      </c>
      <c r="AS39">
        <v>0</v>
      </c>
      <c r="AT39">
        <v>115</v>
      </c>
      <c r="AU39">
        <v>71</v>
      </c>
      <c r="AV39">
        <v>1</v>
      </c>
      <c r="AW39">
        <v>1</v>
      </c>
      <c r="AZ39">
        <v>6.71</v>
      </c>
      <c r="BA39">
        <v>6.71</v>
      </c>
      <c r="BB39">
        <v>6.71</v>
      </c>
      <c r="BC39">
        <v>6.71</v>
      </c>
      <c r="BD39" t="s">
        <v>6</v>
      </c>
      <c r="BE39" t="s">
        <v>6</v>
      </c>
      <c r="BF39" t="s">
        <v>6</v>
      </c>
      <c r="BG39" t="s">
        <v>6</v>
      </c>
      <c r="BH39">
        <v>0</v>
      </c>
      <c r="BI39">
        <v>1</v>
      </c>
      <c r="BJ39" t="s">
        <v>90</v>
      </c>
      <c r="BM39">
        <v>17001</v>
      </c>
      <c r="BN39">
        <v>0</v>
      </c>
      <c r="BO39" t="s">
        <v>6</v>
      </c>
      <c r="BP39">
        <v>0</v>
      </c>
      <c r="BQ39">
        <v>2</v>
      </c>
      <c r="BR39">
        <v>0</v>
      </c>
      <c r="BS39">
        <v>6.71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128</v>
      </c>
      <c r="CA39">
        <v>83</v>
      </c>
      <c r="CE39">
        <v>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35"/>
        <v>36.96</v>
      </c>
      <c r="CQ39">
        <f t="shared" si="36"/>
        <v>4.0259999999999998</v>
      </c>
      <c r="CR39">
        <f t="shared" si="37"/>
        <v>0</v>
      </c>
      <c r="CS39">
        <f t="shared" si="38"/>
        <v>0</v>
      </c>
      <c r="CT39">
        <f t="shared" si="39"/>
        <v>180.76740000000001</v>
      </c>
      <c r="CU39">
        <f t="shared" si="40"/>
        <v>0</v>
      </c>
      <c r="CV39">
        <f t="shared" si="41"/>
        <v>2.8</v>
      </c>
      <c r="CW39">
        <f t="shared" si="42"/>
        <v>0</v>
      </c>
      <c r="CX39">
        <f t="shared" si="43"/>
        <v>0</v>
      </c>
      <c r="CY39">
        <f t="shared" si="44"/>
        <v>41.572499999999998</v>
      </c>
      <c r="CZ39">
        <f t="shared" si="45"/>
        <v>25.666499999999999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1013</v>
      </c>
      <c r="DV39" t="s">
        <v>71</v>
      </c>
      <c r="DW39" t="s">
        <v>71</v>
      </c>
      <c r="DX39">
        <v>1</v>
      </c>
      <c r="EE39">
        <v>16510515</v>
      </c>
      <c r="EF39">
        <v>2</v>
      </c>
      <c r="EG39" t="s">
        <v>20</v>
      </c>
      <c r="EH39">
        <v>0</v>
      </c>
      <c r="EI39" t="s">
        <v>6</v>
      </c>
      <c r="EJ39">
        <v>1</v>
      </c>
      <c r="EK39">
        <v>17001</v>
      </c>
      <c r="EL39" t="s">
        <v>92</v>
      </c>
      <c r="EM39" t="s">
        <v>93</v>
      </c>
      <c r="EO39" t="s">
        <v>6</v>
      </c>
      <c r="EQ39">
        <v>131072</v>
      </c>
      <c r="ER39">
        <v>27.54</v>
      </c>
      <c r="ES39">
        <v>0.6</v>
      </c>
      <c r="ET39">
        <v>0</v>
      </c>
      <c r="EU39">
        <v>0</v>
      </c>
      <c r="EV39">
        <v>26.94</v>
      </c>
      <c r="EW39">
        <v>2.8</v>
      </c>
      <c r="EX39">
        <v>0</v>
      </c>
      <c r="EY39">
        <v>0</v>
      </c>
      <c r="FQ39">
        <v>0</v>
      </c>
      <c r="FR39">
        <f t="shared" si="46"/>
        <v>0</v>
      </c>
      <c r="FS39">
        <v>0</v>
      </c>
      <c r="FT39" t="s">
        <v>23</v>
      </c>
      <c r="FU39" t="s">
        <v>24</v>
      </c>
      <c r="FX39">
        <v>115.2</v>
      </c>
      <c r="FY39">
        <v>70.55</v>
      </c>
      <c r="GA39" t="s">
        <v>6</v>
      </c>
      <c r="GD39">
        <v>0</v>
      </c>
      <c r="GF39">
        <v>-201499009</v>
      </c>
      <c r="GG39">
        <v>1</v>
      </c>
      <c r="GH39">
        <v>1</v>
      </c>
      <c r="GI39">
        <v>4</v>
      </c>
      <c r="GJ39">
        <v>0</v>
      </c>
      <c r="GK39">
        <f>ROUND(R39*(R12)/100,2)</f>
        <v>0</v>
      </c>
      <c r="GL39">
        <f t="shared" si="47"/>
        <v>0</v>
      </c>
      <c r="GM39">
        <f t="shared" si="48"/>
        <v>104.2</v>
      </c>
      <c r="GN39">
        <f t="shared" si="49"/>
        <v>104.2</v>
      </c>
      <c r="GO39">
        <f t="shared" si="50"/>
        <v>0</v>
      </c>
      <c r="GP39">
        <f t="shared" si="51"/>
        <v>0</v>
      </c>
      <c r="GR39">
        <v>0</v>
      </c>
      <c r="GS39">
        <v>3</v>
      </c>
      <c r="GT39">
        <v>0</v>
      </c>
      <c r="GU39" t="s">
        <v>6</v>
      </c>
      <c r="GV39">
        <f t="shared" si="52"/>
        <v>0</v>
      </c>
      <c r="GW39">
        <v>1</v>
      </c>
      <c r="GX39">
        <f t="shared" si="53"/>
        <v>0</v>
      </c>
      <c r="HA39">
        <v>0</v>
      </c>
      <c r="HB39">
        <v>0</v>
      </c>
      <c r="HC39">
        <f t="shared" si="54"/>
        <v>0</v>
      </c>
      <c r="IK39">
        <v>0</v>
      </c>
    </row>
    <row r="40" spans="1:245" x14ac:dyDescent="0.2">
      <c r="A40">
        <v>18</v>
      </c>
      <c r="B40">
        <v>1</v>
      </c>
      <c r="C40">
        <v>44</v>
      </c>
      <c r="E40" t="s">
        <v>97</v>
      </c>
      <c r="F40" t="s">
        <v>98</v>
      </c>
      <c r="G40" t="s">
        <v>99</v>
      </c>
      <c r="H40" t="s">
        <v>62</v>
      </c>
      <c r="I40">
        <f>I39*J40</f>
        <v>2</v>
      </c>
      <c r="J40">
        <v>10</v>
      </c>
      <c r="O40">
        <f t="shared" si="21"/>
        <v>50.19</v>
      </c>
      <c r="P40">
        <f t="shared" si="22"/>
        <v>50.19</v>
      </c>
      <c r="Q40">
        <f t="shared" si="23"/>
        <v>0</v>
      </c>
      <c r="R40">
        <f t="shared" si="24"/>
        <v>0</v>
      </c>
      <c r="S40">
        <f t="shared" si="25"/>
        <v>0</v>
      </c>
      <c r="T40">
        <f t="shared" si="26"/>
        <v>0</v>
      </c>
      <c r="U40">
        <f t="shared" si="27"/>
        <v>0</v>
      </c>
      <c r="V40">
        <f t="shared" si="28"/>
        <v>0</v>
      </c>
      <c r="W40">
        <f t="shared" si="29"/>
        <v>0</v>
      </c>
      <c r="X40">
        <f t="shared" si="30"/>
        <v>0</v>
      </c>
      <c r="Y40">
        <f t="shared" si="31"/>
        <v>0</v>
      </c>
      <c r="AA40">
        <v>16812721</v>
      </c>
      <c r="AB40">
        <f t="shared" si="32"/>
        <v>3.74</v>
      </c>
      <c r="AC40">
        <f t="shared" si="59"/>
        <v>3.74</v>
      </c>
      <c r="AD40">
        <f>ROUND((((ET40)-(EU40))+AE40),2)</f>
        <v>0</v>
      </c>
      <c r="AE40">
        <f>ROUND((EU40),2)</f>
        <v>0</v>
      </c>
      <c r="AF40">
        <f>ROUND((EV40),2)</f>
        <v>0</v>
      </c>
      <c r="AG40">
        <f t="shared" si="33"/>
        <v>0</v>
      </c>
      <c r="AH40">
        <f>(EW40)</f>
        <v>0</v>
      </c>
      <c r="AI40">
        <f>(EX40)</f>
        <v>0</v>
      </c>
      <c r="AJ40">
        <f t="shared" si="34"/>
        <v>0</v>
      </c>
      <c r="AK40">
        <v>3.74</v>
      </c>
      <c r="AL40">
        <v>3.74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115</v>
      </c>
      <c r="AU40">
        <v>71</v>
      </c>
      <c r="AV40">
        <v>1</v>
      </c>
      <c r="AW40">
        <v>1</v>
      </c>
      <c r="AZ40">
        <v>6.71</v>
      </c>
      <c r="BA40">
        <v>1</v>
      </c>
      <c r="BB40">
        <v>1</v>
      </c>
      <c r="BC40">
        <v>6.71</v>
      </c>
      <c r="BD40" t="s">
        <v>6</v>
      </c>
      <c r="BE40" t="s">
        <v>6</v>
      </c>
      <c r="BF40" t="s">
        <v>6</v>
      </c>
      <c r="BG40" t="s">
        <v>6</v>
      </c>
      <c r="BH40">
        <v>3</v>
      </c>
      <c r="BI40">
        <v>1</v>
      </c>
      <c r="BJ40" t="s">
        <v>100</v>
      </c>
      <c r="BM40">
        <v>17001</v>
      </c>
      <c r="BN40">
        <v>0</v>
      </c>
      <c r="BO40" t="s">
        <v>6</v>
      </c>
      <c r="BP40">
        <v>0</v>
      </c>
      <c r="BQ40">
        <v>2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6</v>
      </c>
      <c r="BZ40">
        <v>128</v>
      </c>
      <c r="CA40">
        <v>83</v>
      </c>
      <c r="CE40">
        <v>0</v>
      </c>
      <c r="CF40">
        <v>0</v>
      </c>
      <c r="CG40">
        <v>0</v>
      </c>
      <c r="CM40">
        <v>0</v>
      </c>
      <c r="CN40" t="s">
        <v>6</v>
      </c>
      <c r="CO40">
        <v>0</v>
      </c>
      <c r="CP40">
        <f t="shared" si="35"/>
        <v>50.19</v>
      </c>
      <c r="CQ40">
        <f t="shared" si="36"/>
        <v>25.095400000000001</v>
      </c>
      <c r="CR40">
        <f t="shared" si="37"/>
        <v>0</v>
      </c>
      <c r="CS40">
        <f t="shared" si="38"/>
        <v>0</v>
      </c>
      <c r="CT40">
        <f t="shared" si="39"/>
        <v>0</v>
      </c>
      <c r="CU40">
        <f t="shared" si="40"/>
        <v>0</v>
      </c>
      <c r="CV40">
        <f t="shared" si="41"/>
        <v>0</v>
      </c>
      <c r="CW40">
        <f t="shared" si="42"/>
        <v>0</v>
      </c>
      <c r="CX40">
        <f t="shared" si="43"/>
        <v>0</v>
      </c>
      <c r="CY40">
        <f t="shared" si="44"/>
        <v>0</v>
      </c>
      <c r="CZ40">
        <f t="shared" si="45"/>
        <v>0</v>
      </c>
      <c r="DC40" t="s">
        <v>6</v>
      </c>
      <c r="DD40" t="s">
        <v>6</v>
      </c>
      <c r="DE40" t="s">
        <v>6</v>
      </c>
      <c r="DF40" t="s">
        <v>6</v>
      </c>
      <c r="DG40" t="s">
        <v>6</v>
      </c>
      <c r="DH40" t="s">
        <v>6</v>
      </c>
      <c r="DI40" t="s">
        <v>6</v>
      </c>
      <c r="DJ40" t="s">
        <v>6</v>
      </c>
      <c r="DK40" t="s">
        <v>6</v>
      </c>
      <c r="DL40" t="s">
        <v>6</v>
      </c>
      <c r="DM40" t="s">
        <v>6</v>
      </c>
      <c r="DN40">
        <v>0</v>
      </c>
      <c r="DO40">
        <v>0</v>
      </c>
      <c r="DP40">
        <v>1</v>
      </c>
      <c r="DQ40">
        <v>1</v>
      </c>
      <c r="DU40">
        <v>1010</v>
      </c>
      <c r="DV40" t="s">
        <v>62</v>
      </c>
      <c r="DW40" t="s">
        <v>62</v>
      </c>
      <c r="DX40">
        <v>1</v>
      </c>
      <c r="EE40">
        <v>16510515</v>
      </c>
      <c r="EF40">
        <v>2</v>
      </c>
      <c r="EG40" t="s">
        <v>20</v>
      </c>
      <c r="EH40">
        <v>0</v>
      </c>
      <c r="EI40" t="s">
        <v>6</v>
      </c>
      <c r="EJ40">
        <v>1</v>
      </c>
      <c r="EK40">
        <v>17001</v>
      </c>
      <c r="EL40" t="s">
        <v>92</v>
      </c>
      <c r="EM40" t="s">
        <v>93</v>
      </c>
      <c r="EO40" t="s">
        <v>6</v>
      </c>
      <c r="EQ40">
        <v>0</v>
      </c>
      <c r="ER40">
        <v>3.74</v>
      </c>
      <c r="ES40">
        <v>3.74</v>
      </c>
      <c r="ET40">
        <v>0</v>
      </c>
      <c r="EU40">
        <v>0</v>
      </c>
      <c r="EV40">
        <v>0</v>
      </c>
      <c r="EW40">
        <v>0</v>
      </c>
      <c r="EX40">
        <v>0</v>
      </c>
      <c r="FQ40">
        <v>0</v>
      </c>
      <c r="FR40">
        <f t="shared" si="46"/>
        <v>0</v>
      </c>
      <c r="FS40">
        <v>0</v>
      </c>
      <c r="FT40" t="s">
        <v>23</v>
      </c>
      <c r="FU40" t="s">
        <v>24</v>
      </c>
      <c r="FX40">
        <v>115.2</v>
      </c>
      <c r="FY40">
        <v>70.55</v>
      </c>
      <c r="GA40" t="s">
        <v>6</v>
      </c>
      <c r="GD40">
        <v>0</v>
      </c>
      <c r="GF40">
        <v>2053814225</v>
      </c>
      <c r="GG40">
        <v>1</v>
      </c>
      <c r="GH40">
        <v>1</v>
      </c>
      <c r="GI40">
        <v>4</v>
      </c>
      <c r="GJ40">
        <v>0</v>
      </c>
      <c r="GK40">
        <f>ROUND(R40*(R12)/100,2)</f>
        <v>0</v>
      </c>
      <c r="GL40">
        <f t="shared" si="47"/>
        <v>0</v>
      </c>
      <c r="GM40">
        <f t="shared" si="48"/>
        <v>50.19</v>
      </c>
      <c r="GN40">
        <f t="shared" si="49"/>
        <v>50.19</v>
      </c>
      <c r="GO40">
        <f t="shared" si="50"/>
        <v>0</v>
      </c>
      <c r="GP40">
        <f t="shared" si="51"/>
        <v>0</v>
      </c>
      <c r="GR40">
        <v>0</v>
      </c>
      <c r="GS40">
        <v>0</v>
      </c>
      <c r="GT40">
        <v>0</v>
      </c>
      <c r="GU40" t="s">
        <v>6</v>
      </c>
      <c r="GV40">
        <f t="shared" si="52"/>
        <v>0</v>
      </c>
      <c r="GW40">
        <v>1</v>
      </c>
      <c r="GX40">
        <f t="shared" si="53"/>
        <v>0</v>
      </c>
      <c r="HA40">
        <v>0</v>
      </c>
      <c r="HB40">
        <v>0</v>
      </c>
      <c r="HC40">
        <f t="shared" si="54"/>
        <v>0</v>
      </c>
      <c r="IK40">
        <v>0</v>
      </c>
    </row>
    <row r="41" spans="1:245" x14ac:dyDescent="0.2">
      <c r="A41">
        <v>17</v>
      </c>
      <c r="B41">
        <v>1</v>
      </c>
      <c r="C41">
        <f>ROW(SmtRes!A54)</f>
        <v>54</v>
      </c>
      <c r="D41">
        <f>ROW(EtalonRes!A64)</f>
        <v>64</v>
      </c>
      <c r="E41" t="s">
        <v>101</v>
      </c>
      <c r="F41" t="s">
        <v>26</v>
      </c>
      <c r="G41" t="s">
        <v>102</v>
      </c>
      <c r="H41" t="s">
        <v>28</v>
      </c>
      <c r="I41">
        <v>11.43</v>
      </c>
      <c r="J41">
        <v>0</v>
      </c>
      <c r="O41">
        <f t="shared" si="21"/>
        <v>5453.8</v>
      </c>
      <c r="P41">
        <f t="shared" si="22"/>
        <v>1972.6</v>
      </c>
      <c r="Q41">
        <f t="shared" si="23"/>
        <v>1381.28</v>
      </c>
      <c r="R41">
        <f t="shared" si="24"/>
        <v>188.67</v>
      </c>
      <c r="S41">
        <f t="shared" si="25"/>
        <v>2099.92</v>
      </c>
      <c r="T41">
        <f t="shared" si="26"/>
        <v>0</v>
      </c>
      <c r="U41">
        <f t="shared" si="27"/>
        <v>31.546799999999998</v>
      </c>
      <c r="V41">
        <f t="shared" si="28"/>
        <v>2.4288750000000001</v>
      </c>
      <c r="W41">
        <f t="shared" si="29"/>
        <v>0</v>
      </c>
      <c r="X41">
        <f t="shared" si="30"/>
        <v>1853.76</v>
      </c>
      <c r="Y41">
        <f t="shared" si="31"/>
        <v>1647.78</v>
      </c>
      <c r="AA41">
        <v>16812721</v>
      </c>
      <c r="AB41">
        <f t="shared" si="32"/>
        <v>71.11</v>
      </c>
      <c r="AC41">
        <f t="shared" si="59"/>
        <v>25.72</v>
      </c>
      <c r="AD41">
        <f>ROUND(((((ET41*1.25))-((EU41*1.25)))+AE41),2)</f>
        <v>18.010000000000002</v>
      </c>
      <c r="AE41">
        <f>ROUND(((EU41*1.25)),2)</f>
        <v>2.46</v>
      </c>
      <c r="AF41">
        <f>ROUND(((EV41*1.15)),2)</f>
        <v>27.38</v>
      </c>
      <c r="AG41">
        <f t="shared" si="33"/>
        <v>0</v>
      </c>
      <c r="AH41">
        <f>((EW41*1.15))</f>
        <v>2.76</v>
      </c>
      <c r="AI41">
        <f>((EX41*1.25))</f>
        <v>0.21250000000000002</v>
      </c>
      <c r="AJ41">
        <f t="shared" si="34"/>
        <v>0</v>
      </c>
      <c r="AK41">
        <v>63.94</v>
      </c>
      <c r="AL41">
        <v>25.72</v>
      </c>
      <c r="AM41">
        <v>14.41</v>
      </c>
      <c r="AN41">
        <v>1.97</v>
      </c>
      <c r="AO41">
        <v>23.81</v>
      </c>
      <c r="AP41">
        <v>0</v>
      </c>
      <c r="AQ41">
        <v>2.4</v>
      </c>
      <c r="AR41">
        <v>0.17</v>
      </c>
      <c r="AS41">
        <v>0</v>
      </c>
      <c r="AT41">
        <v>81</v>
      </c>
      <c r="AU41">
        <v>72</v>
      </c>
      <c r="AV41">
        <v>1</v>
      </c>
      <c r="AW41">
        <v>1</v>
      </c>
      <c r="AZ41">
        <v>6.71</v>
      </c>
      <c r="BA41">
        <v>6.71</v>
      </c>
      <c r="BB41">
        <v>6.71</v>
      </c>
      <c r="BC41">
        <v>6.71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29</v>
      </c>
      <c r="BM41">
        <v>9001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6.71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90</v>
      </c>
      <c r="CA41">
        <v>85</v>
      </c>
      <c r="CE41">
        <v>0</v>
      </c>
      <c r="CF41">
        <v>0</v>
      </c>
      <c r="CG41">
        <v>0</v>
      </c>
      <c r="CM41">
        <v>0</v>
      </c>
      <c r="CN41" t="s">
        <v>1138</v>
      </c>
      <c r="CO41">
        <v>0</v>
      </c>
      <c r="CP41">
        <f t="shared" si="35"/>
        <v>5453.8</v>
      </c>
      <c r="CQ41">
        <f t="shared" si="36"/>
        <v>172.5812</v>
      </c>
      <c r="CR41">
        <f t="shared" si="37"/>
        <v>120.84710000000001</v>
      </c>
      <c r="CS41">
        <f t="shared" si="38"/>
        <v>16.506599999999999</v>
      </c>
      <c r="CT41">
        <f t="shared" si="39"/>
        <v>183.71979999999999</v>
      </c>
      <c r="CU41">
        <f t="shared" si="40"/>
        <v>0</v>
      </c>
      <c r="CV41">
        <f t="shared" si="41"/>
        <v>2.76</v>
      </c>
      <c r="CW41">
        <f t="shared" si="42"/>
        <v>0.21250000000000002</v>
      </c>
      <c r="CX41">
        <f t="shared" si="43"/>
        <v>0</v>
      </c>
      <c r="CY41">
        <f t="shared" si="44"/>
        <v>1853.7579000000001</v>
      </c>
      <c r="CZ41">
        <f t="shared" si="45"/>
        <v>1647.7848000000001</v>
      </c>
      <c r="DC41" t="s">
        <v>6</v>
      </c>
      <c r="DD41" t="s">
        <v>6</v>
      </c>
      <c r="DE41" t="s">
        <v>103</v>
      </c>
      <c r="DF41" t="s">
        <v>103</v>
      </c>
      <c r="DG41" t="s">
        <v>104</v>
      </c>
      <c r="DH41" t="s">
        <v>6</v>
      </c>
      <c r="DI41" t="s">
        <v>104</v>
      </c>
      <c r="DJ41" t="s">
        <v>103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1005</v>
      </c>
      <c r="DV41" t="s">
        <v>28</v>
      </c>
      <c r="DW41" t="s">
        <v>28</v>
      </c>
      <c r="DX41">
        <v>1</v>
      </c>
      <c r="EE41">
        <v>16510486</v>
      </c>
      <c r="EF41">
        <v>2</v>
      </c>
      <c r="EG41" t="s">
        <v>20</v>
      </c>
      <c r="EH41">
        <v>0</v>
      </c>
      <c r="EI41" t="s">
        <v>6</v>
      </c>
      <c r="EJ41">
        <v>1</v>
      </c>
      <c r="EK41">
        <v>9001</v>
      </c>
      <c r="EL41" t="s">
        <v>33</v>
      </c>
      <c r="EM41" t="s">
        <v>34</v>
      </c>
      <c r="EO41" t="s">
        <v>105</v>
      </c>
      <c r="EQ41">
        <v>131072</v>
      </c>
      <c r="ER41">
        <v>63.94</v>
      </c>
      <c r="ES41">
        <v>25.72</v>
      </c>
      <c r="ET41">
        <v>14.41</v>
      </c>
      <c r="EU41">
        <v>1.97</v>
      </c>
      <c r="EV41">
        <v>23.81</v>
      </c>
      <c r="EW41">
        <v>2.4</v>
      </c>
      <c r="EX41">
        <v>0.17</v>
      </c>
      <c r="EY41">
        <v>0</v>
      </c>
      <c r="FQ41">
        <v>0</v>
      </c>
      <c r="FR41">
        <f t="shared" si="46"/>
        <v>0</v>
      </c>
      <c r="FS41">
        <v>0</v>
      </c>
      <c r="FT41" t="s">
        <v>23</v>
      </c>
      <c r="FU41" t="s">
        <v>24</v>
      </c>
      <c r="FX41">
        <v>81</v>
      </c>
      <c r="FY41">
        <v>72.25</v>
      </c>
      <c r="GA41" t="s">
        <v>6</v>
      </c>
      <c r="GD41">
        <v>0</v>
      </c>
      <c r="GF41">
        <v>1555078569</v>
      </c>
      <c r="GG41">
        <v>1</v>
      </c>
      <c r="GH41">
        <v>1</v>
      </c>
      <c r="GI41">
        <v>4</v>
      </c>
      <c r="GJ41">
        <v>0</v>
      </c>
      <c r="GK41">
        <f>ROUND(R41*(R12)/100,2)</f>
        <v>0</v>
      </c>
      <c r="GL41">
        <f t="shared" si="47"/>
        <v>0</v>
      </c>
      <c r="GM41">
        <f t="shared" si="48"/>
        <v>8955.34</v>
      </c>
      <c r="GN41">
        <f t="shared" si="49"/>
        <v>8955.34</v>
      </c>
      <c r="GO41">
        <f t="shared" si="50"/>
        <v>0</v>
      </c>
      <c r="GP41">
        <f t="shared" si="51"/>
        <v>0</v>
      </c>
      <c r="GR41">
        <v>0</v>
      </c>
      <c r="GS41">
        <v>0</v>
      </c>
      <c r="GT41">
        <v>0</v>
      </c>
      <c r="GU41" t="s">
        <v>6</v>
      </c>
      <c r="GV41">
        <f t="shared" si="52"/>
        <v>0</v>
      </c>
      <c r="GW41">
        <v>1</v>
      </c>
      <c r="GX41">
        <f t="shared" si="53"/>
        <v>0</v>
      </c>
      <c r="HA41">
        <v>0</v>
      </c>
      <c r="HB41">
        <v>0</v>
      </c>
      <c r="HC41">
        <f t="shared" si="54"/>
        <v>0</v>
      </c>
      <c r="IK41">
        <v>0</v>
      </c>
    </row>
    <row r="42" spans="1:245" x14ac:dyDescent="0.2">
      <c r="A42">
        <v>18</v>
      </c>
      <c r="B42">
        <v>1</v>
      </c>
      <c r="C42">
        <v>52</v>
      </c>
      <c r="E42" t="s">
        <v>106</v>
      </c>
      <c r="F42" t="s">
        <v>107</v>
      </c>
      <c r="G42" t="s">
        <v>108</v>
      </c>
      <c r="H42" t="s">
        <v>62</v>
      </c>
      <c r="I42">
        <f>I41*J42</f>
        <v>1</v>
      </c>
      <c r="J42">
        <v>8.7489063867016631E-2</v>
      </c>
      <c r="O42">
        <f t="shared" si="21"/>
        <v>20834.28</v>
      </c>
      <c r="P42">
        <f t="shared" si="22"/>
        <v>20834.28</v>
      </c>
      <c r="Q42">
        <f t="shared" si="23"/>
        <v>0</v>
      </c>
      <c r="R42">
        <f t="shared" si="24"/>
        <v>0</v>
      </c>
      <c r="S42">
        <f t="shared" si="25"/>
        <v>0</v>
      </c>
      <c r="T42">
        <f t="shared" si="26"/>
        <v>0</v>
      </c>
      <c r="U42">
        <f t="shared" si="27"/>
        <v>0</v>
      </c>
      <c r="V42">
        <f t="shared" si="28"/>
        <v>0</v>
      </c>
      <c r="W42">
        <f t="shared" si="29"/>
        <v>0</v>
      </c>
      <c r="X42">
        <f t="shared" si="30"/>
        <v>0</v>
      </c>
      <c r="Y42">
        <f t="shared" si="31"/>
        <v>0</v>
      </c>
      <c r="AA42">
        <v>16812721</v>
      </c>
      <c r="AB42">
        <f t="shared" si="32"/>
        <v>3104.96</v>
      </c>
      <c r="AC42">
        <f t="shared" si="59"/>
        <v>3104.96</v>
      </c>
      <c r="AD42">
        <f t="shared" ref="AD42:AD50" si="60">ROUND((((ET42)-(EU42))+AE42),2)</f>
        <v>0</v>
      </c>
      <c r="AE42">
        <f t="shared" ref="AE42:AE50" si="61">ROUND((EU42),2)</f>
        <v>0</v>
      </c>
      <c r="AF42">
        <f t="shared" ref="AF42:AF50" si="62">ROUND((EV42),2)</f>
        <v>0</v>
      </c>
      <c r="AG42">
        <f t="shared" si="33"/>
        <v>0</v>
      </c>
      <c r="AH42">
        <f t="shared" ref="AH42:AH50" si="63">(EW42)</f>
        <v>0</v>
      </c>
      <c r="AI42">
        <f t="shared" ref="AI42:AI50" si="64">(EX42)</f>
        <v>0</v>
      </c>
      <c r="AJ42">
        <f t="shared" si="34"/>
        <v>0</v>
      </c>
      <c r="AK42">
        <v>3104.96</v>
      </c>
      <c r="AL42">
        <v>3104.96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81</v>
      </c>
      <c r="AU42">
        <v>72</v>
      </c>
      <c r="AV42">
        <v>1</v>
      </c>
      <c r="AW42">
        <v>1</v>
      </c>
      <c r="AZ42">
        <v>6.71</v>
      </c>
      <c r="BA42">
        <v>1</v>
      </c>
      <c r="BB42">
        <v>1</v>
      </c>
      <c r="BC42">
        <v>6.71</v>
      </c>
      <c r="BD42" t="s">
        <v>6</v>
      </c>
      <c r="BE42" t="s">
        <v>6</v>
      </c>
      <c r="BF42" t="s">
        <v>6</v>
      </c>
      <c r="BG42" t="s">
        <v>6</v>
      </c>
      <c r="BH42">
        <v>3</v>
      </c>
      <c r="BI42">
        <v>1</v>
      </c>
      <c r="BJ42" t="s">
        <v>109</v>
      </c>
      <c r="BM42">
        <v>9001</v>
      </c>
      <c r="BN42">
        <v>0</v>
      </c>
      <c r="BO42" t="s">
        <v>6</v>
      </c>
      <c r="BP42">
        <v>0</v>
      </c>
      <c r="BQ42">
        <v>2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6</v>
      </c>
      <c r="BZ42">
        <v>90</v>
      </c>
      <c r="CA42">
        <v>85</v>
      </c>
      <c r="CE42">
        <v>0</v>
      </c>
      <c r="CF42">
        <v>0</v>
      </c>
      <c r="CG42">
        <v>0</v>
      </c>
      <c r="CM42">
        <v>0</v>
      </c>
      <c r="CN42" t="s">
        <v>6</v>
      </c>
      <c r="CO42">
        <v>0</v>
      </c>
      <c r="CP42">
        <f t="shared" si="35"/>
        <v>20834.28</v>
      </c>
      <c r="CQ42">
        <f t="shared" si="36"/>
        <v>20834.281599999998</v>
      </c>
      <c r="CR42">
        <f t="shared" si="37"/>
        <v>0</v>
      </c>
      <c r="CS42">
        <f t="shared" si="38"/>
        <v>0</v>
      </c>
      <c r="CT42">
        <f t="shared" si="39"/>
        <v>0</v>
      </c>
      <c r="CU42">
        <f t="shared" si="40"/>
        <v>0</v>
      </c>
      <c r="CV42">
        <f t="shared" si="41"/>
        <v>0</v>
      </c>
      <c r="CW42">
        <f t="shared" si="42"/>
        <v>0</v>
      </c>
      <c r="CX42">
        <f t="shared" si="43"/>
        <v>0</v>
      </c>
      <c r="CY42">
        <f t="shared" si="44"/>
        <v>0</v>
      </c>
      <c r="CZ42">
        <f t="shared" si="45"/>
        <v>0</v>
      </c>
      <c r="DC42" t="s">
        <v>6</v>
      </c>
      <c r="DD42" t="s">
        <v>6</v>
      </c>
      <c r="DE42" t="s">
        <v>6</v>
      </c>
      <c r="DF42" t="s">
        <v>6</v>
      </c>
      <c r="DG42" t="s">
        <v>6</v>
      </c>
      <c r="DH42" t="s">
        <v>6</v>
      </c>
      <c r="DI42" t="s">
        <v>6</v>
      </c>
      <c r="DJ42" t="s">
        <v>6</v>
      </c>
      <c r="DK42" t="s">
        <v>6</v>
      </c>
      <c r="DL42" t="s">
        <v>6</v>
      </c>
      <c r="DM42" t="s">
        <v>6</v>
      </c>
      <c r="DN42">
        <v>0</v>
      </c>
      <c r="DO42">
        <v>0</v>
      </c>
      <c r="DP42">
        <v>1</v>
      </c>
      <c r="DQ42">
        <v>1</v>
      </c>
      <c r="DU42">
        <v>1010</v>
      </c>
      <c r="DV42" t="s">
        <v>62</v>
      </c>
      <c r="DW42" t="s">
        <v>62</v>
      </c>
      <c r="DX42">
        <v>1</v>
      </c>
      <c r="EE42">
        <v>16510486</v>
      </c>
      <c r="EF42">
        <v>2</v>
      </c>
      <c r="EG42" t="s">
        <v>20</v>
      </c>
      <c r="EH42">
        <v>0</v>
      </c>
      <c r="EI42" t="s">
        <v>6</v>
      </c>
      <c r="EJ42">
        <v>1</v>
      </c>
      <c r="EK42">
        <v>9001</v>
      </c>
      <c r="EL42" t="s">
        <v>33</v>
      </c>
      <c r="EM42" t="s">
        <v>34</v>
      </c>
      <c r="EO42" t="s">
        <v>6</v>
      </c>
      <c r="EQ42">
        <v>0</v>
      </c>
      <c r="ER42">
        <v>3104.96</v>
      </c>
      <c r="ES42">
        <v>3104.96</v>
      </c>
      <c r="ET42">
        <v>0</v>
      </c>
      <c r="EU42">
        <v>0</v>
      </c>
      <c r="EV42">
        <v>0</v>
      </c>
      <c r="EW42">
        <v>0</v>
      </c>
      <c r="EX42">
        <v>0</v>
      </c>
      <c r="FQ42">
        <v>0</v>
      </c>
      <c r="FR42">
        <f t="shared" si="46"/>
        <v>0</v>
      </c>
      <c r="FS42">
        <v>0</v>
      </c>
      <c r="FT42" t="s">
        <v>23</v>
      </c>
      <c r="FU42" t="s">
        <v>24</v>
      </c>
      <c r="FX42">
        <v>81</v>
      </c>
      <c r="FY42">
        <v>72.25</v>
      </c>
      <c r="GA42" t="s">
        <v>6</v>
      </c>
      <c r="GD42">
        <v>0</v>
      </c>
      <c r="GF42">
        <v>-1282337098</v>
      </c>
      <c r="GG42">
        <v>1</v>
      </c>
      <c r="GH42">
        <v>1</v>
      </c>
      <c r="GI42">
        <v>4</v>
      </c>
      <c r="GJ42">
        <v>0</v>
      </c>
      <c r="GK42">
        <f>ROUND(R42*(R12)/100,2)</f>
        <v>0</v>
      </c>
      <c r="GL42">
        <f t="shared" si="47"/>
        <v>0</v>
      </c>
      <c r="GM42">
        <f t="shared" si="48"/>
        <v>20834.28</v>
      </c>
      <c r="GN42">
        <f t="shared" si="49"/>
        <v>20834.28</v>
      </c>
      <c r="GO42">
        <f t="shared" si="50"/>
        <v>0</v>
      </c>
      <c r="GP42">
        <f t="shared" si="51"/>
        <v>0</v>
      </c>
      <c r="GR42">
        <v>0</v>
      </c>
      <c r="GS42">
        <v>3</v>
      </c>
      <c r="GT42">
        <v>0</v>
      </c>
      <c r="GU42" t="s">
        <v>6</v>
      </c>
      <c r="GV42">
        <f t="shared" si="52"/>
        <v>0</v>
      </c>
      <c r="GW42">
        <v>1</v>
      </c>
      <c r="GX42">
        <f t="shared" si="53"/>
        <v>0</v>
      </c>
      <c r="HA42">
        <v>0</v>
      </c>
      <c r="HB42">
        <v>0</v>
      </c>
      <c r="HC42">
        <f t="shared" si="54"/>
        <v>0</v>
      </c>
      <c r="IK42">
        <v>0</v>
      </c>
    </row>
    <row r="43" spans="1:245" x14ac:dyDescent="0.2">
      <c r="A43">
        <v>18</v>
      </c>
      <c r="B43">
        <v>1</v>
      </c>
      <c r="C43">
        <v>51</v>
      </c>
      <c r="E43" t="s">
        <v>110</v>
      </c>
      <c r="F43" t="s">
        <v>111</v>
      </c>
      <c r="G43" t="s">
        <v>112</v>
      </c>
      <c r="H43" t="s">
        <v>62</v>
      </c>
      <c r="I43">
        <f>I41*J43</f>
        <v>2</v>
      </c>
      <c r="J43">
        <v>0.17497812773403326</v>
      </c>
      <c r="O43">
        <f t="shared" si="21"/>
        <v>73155.240000000005</v>
      </c>
      <c r="P43">
        <f t="shared" si="22"/>
        <v>73155.240000000005</v>
      </c>
      <c r="Q43">
        <f t="shared" si="23"/>
        <v>0</v>
      </c>
      <c r="R43">
        <f t="shared" si="24"/>
        <v>0</v>
      </c>
      <c r="S43">
        <f t="shared" si="25"/>
        <v>0</v>
      </c>
      <c r="T43">
        <f t="shared" si="26"/>
        <v>0</v>
      </c>
      <c r="U43">
        <f t="shared" si="27"/>
        <v>0</v>
      </c>
      <c r="V43">
        <f t="shared" si="28"/>
        <v>0</v>
      </c>
      <c r="W43">
        <f t="shared" si="29"/>
        <v>0</v>
      </c>
      <c r="X43">
        <f t="shared" si="30"/>
        <v>0</v>
      </c>
      <c r="Y43">
        <f t="shared" si="31"/>
        <v>0</v>
      </c>
      <c r="AA43">
        <v>16812721</v>
      </c>
      <c r="AB43">
        <f t="shared" si="32"/>
        <v>5451.21</v>
      </c>
      <c r="AC43">
        <f t="shared" si="59"/>
        <v>5451.21</v>
      </c>
      <c r="AD43">
        <f t="shared" si="60"/>
        <v>0</v>
      </c>
      <c r="AE43">
        <f t="shared" si="61"/>
        <v>0</v>
      </c>
      <c r="AF43">
        <f t="shared" si="62"/>
        <v>0</v>
      </c>
      <c r="AG43">
        <f t="shared" si="33"/>
        <v>0</v>
      </c>
      <c r="AH43">
        <f t="shared" si="63"/>
        <v>0</v>
      </c>
      <c r="AI43">
        <f t="shared" si="64"/>
        <v>0</v>
      </c>
      <c r="AJ43">
        <f t="shared" si="34"/>
        <v>0</v>
      </c>
      <c r="AK43">
        <v>5451.21</v>
      </c>
      <c r="AL43">
        <v>5451.21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81</v>
      </c>
      <c r="AU43">
        <v>72</v>
      </c>
      <c r="AV43">
        <v>1</v>
      </c>
      <c r="AW43">
        <v>1</v>
      </c>
      <c r="AZ43">
        <v>6.71</v>
      </c>
      <c r="BA43">
        <v>1</v>
      </c>
      <c r="BB43">
        <v>1</v>
      </c>
      <c r="BC43">
        <v>6.71</v>
      </c>
      <c r="BD43" t="s">
        <v>6</v>
      </c>
      <c r="BE43" t="s">
        <v>6</v>
      </c>
      <c r="BF43" t="s">
        <v>6</v>
      </c>
      <c r="BG43" t="s">
        <v>6</v>
      </c>
      <c r="BH43">
        <v>3</v>
      </c>
      <c r="BI43">
        <v>1</v>
      </c>
      <c r="BJ43" t="s">
        <v>113</v>
      </c>
      <c r="BM43">
        <v>9001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90</v>
      </c>
      <c r="CA43">
        <v>85</v>
      </c>
      <c r="CE43">
        <v>0</v>
      </c>
      <c r="CF43">
        <v>0</v>
      </c>
      <c r="CG43">
        <v>0</v>
      </c>
      <c r="CM43">
        <v>0</v>
      </c>
      <c r="CN43" t="s">
        <v>6</v>
      </c>
      <c r="CO43">
        <v>0</v>
      </c>
      <c r="CP43">
        <f t="shared" si="35"/>
        <v>73155.240000000005</v>
      </c>
      <c r="CQ43">
        <f t="shared" si="36"/>
        <v>36577.619100000004</v>
      </c>
      <c r="CR43">
        <f t="shared" si="37"/>
        <v>0</v>
      </c>
      <c r="CS43">
        <f t="shared" si="38"/>
        <v>0</v>
      </c>
      <c r="CT43">
        <f t="shared" si="39"/>
        <v>0</v>
      </c>
      <c r="CU43">
        <f t="shared" si="40"/>
        <v>0</v>
      </c>
      <c r="CV43">
        <f t="shared" si="41"/>
        <v>0</v>
      </c>
      <c r="CW43">
        <f t="shared" si="42"/>
        <v>0</v>
      </c>
      <c r="CX43">
        <f t="shared" si="43"/>
        <v>0</v>
      </c>
      <c r="CY43">
        <f t="shared" si="44"/>
        <v>0</v>
      </c>
      <c r="CZ43">
        <f t="shared" si="45"/>
        <v>0</v>
      </c>
      <c r="DC43" t="s">
        <v>6</v>
      </c>
      <c r="DD43" t="s">
        <v>6</v>
      </c>
      <c r="DE43" t="s">
        <v>6</v>
      </c>
      <c r="DF43" t="s">
        <v>6</v>
      </c>
      <c r="DG43" t="s">
        <v>6</v>
      </c>
      <c r="DH43" t="s">
        <v>6</v>
      </c>
      <c r="DI43" t="s">
        <v>6</v>
      </c>
      <c r="DJ43" t="s">
        <v>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1010</v>
      </c>
      <c r="DV43" t="s">
        <v>62</v>
      </c>
      <c r="DW43" t="s">
        <v>62</v>
      </c>
      <c r="DX43">
        <v>1</v>
      </c>
      <c r="EE43">
        <v>16510486</v>
      </c>
      <c r="EF43">
        <v>2</v>
      </c>
      <c r="EG43" t="s">
        <v>20</v>
      </c>
      <c r="EH43">
        <v>0</v>
      </c>
      <c r="EI43" t="s">
        <v>6</v>
      </c>
      <c r="EJ43">
        <v>1</v>
      </c>
      <c r="EK43">
        <v>9001</v>
      </c>
      <c r="EL43" t="s">
        <v>33</v>
      </c>
      <c r="EM43" t="s">
        <v>34</v>
      </c>
      <c r="EO43" t="s">
        <v>6</v>
      </c>
      <c r="EQ43">
        <v>0</v>
      </c>
      <c r="ER43">
        <v>5451.21</v>
      </c>
      <c r="ES43">
        <v>5451.21</v>
      </c>
      <c r="ET43">
        <v>0</v>
      </c>
      <c r="EU43">
        <v>0</v>
      </c>
      <c r="EV43">
        <v>0</v>
      </c>
      <c r="EW43">
        <v>0</v>
      </c>
      <c r="EX43">
        <v>0</v>
      </c>
      <c r="FQ43">
        <v>0</v>
      </c>
      <c r="FR43">
        <f t="shared" si="46"/>
        <v>0</v>
      </c>
      <c r="FS43">
        <v>0</v>
      </c>
      <c r="FT43" t="s">
        <v>23</v>
      </c>
      <c r="FU43" t="s">
        <v>24</v>
      </c>
      <c r="FX43">
        <v>81</v>
      </c>
      <c r="FY43">
        <v>72.25</v>
      </c>
      <c r="GA43" t="s">
        <v>6</v>
      </c>
      <c r="GD43">
        <v>0</v>
      </c>
      <c r="GF43">
        <v>-1046900556</v>
      </c>
      <c r="GG43">
        <v>1</v>
      </c>
      <c r="GH43">
        <v>1</v>
      </c>
      <c r="GI43">
        <v>4</v>
      </c>
      <c r="GJ43">
        <v>0</v>
      </c>
      <c r="GK43">
        <f>ROUND(R43*(R12)/100,2)</f>
        <v>0</v>
      </c>
      <c r="GL43">
        <f t="shared" si="47"/>
        <v>0</v>
      </c>
      <c r="GM43">
        <f t="shared" si="48"/>
        <v>73155.240000000005</v>
      </c>
      <c r="GN43">
        <f t="shared" si="49"/>
        <v>73155.240000000005</v>
      </c>
      <c r="GO43">
        <f t="shared" si="50"/>
        <v>0</v>
      </c>
      <c r="GP43">
        <f t="shared" si="51"/>
        <v>0</v>
      </c>
      <c r="GR43">
        <v>0</v>
      </c>
      <c r="GS43">
        <v>0</v>
      </c>
      <c r="GT43">
        <v>0</v>
      </c>
      <c r="GU43" t="s">
        <v>6</v>
      </c>
      <c r="GV43">
        <f t="shared" si="52"/>
        <v>0</v>
      </c>
      <c r="GW43">
        <v>1</v>
      </c>
      <c r="GX43">
        <f t="shared" si="53"/>
        <v>0</v>
      </c>
      <c r="HA43">
        <v>0</v>
      </c>
      <c r="HB43">
        <v>0</v>
      </c>
      <c r="HC43">
        <f t="shared" si="54"/>
        <v>0</v>
      </c>
      <c r="IK43">
        <v>0</v>
      </c>
    </row>
    <row r="44" spans="1:245" x14ac:dyDescent="0.2">
      <c r="A44">
        <v>18</v>
      </c>
      <c r="B44">
        <v>1</v>
      </c>
      <c r="C44">
        <v>50</v>
      </c>
      <c r="E44" t="s">
        <v>114</v>
      </c>
      <c r="F44" t="s">
        <v>115</v>
      </c>
      <c r="G44" t="s">
        <v>116</v>
      </c>
      <c r="H44" t="s">
        <v>62</v>
      </c>
      <c r="I44">
        <f>I41*J44</f>
        <v>1</v>
      </c>
      <c r="J44">
        <v>8.7489063867016631E-2</v>
      </c>
      <c r="O44">
        <f t="shared" si="21"/>
        <v>31923.5</v>
      </c>
      <c r="P44">
        <f t="shared" si="22"/>
        <v>31923.5</v>
      </c>
      <c r="Q44">
        <f t="shared" si="23"/>
        <v>0</v>
      </c>
      <c r="R44">
        <f t="shared" si="24"/>
        <v>0</v>
      </c>
      <c r="S44">
        <f t="shared" si="25"/>
        <v>0</v>
      </c>
      <c r="T44">
        <f t="shared" si="26"/>
        <v>0</v>
      </c>
      <c r="U44">
        <f t="shared" si="27"/>
        <v>0</v>
      </c>
      <c r="V44">
        <f t="shared" si="28"/>
        <v>0</v>
      </c>
      <c r="W44">
        <f t="shared" si="29"/>
        <v>0</v>
      </c>
      <c r="X44">
        <f t="shared" si="30"/>
        <v>0</v>
      </c>
      <c r="Y44">
        <f t="shared" si="31"/>
        <v>0</v>
      </c>
      <c r="AA44">
        <v>16812721</v>
      </c>
      <c r="AB44">
        <f t="shared" si="32"/>
        <v>4757.6000000000004</v>
      </c>
      <c r="AC44">
        <f t="shared" si="59"/>
        <v>4757.6000000000004</v>
      </c>
      <c r="AD44">
        <f t="shared" si="60"/>
        <v>0</v>
      </c>
      <c r="AE44">
        <f t="shared" si="61"/>
        <v>0</v>
      </c>
      <c r="AF44">
        <f t="shared" si="62"/>
        <v>0</v>
      </c>
      <c r="AG44">
        <f t="shared" si="33"/>
        <v>0</v>
      </c>
      <c r="AH44">
        <f t="shared" si="63"/>
        <v>0</v>
      </c>
      <c r="AI44">
        <f t="shared" si="64"/>
        <v>0</v>
      </c>
      <c r="AJ44">
        <f t="shared" si="34"/>
        <v>0</v>
      </c>
      <c r="AK44">
        <v>4757.6000000000004</v>
      </c>
      <c r="AL44">
        <v>4757.6000000000004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81</v>
      </c>
      <c r="AU44">
        <v>72</v>
      </c>
      <c r="AV44">
        <v>1</v>
      </c>
      <c r="AW44">
        <v>1</v>
      </c>
      <c r="AZ44">
        <v>6.71</v>
      </c>
      <c r="BA44">
        <v>1</v>
      </c>
      <c r="BB44">
        <v>1</v>
      </c>
      <c r="BC44">
        <v>6.71</v>
      </c>
      <c r="BD44" t="s">
        <v>6</v>
      </c>
      <c r="BE44" t="s">
        <v>6</v>
      </c>
      <c r="BF44" t="s">
        <v>6</v>
      </c>
      <c r="BG44" t="s">
        <v>6</v>
      </c>
      <c r="BH44">
        <v>3</v>
      </c>
      <c r="BI44">
        <v>1</v>
      </c>
      <c r="BJ44" t="s">
        <v>117</v>
      </c>
      <c r="BM44">
        <v>9001</v>
      </c>
      <c r="BN44">
        <v>0</v>
      </c>
      <c r="BO44" t="s">
        <v>6</v>
      </c>
      <c r="BP44">
        <v>0</v>
      </c>
      <c r="BQ44">
        <v>2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6</v>
      </c>
      <c r="BZ44">
        <v>90</v>
      </c>
      <c r="CA44">
        <v>85</v>
      </c>
      <c r="CE44">
        <v>0</v>
      </c>
      <c r="CF44">
        <v>0</v>
      </c>
      <c r="CG44">
        <v>0</v>
      </c>
      <c r="CM44">
        <v>0</v>
      </c>
      <c r="CN44" t="s">
        <v>6</v>
      </c>
      <c r="CO44">
        <v>0</v>
      </c>
      <c r="CP44">
        <f t="shared" si="35"/>
        <v>31923.5</v>
      </c>
      <c r="CQ44">
        <f t="shared" si="36"/>
        <v>31923.496000000003</v>
      </c>
      <c r="CR44">
        <f t="shared" si="37"/>
        <v>0</v>
      </c>
      <c r="CS44">
        <f t="shared" si="38"/>
        <v>0</v>
      </c>
      <c r="CT44">
        <f t="shared" si="39"/>
        <v>0</v>
      </c>
      <c r="CU44">
        <f t="shared" si="40"/>
        <v>0</v>
      </c>
      <c r="CV44">
        <f t="shared" si="41"/>
        <v>0</v>
      </c>
      <c r="CW44">
        <f t="shared" si="42"/>
        <v>0</v>
      </c>
      <c r="CX44">
        <f t="shared" si="43"/>
        <v>0</v>
      </c>
      <c r="CY44">
        <f t="shared" si="44"/>
        <v>0</v>
      </c>
      <c r="CZ44">
        <f t="shared" si="45"/>
        <v>0</v>
      </c>
      <c r="DC44" t="s">
        <v>6</v>
      </c>
      <c r="DD44" t="s">
        <v>6</v>
      </c>
      <c r="DE44" t="s">
        <v>6</v>
      </c>
      <c r="DF44" t="s">
        <v>6</v>
      </c>
      <c r="DG44" t="s">
        <v>6</v>
      </c>
      <c r="DH44" t="s">
        <v>6</v>
      </c>
      <c r="DI44" t="s">
        <v>6</v>
      </c>
      <c r="DJ44" t="s">
        <v>6</v>
      </c>
      <c r="DK44" t="s">
        <v>6</v>
      </c>
      <c r="DL44" t="s">
        <v>6</v>
      </c>
      <c r="DM44" t="s">
        <v>6</v>
      </c>
      <c r="DN44">
        <v>0</v>
      </c>
      <c r="DO44">
        <v>0</v>
      </c>
      <c r="DP44">
        <v>1</v>
      </c>
      <c r="DQ44">
        <v>1</v>
      </c>
      <c r="DU44">
        <v>1010</v>
      </c>
      <c r="DV44" t="s">
        <v>62</v>
      </c>
      <c r="DW44" t="s">
        <v>62</v>
      </c>
      <c r="DX44">
        <v>1</v>
      </c>
      <c r="EE44">
        <v>16510486</v>
      </c>
      <c r="EF44">
        <v>2</v>
      </c>
      <c r="EG44" t="s">
        <v>20</v>
      </c>
      <c r="EH44">
        <v>0</v>
      </c>
      <c r="EI44" t="s">
        <v>6</v>
      </c>
      <c r="EJ44">
        <v>1</v>
      </c>
      <c r="EK44">
        <v>9001</v>
      </c>
      <c r="EL44" t="s">
        <v>33</v>
      </c>
      <c r="EM44" t="s">
        <v>34</v>
      </c>
      <c r="EO44" t="s">
        <v>6</v>
      </c>
      <c r="EQ44">
        <v>0</v>
      </c>
      <c r="ER44">
        <v>4757.6000000000004</v>
      </c>
      <c r="ES44">
        <v>4757.6000000000004</v>
      </c>
      <c r="ET44">
        <v>0</v>
      </c>
      <c r="EU44">
        <v>0</v>
      </c>
      <c r="EV44">
        <v>0</v>
      </c>
      <c r="EW44">
        <v>0</v>
      </c>
      <c r="EX44">
        <v>0</v>
      </c>
      <c r="FQ44">
        <v>0</v>
      </c>
      <c r="FR44">
        <f t="shared" si="46"/>
        <v>0</v>
      </c>
      <c r="FS44">
        <v>0</v>
      </c>
      <c r="FT44" t="s">
        <v>23</v>
      </c>
      <c r="FU44" t="s">
        <v>24</v>
      </c>
      <c r="FX44">
        <v>81</v>
      </c>
      <c r="FY44">
        <v>72.25</v>
      </c>
      <c r="GA44" t="s">
        <v>6</v>
      </c>
      <c r="GD44">
        <v>0</v>
      </c>
      <c r="GF44">
        <v>-344083088</v>
      </c>
      <c r="GG44">
        <v>1</v>
      </c>
      <c r="GH44">
        <v>1</v>
      </c>
      <c r="GI44">
        <v>4</v>
      </c>
      <c r="GJ44">
        <v>0</v>
      </c>
      <c r="GK44">
        <f>ROUND(R44*(R12)/100,2)</f>
        <v>0</v>
      </c>
      <c r="GL44">
        <f t="shared" si="47"/>
        <v>0</v>
      </c>
      <c r="GM44">
        <f t="shared" si="48"/>
        <v>31923.5</v>
      </c>
      <c r="GN44">
        <f t="shared" si="49"/>
        <v>31923.5</v>
      </c>
      <c r="GO44">
        <f t="shared" si="50"/>
        <v>0</v>
      </c>
      <c r="GP44">
        <f t="shared" si="51"/>
        <v>0</v>
      </c>
      <c r="GR44">
        <v>0</v>
      </c>
      <c r="GS44">
        <v>3</v>
      </c>
      <c r="GT44">
        <v>0</v>
      </c>
      <c r="GU44" t="s">
        <v>6</v>
      </c>
      <c r="GV44">
        <f t="shared" si="52"/>
        <v>0</v>
      </c>
      <c r="GW44">
        <v>1</v>
      </c>
      <c r="GX44">
        <f t="shared" si="53"/>
        <v>0</v>
      </c>
      <c r="HA44">
        <v>0</v>
      </c>
      <c r="HB44">
        <v>0</v>
      </c>
      <c r="HC44">
        <f t="shared" si="54"/>
        <v>0</v>
      </c>
      <c r="IK44">
        <v>0</v>
      </c>
    </row>
    <row r="45" spans="1:245" x14ac:dyDescent="0.2">
      <c r="A45">
        <v>17</v>
      </c>
      <c r="B45">
        <v>1</v>
      </c>
      <c r="C45">
        <f>ROW(SmtRes!A64)</f>
        <v>64</v>
      </c>
      <c r="D45">
        <f>ROW(EtalonRes!A75)</f>
        <v>75</v>
      </c>
      <c r="E45" t="s">
        <v>118</v>
      </c>
      <c r="F45" t="s">
        <v>119</v>
      </c>
      <c r="G45" t="s">
        <v>120</v>
      </c>
      <c r="H45" t="s">
        <v>18</v>
      </c>
      <c r="I45">
        <f>ROUND(6.67/100,9)</f>
        <v>6.6699999999999995E-2</v>
      </c>
      <c r="J45">
        <v>0</v>
      </c>
      <c r="O45">
        <f t="shared" si="21"/>
        <v>1200.44</v>
      </c>
      <c r="P45">
        <f t="shared" si="22"/>
        <v>524.64</v>
      </c>
      <c r="Q45">
        <f t="shared" si="23"/>
        <v>334.65</v>
      </c>
      <c r="R45">
        <f t="shared" si="24"/>
        <v>53.52</v>
      </c>
      <c r="S45">
        <f t="shared" si="25"/>
        <v>341.15</v>
      </c>
      <c r="T45">
        <f t="shared" si="26"/>
        <v>0</v>
      </c>
      <c r="U45">
        <f t="shared" si="27"/>
        <v>5.408703</v>
      </c>
      <c r="V45">
        <f t="shared" si="28"/>
        <v>0.61030499999999999</v>
      </c>
      <c r="W45">
        <f t="shared" si="29"/>
        <v>0</v>
      </c>
      <c r="X45">
        <f t="shared" si="30"/>
        <v>418.35</v>
      </c>
      <c r="Y45">
        <f t="shared" si="31"/>
        <v>213.12</v>
      </c>
      <c r="AA45">
        <v>16812721</v>
      </c>
      <c r="AB45">
        <f t="shared" si="32"/>
        <v>2682.2</v>
      </c>
      <c r="AC45">
        <f t="shared" si="59"/>
        <v>1172.22</v>
      </c>
      <c r="AD45">
        <f t="shared" si="60"/>
        <v>747.73</v>
      </c>
      <c r="AE45">
        <f t="shared" si="61"/>
        <v>119.59</v>
      </c>
      <c r="AF45">
        <f t="shared" si="62"/>
        <v>762.25</v>
      </c>
      <c r="AG45">
        <f t="shared" si="33"/>
        <v>0</v>
      </c>
      <c r="AH45">
        <f t="shared" si="63"/>
        <v>81.09</v>
      </c>
      <c r="AI45">
        <f t="shared" si="64"/>
        <v>9.15</v>
      </c>
      <c r="AJ45">
        <f t="shared" si="34"/>
        <v>0</v>
      </c>
      <c r="AK45">
        <v>2682.2</v>
      </c>
      <c r="AL45">
        <v>1172.22</v>
      </c>
      <c r="AM45">
        <v>747.73</v>
      </c>
      <c r="AN45">
        <v>119.59</v>
      </c>
      <c r="AO45">
        <v>762.25</v>
      </c>
      <c r="AP45">
        <v>0</v>
      </c>
      <c r="AQ45">
        <v>81.09</v>
      </c>
      <c r="AR45">
        <v>9.15</v>
      </c>
      <c r="AS45">
        <v>0</v>
      </c>
      <c r="AT45">
        <v>106</v>
      </c>
      <c r="AU45">
        <v>54</v>
      </c>
      <c r="AV45">
        <v>1</v>
      </c>
      <c r="AW45">
        <v>1</v>
      </c>
      <c r="AZ45">
        <v>6.71</v>
      </c>
      <c r="BA45">
        <v>6.71</v>
      </c>
      <c r="BB45">
        <v>6.71</v>
      </c>
      <c r="BC45">
        <v>6.71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121</v>
      </c>
      <c r="BM45">
        <v>10001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6.71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118</v>
      </c>
      <c r="CA45">
        <v>63</v>
      </c>
      <c r="CE45">
        <v>0</v>
      </c>
      <c r="CF45">
        <v>0</v>
      </c>
      <c r="CG45">
        <v>0</v>
      </c>
      <c r="CM45">
        <v>0</v>
      </c>
      <c r="CN45" t="s">
        <v>6</v>
      </c>
      <c r="CO45">
        <v>0</v>
      </c>
      <c r="CP45">
        <f t="shared" si="35"/>
        <v>1200.44</v>
      </c>
      <c r="CQ45">
        <f t="shared" si="36"/>
        <v>7865.5962</v>
      </c>
      <c r="CR45">
        <f t="shared" si="37"/>
        <v>5017.2682999999997</v>
      </c>
      <c r="CS45">
        <f t="shared" si="38"/>
        <v>802.44889999999998</v>
      </c>
      <c r="CT45">
        <f t="shared" si="39"/>
        <v>5114.6975000000002</v>
      </c>
      <c r="CU45">
        <f t="shared" si="40"/>
        <v>0</v>
      </c>
      <c r="CV45">
        <f t="shared" si="41"/>
        <v>81.09</v>
      </c>
      <c r="CW45">
        <f t="shared" si="42"/>
        <v>9.15</v>
      </c>
      <c r="CX45">
        <f t="shared" si="43"/>
        <v>0</v>
      </c>
      <c r="CY45">
        <f t="shared" si="44"/>
        <v>418.35019999999997</v>
      </c>
      <c r="CZ45">
        <f t="shared" si="45"/>
        <v>213.12179999999998</v>
      </c>
      <c r="DC45" t="s">
        <v>6</v>
      </c>
      <c r="DD45" t="s">
        <v>6</v>
      </c>
      <c r="DE45" t="s">
        <v>6</v>
      </c>
      <c r="DF45" t="s">
        <v>6</v>
      </c>
      <c r="DG45" t="s">
        <v>6</v>
      </c>
      <c r="DH45" t="s">
        <v>6</v>
      </c>
      <c r="DI45" t="s">
        <v>6</v>
      </c>
      <c r="DJ45" t="s">
        <v>6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1005</v>
      </c>
      <c r="DV45" t="s">
        <v>18</v>
      </c>
      <c r="DW45" t="s">
        <v>18</v>
      </c>
      <c r="DX45">
        <v>100</v>
      </c>
      <c r="EE45">
        <v>16510487</v>
      </c>
      <c r="EF45">
        <v>2</v>
      </c>
      <c r="EG45" t="s">
        <v>20</v>
      </c>
      <c r="EH45">
        <v>0</v>
      </c>
      <c r="EI45" t="s">
        <v>6</v>
      </c>
      <c r="EJ45">
        <v>1</v>
      </c>
      <c r="EK45">
        <v>10001</v>
      </c>
      <c r="EL45" t="s">
        <v>122</v>
      </c>
      <c r="EM45" t="s">
        <v>123</v>
      </c>
      <c r="EO45" t="s">
        <v>6</v>
      </c>
      <c r="EQ45">
        <v>0</v>
      </c>
      <c r="ER45">
        <v>2682.2</v>
      </c>
      <c r="ES45">
        <v>1172.22</v>
      </c>
      <c r="ET45">
        <v>747.73</v>
      </c>
      <c r="EU45">
        <v>119.59</v>
      </c>
      <c r="EV45">
        <v>762.25</v>
      </c>
      <c r="EW45">
        <v>81.09</v>
      </c>
      <c r="EX45">
        <v>9.15</v>
      </c>
      <c r="EY45">
        <v>0</v>
      </c>
      <c r="FQ45">
        <v>0</v>
      </c>
      <c r="FR45">
        <f t="shared" si="46"/>
        <v>0</v>
      </c>
      <c r="FS45">
        <v>0</v>
      </c>
      <c r="FT45" t="s">
        <v>23</v>
      </c>
      <c r="FU45" t="s">
        <v>24</v>
      </c>
      <c r="FX45">
        <v>106.2</v>
      </c>
      <c r="FY45">
        <v>53.55</v>
      </c>
      <c r="GA45" t="s">
        <v>6</v>
      </c>
      <c r="GD45">
        <v>0</v>
      </c>
      <c r="GF45">
        <v>-230469743</v>
      </c>
      <c r="GG45">
        <v>1</v>
      </c>
      <c r="GH45">
        <v>1</v>
      </c>
      <c r="GI45">
        <v>4</v>
      </c>
      <c r="GJ45">
        <v>0</v>
      </c>
      <c r="GK45">
        <f>ROUND(R45*(R12)/100,2)</f>
        <v>0</v>
      </c>
      <c r="GL45">
        <f t="shared" si="47"/>
        <v>0</v>
      </c>
      <c r="GM45">
        <f t="shared" si="48"/>
        <v>1831.91</v>
      </c>
      <c r="GN45">
        <f t="shared" si="49"/>
        <v>1831.91</v>
      </c>
      <c r="GO45">
        <f t="shared" si="50"/>
        <v>0</v>
      </c>
      <c r="GP45">
        <f t="shared" si="51"/>
        <v>0</v>
      </c>
      <c r="GR45">
        <v>0</v>
      </c>
      <c r="GS45">
        <v>3</v>
      </c>
      <c r="GT45">
        <v>0</v>
      </c>
      <c r="GU45" t="s">
        <v>6</v>
      </c>
      <c r="GV45">
        <f t="shared" si="52"/>
        <v>0</v>
      </c>
      <c r="GW45">
        <v>1</v>
      </c>
      <c r="GX45">
        <f t="shared" si="53"/>
        <v>0</v>
      </c>
      <c r="HA45">
        <v>0</v>
      </c>
      <c r="HB45">
        <v>0</v>
      </c>
      <c r="HC45">
        <f t="shared" si="54"/>
        <v>0</v>
      </c>
      <c r="IK45">
        <v>0</v>
      </c>
    </row>
    <row r="46" spans="1:245" x14ac:dyDescent="0.2">
      <c r="A46">
        <v>18</v>
      </c>
      <c r="B46">
        <v>1</v>
      </c>
      <c r="C46">
        <v>59</v>
      </c>
      <c r="E46" t="s">
        <v>124</v>
      </c>
      <c r="F46" t="s">
        <v>125</v>
      </c>
      <c r="G46" t="s">
        <v>126</v>
      </c>
      <c r="H46" t="s">
        <v>127</v>
      </c>
      <c r="I46">
        <f>I45*J46</f>
        <v>2</v>
      </c>
      <c r="J46">
        <v>29.985007496251875</v>
      </c>
      <c r="O46">
        <f t="shared" si="21"/>
        <v>1270.6099999999999</v>
      </c>
      <c r="P46">
        <f t="shared" si="22"/>
        <v>1270.6099999999999</v>
      </c>
      <c r="Q46">
        <f t="shared" si="23"/>
        <v>0</v>
      </c>
      <c r="R46">
        <f t="shared" si="24"/>
        <v>0</v>
      </c>
      <c r="S46">
        <f t="shared" si="25"/>
        <v>0</v>
      </c>
      <c r="T46">
        <f t="shared" si="26"/>
        <v>0</v>
      </c>
      <c r="U46">
        <f t="shared" si="27"/>
        <v>0</v>
      </c>
      <c r="V46">
        <f t="shared" si="28"/>
        <v>0</v>
      </c>
      <c r="W46">
        <f t="shared" si="29"/>
        <v>0</v>
      </c>
      <c r="X46">
        <f t="shared" si="30"/>
        <v>0</v>
      </c>
      <c r="Y46">
        <f t="shared" si="31"/>
        <v>0</v>
      </c>
      <c r="AA46">
        <v>16812721</v>
      </c>
      <c r="AB46">
        <f t="shared" si="32"/>
        <v>94.68</v>
      </c>
      <c r="AC46">
        <f t="shared" si="59"/>
        <v>94.68</v>
      </c>
      <c r="AD46">
        <f t="shared" si="60"/>
        <v>0</v>
      </c>
      <c r="AE46">
        <f t="shared" si="61"/>
        <v>0</v>
      </c>
      <c r="AF46">
        <f t="shared" si="62"/>
        <v>0</v>
      </c>
      <c r="AG46">
        <f t="shared" si="33"/>
        <v>0</v>
      </c>
      <c r="AH46">
        <f t="shared" si="63"/>
        <v>0</v>
      </c>
      <c r="AI46">
        <f t="shared" si="64"/>
        <v>0</v>
      </c>
      <c r="AJ46">
        <f t="shared" si="34"/>
        <v>0</v>
      </c>
      <c r="AK46">
        <v>94.68</v>
      </c>
      <c r="AL46">
        <v>94.68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106</v>
      </c>
      <c r="AU46">
        <v>54</v>
      </c>
      <c r="AV46">
        <v>1</v>
      </c>
      <c r="AW46">
        <v>1</v>
      </c>
      <c r="AZ46">
        <v>6.71</v>
      </c>
      <c r="BA46">
        <v>1</v>
      </c>
      <c r="BB46">
        <v>1</v>
      </c>
      <c r="BC46">
        <v>6.71</v>
      </c>
      <c r="BD46" t="s">
        <v>6</v>
      </c>
      <c r="BE46" t="s">
        <v>6</v>
      </c>
      <c r="BF46" t="s">
        <v>6</v>
      </c>
      <c r="BG46" t="s">
        <v>6</v>
      </c>
      <c r="BH46">
        <v>3</v>
      </c>
      <c r="BI46">
        <v>1</v>
      </c>
      <c r="BJ46" t="s">
        <v>128</v>
      </c>
      <c r="BM46">
        <v>10001</v>
      </c>
      <c r="BN46">
        <v>0</v>
      </c>
      <c r="BO46" t="s">
        <v>6</v>
      </c>
      <c r="BP46">
        <v>0</v>
      </c>
      <c r="BQ46">
        <v>2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6</v>
      </c>
      <c r="BZ46">
        <v>118</v>
      </c>
      <c r="CA46">
        <v>63</v>
      </c>
      <c r="CE46">
        <v>0</v>
      </c>
      <c r="CF46">
        <v>0</v>
      </c>
      <c r="CG46">
        <v>0</v>
      </c>
      <c r="CM46">
        <v>0</v>
      </c>
      <c r="CN46" t="s">
        <v>6</v>
      </c>
      <c r="CO46">
        <v>0</v>
      </c>
      <c r="CP46">
        <f t="shared" si="35"/>
        <v>1270.6099999999999</v>
      </c>
      <c r="CQ46">
        <f t="shared" si="36"/>
        <v>635.30280000000005</v>
      </c>
      <c r="CR46">
        <f t="shared" si="37"/>
        <v>0</v>
      </c>
      <c r="CS46">
        <f t="shared" si="38"/>
        <v>0</v>
      </c>
      <c r="CT46">
        <f t="shared" si="39"/>
        <v>0</v>
      </c>
      <c r="CU46">
        <f t="shared" si="40"/>
        <v>0</v>
      </c>
      <c r="CV46">
        <f t="shared" si="41"/>
        <v>0</v>
      </c>
      <c r="CW46">
        <f t="shared" si="42"/>
        <v>0</v>
      </c>
      <c r="CX46">
        <f t="shared" si="43"/>
        <v>0</v>
      </c>
      <c r="CY46">
        <f t="shared" si="44"/>
        <v>0</v>
      </c>
      <c r="CZ46">
        <f t="shared" si="45"/>
        <v>0</v>
      </c>
      <c r="DC46" t="s">
        <v>6</v>
      </c>
      <c r="DD46" t="s">
        <v>6</v>
      </c>
      <c r="DE46" t="s">
        <v>6</v>
      </c>
      <c r="DF46" t="s">
        <v>6</v>
      </c>
      <c r="DG46" t="s">
        <v>6</v>
      </c>
      <c r="DH46" t="s">
        <v>6</v>
      </c>
      <c r="DI46" t="s">
        <v>6</v>
      </c>
      <c r="DJ46" t="s">
        <v>6</v>
      </c>
      <c r="DK46" t="s">
        <v>6</v>
      </c>
      <c r="DL46" t="s">
        <v>6</v>
      </c>
      <c r="DM46" t="s">
        <v>6</v>
      </c>
      <c r="DN46">
        <v>0</v>
      </c>
      <c r="DO46">
        <v>0</v>
      </c>
      <c r="DP46">
        <v>1</v>
      </c>
      <c r="DQ46">
        <v>1</v>
      </c>
      <c r="DU46">
        <v>1013</v>
      </c>
      <c r="DV46" t="s">
        <v>127</v>
      </c>
      <c r="DW46" t="s">
        <v>127</v>
      </c>
      <c r="DX46">
        <v>1</v>
      </c>
      <c r="EE46">
        <v>16510487</v>
      </c>
      <c r="EF46">
        <v>2</v>
      </c>
      <c r="EG46" t="s">
        <v>20</v>
      </c>
      <c r="EH46">
        <v>0</v>
      </c>
      <c r="EI46" t="s">
        <v>6</v>
      </c>
      <c r="EJ46">
        <v>1</v>
      </c>
      <c r="EK46">
        <v>10001</v>
      </c>
      <c r="EL46" t="s">
        <v>122</v>
      </c>
      <c r="EM46" t="s">
        <v>123</v>
      </c>
      <c r="EO46" t="s">
        <v>6</v>
      </c>
      <c r="EQ46">
        <v>0</v>
      </c>
      <c r="ER46">
        <v>94.68</v>
      </c>
      <c r="ES46">
        <v>94.68</v>
      </c>
      <c r="ET46">
        <v>0</v>
      </c>
      <c r="EU46">
        <v>0</v>
      </c>
      <c r="EV46">
        <v>0</v>
      </c>
      <c r="EW46">
        <v>0</v>
      </c>
      <c r="EX46">
        <v>0</v>
      </c>
      <c r="FQ46">
        <v>0</v>
      </c>
      <c r="FR46">
        <f t="shared" si="46"/>
        <v>0</v>
      </c>
      <c r="FS46">
        <v>0</v>
      </c>
      <c r="FT46" t="s">
        <v>23</v>
      </c>
      <c r="FU46" t="s">
        <v>24</v>
      </c>
      <c r="FX46">
        <v>106.2</v>
      </c>
      <c r="FY46">
        <v>53.55</v>
      </c>
      <c r="GA46" t="s">
        <v>6</v>
      </c>
      <c r="GD46">
        <v>0</v>
      </c>
      <c r="GF46">
        <v>-1514276406</v>
      </c>
      <c r="GG46">
        <v>1</v>
      </c>
      <c r="GH46">
        <v>1</v>
      </c>
      <c r="GI46">
        <v>4</v>
      </c>
      <c r="GJ46">
        <v>0</v>
      </c>
      <c r="GK46">
        <f>ROUND(R46*(R12)/100,2)</f>
        <v>0</v>
      </c>
      <c r="GL46">
        <f t="shared" si="47"/>
        <v>0</v>
      </c>
      <c r="GM46">
        <f t="shared" si="48"/>
        <v>1270.6099999999999</v>
      </c>
      <c r="GN46">
        <f t="shared" si="49"/>
        <v>1270.6099999999999</v>
      </c>
      <c r="GO46">
        <f t="shared" si="50"/>
        <v>0</v>
      </c>
      <c r="GP46">
        <f t="shared" si="51"/>
        <v>0</v>
      </c>
      <c r="GR46">
        <v>0</v>
      </c>
      <c r="GS46">
        <v>3</v>
      </c>
      <c r="GT46">
        <v>0</v>
      </c>
      <c r="GU46" t="s">
        <v>6</v>
      </c>
      <c r="GV46">
        <f t="shared" si="52"/>
        <v>0</v>
      </c>
      <c r="GW46">
        <v>1</v>
      </c>
      <c r="GX46">
        <f t="shared" si="53"/>
        <v>0</v>
      </c>
      <c r="HA46">
        <v>0</v>
      </c>
      <c r="HB46">
        <v>0</v>
      </c>
      <c r="HC46">
        <f t="shared" si="54"/>
        <v>0</v>
      </c>
      <c r="IK46">
        <v>0</v>
      </c>
    </row>
    <row r="47" spans="1:245" x14ac:dyDescent="0.2">
      <c r="A47">
        <v>18</v>
      </c>
      <c r="B47">
        <v>1</v>
      </c>
      <c r="C47">
        <v>63</v>
      </c>
      <c r="E47" t="s">
        <v>129</v>
      </c>
      <c r="F47" t="s">
        <v>130</v>
      </c>
      <c r="G47" t="s">
        <v>131</v>
      </c>
      <c r="H47" t="s">
        <v>28</v>
      </c>
      <c r="I47">
        <f>I45*J47</f>
        <v>6.67</v>
      </c>
      <c r="J47">
        <v>100</v>
      </c>
      <c r="O47">
        <f t="shared" si="21"/>
        <v>55135.44</v>
      </c>
      <c r="P47">
        <f t="shared" si="22"/>
        <v>55135.44</v>
      </c>
      <c r="Q47">
        <f t="shared" si="23"/>
        <v>0</v>
      </c>
      <c r="R47">
        <f t="shared" si="24"/>
        <v>0</v>
      </c>
      <c r="S47">
        <f t="shared" si="25"/>
        <v>0</v>
      </c>
      <c r="T47">
        <f t="shared" si="26"/>
        <v>0</v>
      </c>
      <c r="U47">
        <f t="shared" si="27"/>
        <v>0</v>
      </c>
      <c r="V47">
        <f t="shared" si="28"/>
        <v>0</v>
      </c>
      <c r="W47">
        <f t="shared" si="29"/>
        <v>0</v>
      </c>
      <c r="X47">
        <f t="shared" si="30"/>
        <v>0</v>
      </c>
      <c r="Y47">
        <f t="shared" si="31"/>
        <v>0</v>
      </c>
      <c r="AA47">
        <v>16812721</v>
      </c>
      <c r="AB47">
        <f t="shared" si="32"/>
        <v>1231.92</v>
      </c>
      <c r="AC47">
        <f t="shared" si="59"/>
        <v>1231.92</v>
      </c>
      <c r="AD47">
        <f t="shared" si="60"/>
        <v>0</v>
      </c>
      <c r="AE47">
        <f t="shared" si="61"/>
        <v>0</v>
      </c>
      <c r="AF47">
        <f t="shared" si="62"/>
        <v>0</v>
      </c>
      <c r="AG47">
        <f t="shared" si="33"/>
        <v>0</v>
      </c>
      <c r="AH47">
        <f t="shared" si="63"/>
        <v>0</v>
      </c>
      <c r="AI47">
        <f t="shared" si="64"/>
        <v>0</v>
      </c>
      <c r="AJ47">
        <f t="shared" si="34"/>
        <v>0</v>
      </c>
      <c r="AK47">
        <v>1231.92</v>
      </c>
      <c r="AL47">
        <v>1231.92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106</v>
      </c>
      <c r="AU47">
        <v>54</v>
      </c>
      <c r="AV47">
        <v>1</v>
      </c>
      <c r="AW47">
        <v>1</v>
      </c>
      <c r="AZ47">
        <v>6.71</v>
      </c>
      <c r="BA47">
        <v>1</v>
      </c>
      <c r="BB47">
        <v>1</v>
      </c>
      <c r="BC47">
        <v>6.71</v>
      </c>
      <c r="BD47" t="s">
        <v>6</v>
      </c>
      <c r="BE47" t="s">
        <v>6</v>
      </c>
      <c r="BF47" t="s">
        <v>6</v>
      </c>
      <c r="BG47" t="s">
        <v>6</v>
      </c>
      <c r="BH47">
        <v>3</v>
      </c>
      <c r="BI47">
        <v>1</v>
      </c>
      <c r="BJ47" t="s">
        <v>132</v>
      </c>
      <c r="BM47">
        <v>10001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118</v>
      </c>
      <c r="CA47">
        <v>63</v>
      </c>
      <c r="CE47">
        <v>0</v>
      </c>
      <c r="CF47">
        <v>0</v>
      </c>
      <c r="CG47">
        <v>0</v>
      </c>
      <c r="CM47">
        <v>0</v>
      </c>
      <c r="CN47" t="s">
        <v>6</v>
      </c>
      <c r="CO47">
        <v>0</v>
      </c>
      <c r="CP47">
        <f t="shared" si="35"/>
        <v>55135.44</v>
      </c>
      <c r="CQ47">
        <f t="shared" si="36"/>
        <v>8266.1832000000013</v>
      </c>
      <c r="CR47">
        <f t="shared" si="37"/>
        <v>0</v>
      </c>
      <c r="CS47">
        <f t="shared" si="38"/>
        <v>0</v>
      </c>
      <c r="CT47">
        <f t="shared" si="39"/>
        <v>0</v>
      </c>
      <c r="CU47">
        <f t="shared" si="40"/>
        <v>0</v>
      </c>
      <c r="CV47">
        <f t="shared" si="41"/>
        <v>0</v>
      </c>
      <c r="CW47">
        <f t="shared" si="42"/>
        <v>0</v>
      </c>
      <c r="CX47">
        <f t="shared" si="43"/>
        <v>0</v>
      </c>
      <c r="CY47">
        <f t="shared" si="44"/>
        <v>0</v>
      </c>
      <c r="CZ47">
        <f t="shared" si="45"/>
        <v>0</v>
      </c>
      <c r="DC47" t="s">
        <v>6</v>
      </c>
      <c r="DD47" t="s">
        <v>6</v>
      </c>
      <c r="DE47" t="s">
        <v>6</v>
      </c>
      <c r="DF47" t="s">
        <v>6</v>
      </c>
      <c r="DG47" t="s">
        <v>6</v>
      </c>
      <c r="DH47" t="s">
        <v>6</v>
      </c>
      <c r="DI47" t="s">
        <v>6</v>
      </c>
      <c r="DJ47" t="s">
        <v>6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28</v>
      </c>
      <c r="DW47" t="s">
        <v>28</v>
      </c>
      <c r="DX47">
        <v>1</v>
      </c>
      <c r="EE47">
        <v>16510487</v>
      </c>
      <c r="EF47">
        <v>2</v>
      </c>
      <c r="EG47" t="s">
        <v>20</v>
      </c>
      <c r="EH47">
        <v>0</v>
      </c>
      <c r="EI47" t="s">
        <v>6</v>
      </c>
      <c r="EJ47">
        <v>1</v>
      </c>
      <c r="EK47">
        <v>10001</v>
      </c>
      <c r="EL47" t="s">
        <v>122</v>
      </c>
      <c r="EM47" t="s">
        <v>123</v>
      </c>
      <c r="EO47" t="s">
        <v>6</v>
      </c>
      <c r="EQ47">
        <v>0</v>
      </c>
      <c r="ER47">
        <v>1231.92</v>
      </c>
      <c r="ES47">
        <v>1231.92</v>
      </c>
      <c r="ET47">
        <v>0</v>
      </c>
      <c r="EU47">
        <v>0</v>
      </c>
      <c r="EV47">
        <v>0</v>
      </c>
      <c r="EW47">
        <v>0</v>
      </c>
      <c r="EX47">
        <v>0</v>
      </c>
      <c r="FQ47">
        <v>0</v>
      </c>
      <c r="FR47">
        <f t="shared" si="46"/>
        <v>0</v>
      </c>
      <c r="FS47">
        <v>0</v>
      </c>
      <c r="FT47" t="s">
        <v>23</v>
      </c>
      <c r="FU47" t="s">
        <v>24</v>
      </c>
      <c r="FX47">
        <v>106.2</v>
      </c>
      <c r="FY47">
        <v>53.55</v>
      </c>
      <c r="GA47" t="s">
        <v>6</v>
      </c>
      <c r="GD47">
        <v>0</v>
      </c>
      <c r="GF47">
        <v>2137541679</v>
      </c>
      <c r="GG47">
        <v>1</v>
      </c>
      <c r="GH47">
        <v>1</v>
      </c>
      <c r="GI47">
        <v>4</v>
      </c>
      <c r="GJ47">
        <v>0</v>
      </c>
      <c r="GK47">
        <f>ROUND(R47*(R12)/100,2)</f>
        <v>0</v>
      </c>
      <c r="GL47">
        <f t="shared" si="47"/>
        <v>0</v>
      </c>
      <c r="GM47">
        <f t="shared" si="48"/>
        <v>55135.44</v>
      </c>
      <c r="GN47">
        <f t="shared" si="49"/>
        <v>55135.44</v>
      </c>
      <c r="GO47">
        <f t="shared" si="50"/>
        <v>0</v>
      </c>
      <c r="GP47">
        <f t="shared" si="51"/>
        <v>0</v>
      </c>
      <c r="GR47">
        <v>0</v>
      </c>
      <c r="GS47">
        <v>3</v>
      </c>
      <c r="GT47">
        <v>0</v>
      </c>
      <c r="GU47" t="s">
        <v>6</v>
      </c>
      <c r="GV47">
        <f t="shared" si="52"/>
        <v>0</v>
      </c>
      <c r="GW47">
        <v>1</v>
      </c>
      <c r="GX47">
        <f t="shared" si="53"/>
        <v>0</v>
      </c>
      <c r="HA47">
        <v>0</v>
      </c>
      <c r="HB47">
        <v>0</v>
      </c>
      <c r="HC47">
        <f t="shared" si="54"/>
        <v>0</v>
      </c>
      <c r="IK47">
        <v>0</v>
      </c>
    </row>
    <row r="48" spans="1:245" x14ac:dyDescent="0.2">
      <c r="A48">
        <v>17</v>
      </c>
      <c r="B48">
        <v>1</v>
      </c>
      <c r="C48">
        <f>ROW(SmtRes!A70)</f>
        <v>70</v>
      </c>
      <c r="D48">
        <f>ROW(EtalonRes!A82)</f>
        <v>82</v>
      </c>
      <c r="E48" t="s">
        <v>133</v>
      </c>
      <c r="F48" t="s">
        <v>134</v>
      </c>
      <c r="G48" t="s">
        <v>135</v>
      </c>
      <c r="H48" t="s">
        <v>136</v>
      </c>
      <c r="I48">
        <f>ROUND(19/100,9)</f>
        <v>0.19</v>
      </c>
      <c r="J48">
        <v>0</v>
      </c>
      <c r="O48">
        <f t="shared" si="21"/>
        <v>1411.17</v>
      </c>
      <c r="P48">
        <f t="shared" si="22"/>
        <v>0.31</v>
      </c>
      <c r="Q48">
        <f t="shared" si="23"/>
        <v>59.87</v>
      </c>
      <c r="R48">
        <f t="shared" si="24"/>
        <v>0</v>
      </c>
      <c r="S48">
        <f t="shared" si="25"/>
        <v>1350.99</v>
      </c>
      <c r="T48">
        <f t="shared" si="26"/>
        <v>0</v>
      </c>
      <c r="U48">
        <f t="shared" si="27"/>
        <v>23.6037</v>
      </c>
      <c r="V48">
        <f t="shared" si="28"/>
        <v>0</v>
      </c>
      <c r="W48">
        <f t="shared" si="29"/>
        <v>0</v>
      </c>
      <c r="X48">
        <f t="shared" si="30"/>
        <v>1080.79</v>
      </c>
      <c r="Y48">
        <f t="shared" si="31"/>
        <v>918.67</v>
      </c>
      <c r="AA48">
        <v>16812721</v>
      </c>
      <c r="AB48">
        <f t="shared" si="32"/>
        <v>1106.8800000000001</v>
      </c>
      <c r="AC48">
        <f t="shared" si="59"/>
        <v>0.24</v>
      </c>
      <c r="AD48">
        <f t="shared" si="60"/>
        <v>46.96</v>
      </c>
      <c r="AE48">
        <f t="shared" si="61"/>
        <v>0</v>
      </c>
      <c r="AF48">
        <f t="shared" si="62"/>
        <v>1059.68</v>
      </c>
      <c r="AG48">
        <f t="shared" si="33"/>
        <v>0</v>
      </c>
      <c r="AH48">
        <f t="shared" si="63"/>
        <v>124.23</v>
      </c>
      <c r="AI48">
        <f t="shared" si="64"/>
        <v>0</v>
      </c>
      <c r="AJ48">
        <f t="shared" si="34"/>
        <v>0</v>
      </c>
      <c r="AK48">
        <v>1106.8800000000001</v>
      </c>
      <c r="AL48">
        <v>0.24</v>
      </c>
      <c r="AM48">
        <v>46.96</v>
      </c>
      <c r="AN48">
        <v>0</v>
      </c>
      <c r="AO48">
        <v>1059.68</v>
      </c>
      <c r="AP48">
        <v>0</v>
      </c>
      <c r="AQ48">
        <v>124.23</v>
      </c>
      <c r="AR48">
        <v>0</v>
      </c>
      <c r="AS48">
        <v>0</v>
      </c>
      <c r="AT48">
        <v>80</v>
      </c>
      <c r="AU48">
        <v>68</v>
      </c>
      <c r="AV48">
        <v>1</v>
      </c>
      <c r="AW48">
        <v>1</v>
      </c>
      <c r="AZ48">
        <v>6.71</v>
      </c>
      <c r="BA48">
        <v>6.71</v>
      </c>
      <c r="BB48">
        <v>6.71</v>
      </c>
      <c r="BC48">
        <v>6.71</v>
      </c>
      <c r="BD48" t="s">
        <v>6</v>
      </c>
      <c r="BE48" t="s">
        <v>6</v>
      </c>
      <c r="BF48" t="s">
        <v>6</v>
      </c>
      <c r="BG48" t="s">
        <v>6</v>
      </c>
      <c r="BH48">
        <v>0</v>
      </c>
      <c r="BI48">
        <v>1</v>
      </c>
      <c r="BJ48" t="s">
        <v>137</v>
      </c>
      <c r="BM48">
        <v>57001</v>
      </c>
      <c r="BN48">
        <v>0</v>
      </c>
      <c r="BO48" t="s">
        <v>6</v>
      </c>
      <c r="BP48">
        <v>0</v>
      </c>
      <c r="BQ48">
        <v>6</v>
      </c>
      <c r="BR48">
        <v>0</v>
      </c>
      <c r="BS48">
        <v>6.71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6</v>
      </c>
      <c r="BZ48">
        <v>80</v>
      </c>
      <c r="CA48">
        <v>68</v>
      </c>
      <c r="CE48">
        <v>0</v>
      </c>
      <c r="CF48">
        <v>0</v>
      </c>
      <c r="CG48">
        <v>0</v>
      </c>
      <c r="CM48">
        <v>0</v>
      </c>
      <c r="CN48" t="s">
        <v>6</v>
      </c>
      <c r="CO48">
        <v>0</v>
      </c>
      <c r="CP48">
        <f t="shared" si="35"/>
        <v>1411.17</v>
      </c>
      <c r="CQ48">
        <f t="shared" si="36"/>
        <v>1.6103999999999998</v>
      </c>
      <c r="CR48">
        <f t="shared" si="37"/>
        <v>315.10160000000002</v>
      </c>
      <c r="CS48">
        <f t="shared" si="38"/>
        <v>0</v>
      </c>
      <c r="CT48">
        <f t="shared" si="39"/>
        <v>7110.4528</v>
      </c>
      <c r="CU48">
        <f t="shared" si="40"/>
        <v>0</v>
      </c>
      <c r="CV48">
        <f t="shared" si="41"/>
        <v>124.23</v>
      </c>
      <c r="CW48">
        <f t="shared" si="42"/>
        <v>0</v>
      </c>
      <c r="CX48">
        <f t="shared" si="43"/>
        <v>0</v>
      </c>
      <c r="CY48">
        <f t="shared" si="44"/>
        <v>1080.7919999999999</v>
      </c>
      <c r="CZ48">
        <f t="shared" si="45"/>
        <v>918.67320000000007</v>
      </c>
      <c r="DC48" t="s">
        <v>6</v>
      </c>
      <c r="DD48" t="s">
        <v>6</v>
      </c>
      <c r="DE48" t="s">
        <v>6</v>
      </c>
      <c r="DF48" t="s">
        <v>6</v>
      </c>
      <c r="DG48" t="s">
        <v>6</v>
      </c>
      <c r="DH48" t="s">
        <v>6</v>
      </c>
      <c r="DI48" t="s">
        <v>6</v>
      </c>
      <c r="DJ48" t="s">
        <v>6</v>
      </c>
      <c r="DK48" t="s">
        <v>6</v>
      </c>
      <c r="DL48" t="s">
        <v>6</v>
      </c>
      <c r="DM48" t="s">
        <v>6</v>
      </c>
      <c r="DN48">
        <v>0</v>
      </c>
      <c r="DO48">
        <v>0</v>
      </c>
      <c r="DP48">
        <v>1</v>
      </c>
      <c r="DQ48">
        <v>1</v>
      </c>
      <c r="DU48">
        <v>1013</v>
      </c>
      <c r="DV48" t="s">
        <v>136</v>
      </c>
      <c r="DW48" t="s">
        <v>136</v>
      </c>
      <c r="DX48">
        <v>1</v>
      </c>
      <c r="EE48">
        <v>16510566</v>
      </c>
      <c r="EF48">
        <v>6</v>
      </c>
      <c r="EG48" t="s">
        <v>41</v>
      </c>
      <c r="EH48">
        <v>0</v>
      </c>
      <c r="EI48" t="s">
        <v>6</v>
      </c>
      <c r="EJ48">
        <v>1</v>
      </c>
      <c r="EK48">
        <v>57001</v>
      </c>
      <c r="EL48" t="s">
        <v>42</v>
      </c>
      <c r="EM48" t="s">
        <v>43</v>
      </c>
      <c r="EO48" t="s">
        <v>6</v>
      </c>
      <c r="EQ48">
        <v>131072</v>
      </c>
      <c r="ER48">
        <v>1106.8800000000001</v>
      </c>
      <c r="ES48">
        <v>0.24</v>
      </c>
      <c r="ET48">
        <v>46.96</v>
      </c>
      <c r="EU48">
        <v>0</v>
      </c>
      <c r="EV48">
        <v>1059.68</v>
      </c>
      <c r="EW48">
        <v>124.23</v>
      </c>
      <c r="EX48">
        <v>0</v>
      </c>
      <c r="EY48">
        <v>0</v>
      </c>
      <c r="FQ48">
        <v>0</v>
      </c>
      <c r="FR48">
        <f t="shared" si="46"/>
        <v>0</v>
      </c>
      <c r="FS48">
        <v>0</v>
      </c>
      <c r="FX48">
        <v>80</v>
      </c>
      <c r="FY48">
        <v>68</v>
      </c>
      <c r="GA48" t="s">
        <v>6</v>
      </c>
      <c r="GD48">
        <v>0</v>
      </c>
      <c r="GF48">
        <v>424324215</v>
      </c>
      <c r="GG48">
        <v>1</v>
      </c>
      <c r="GH48">
        <v>1</v>
      </c>
      <c r="GI48">
        <v>4</v>
      </c>
      <c r="GJ48">
        <v>0</v>
      </c>
      <c r="GK48">
        <f>ROUND(R48*(R12)/100,2)</f>
        <v>0</v>
      </c>
      <c r="GL48">
        <f t="shared" si="47"/>
        <v>0</v>
      </c>
      <c r="GM48">
        <f t="shared" si="48"/>
        <v>3410.63</v>
      </c>
      <c r="GN48">
        <f t="shared" si="49"/>
        <v>3410.63</v>
      </c>
      <c r="GO48">
        <f t="shared" si="50"/>
        <v>0</v>
      </c>
      <c r="GP48">
        <f t="shared" si="51"/>
        <v>0</v>
      </c>
      <c r="GR48">
        <v>0</v>
      </c>
      <c r="GS48">
        <v>0</v>
      </c>
      <c r="GT48">
        <v>0</v>
      </c>
      <c r="GU48" t="s">
        <v>6</v>
      </c>
      <c r="GV48">
        <f t="shared" si="52"/>
        <v>0</v>
      </c>
      <c r="GW48">
        <v>1</v>
      </c>
      <c r="GX48">
        <f t="shared" si="53"/>
        <v>0</v>
      </c>
      <c r="HA48">
        <v>0</v>
      </c>
      <c r="HB48">
        <v>0</v>
      </c>
      <c r="HC48">
        <f t="shared" si="54"/>
        <v>0</v>
      </c>
      <c r="IK48">
        <v>0</v>
      </c>
    </row>
    <row r="49" spans="1:245" x14ac:dyDescent="0.2">
      <c r="A49">
        <v>18</v>
      </c>
      <c r="B49">
        <v>1</v>
      </c>
      <c r="C49">
        <v>69</v>
      </c>
      <c r="E49" t="s">
        <v>138</v>
      </c>
      <c r="F49" t="s">
        <v>139</v>
      </c>
      <c r="G49" t="s">
        <v>140</v>
      </c>
      <c r="H49" t="s">
        <v>141</v>
      </c>
      <c r="I49">
        <f>I48*J49</f>
        <v>0.40660000000000002</v>
      </c>
      <c r="J49">
        <v>2.14</v>
      </c>
      <c r="O49">
        <f t="shared" si="21"/>
        <v>0</v>
      </c>
      <c r="P49">
        <f t="shared" si="22"/>
        <v>0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16812721</v>
      </c>
      <c r="AB49">
        <f t="shared" si="32"/>
        <v>0</v>
      </c>
      <c r="AC49">
        <f t="shared" si="59"/>
        <v>0</v>
      </c>
      <c r="AD49">
        <f t="shared" si="60"/>
        <v>0</v>
      </c>
      <c r="AE49">
        <f t="shared" si="61"/>
        <v>0</v>
      </c>
      <c r="AF49">
        <f t="shared" si="62"/>
        <v>0</v>
      </c>
      <c r="AG49">
        <f t="shared" si="33"/>
        <v>0</v>
      </c>
      <c r="AH49">
        <f t="shared" si="63"/>
        <v>0</v>
      </c>
      <c r="AI49">
        <f t="shared" si="64"/>
        <v>0</v>
      </c>
      <c r="AJ49">
        <f t="shared" si="34"/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80</v>
      </c>
      <c r="AU49">
        <v>68</v>
      </c>
      <c r="AV49">
        <v>1</v>
      </c>
      <c r="AW49">
        <v>1</v>
      </c>
      <c r="AZ49">
        <v>6.71</v>
      </c>
      <c r="BA49">
        <v>1</v>
      </c>
      <c r="BB49">
        <v>1</v>
      </c>
      <c r="BC49">
        <v>6.71</v>
      </c>
      <c r="BD49" t="s">
        <v>6</v>
      </c>
      <c r="BE49" t="s">
        <v>6</v>
      </c>
      <c r="BF49" t="s">
        <v>6</v>
      </c>
      <c r="BG49" t="s">
        <v>6</v>
      </c>
      <c r="BH49">
        <v>3</v>
      </c>
      <c r="BI49">
        <v>1</v>
      </c>
      <c r="BJ49" t="s">
        <v>6</v>
      </c>
      <c r="BM49">
        <v>57001</v>
      </c>
      <c r="BN49">
        <v>0</v>
      </c>
      <c r="BO49" t="s">
        <v>6</v>
      </c>
      <c r="BP49">
        <v>0</v>
      </c>
      <c r="BQ49">
        <v>6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80</v>
      </c>
      <c r="CA49">
        <v>68</v>
      </c>
      <c r="CE49">
        <v>0</v>
      </c>
      <c r="CF49">
        <v>0</v>
      </c>
      <c r="CG49">
        <v>0</v>
      </c>
      <c r="CM49">
        <v>0</v>
      </c>
      <c r="CN49" t="s">
        <v>6</v>
      </c>
      <c r="CO49">
        <v>0</v>
      </c>
      <c r="CP49">
        <f t="shared" si="35"/>
        <v>0</v>
      </c>
      <c r="CQ49">
        <f t="shared" si="36"/>
        <v>0</v>
      </c>
      <c r="CR49">
        <f t="shared" si="37"/>
        <v>0</v>
      </c>
      <c r="CS49">
        <f t="shared" si="38"/>
        <v>0</v>
      </c>
      <c r="CT49">
        <f t="shared" si="39"/>
        <v>0</v>
      </c>
      <c r="CU49">
        <f t="shared" si="40"/>
        <v>0</v>
      </c>
      <c r="CV49">
        <f t="shared" si="41"/>
        <v>0</v>
      </c>
      <c r="CW49">
        <f t="shared" si="42"/>
        <v>0</v>
      </c>
      <c r="CX49">
        <f t="shared" si="43"/>
        <v>0</v>
      </c>
      <c r="CY49">
        <f t="shared" si="44"/>
        <v>0</v>
      </c>
      <c r="CZ49">
        <f t="shared" si="45"/>
        <v>0</v>
      </c>
      <c r="DC49" t="s">
        <v>6</v>
      </c>
      <c r="DD49" t="s">
        <v>6</v>
      </c>
      <c r="DE49" t="s">
        <v>6</v>
      </c>
      <c r="DF49" t="s">
        <v>6</v>
      </c>
      <c r="DG49" t="s">
        <v>6</v>
      </c>
      <c r="DH49" t="s">
        <v>6</v>
      </c>
      <c r="DI49" t="s">
        <v>6</v>
      </c>
      <c r="DJ49" t="s">
        <v>6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1007</v>
      </c>
      <c r="DV49" t="s">
        <v>141</v>
      </c>
      <c r="DW49" t="s">
        <v>141</v>
      </c>
      <c r="DX49">
        <v>1</v>
      </c>
      <c r="EE49">
        <v>16510566</v>
      </c>
      <c r="EF49">
        <v>6</v>
      </c>
      <c r="EG49" t="s">
        <v>41</v>
      </c>
      <c r="EH49">
        <v>0</v>
      </c>
      <c r="EI49" t="s">
        <v>6</v>
      </c>
      <c r="EJ49">
        <v>1</v>
      </c>
      <c r="EK49">
        <v>57001</v>
      </c>
      <c r="EL49" t="s">
        <v>42</v>
      </c>
      <c r="EM49" t="s">
        <v>43</v>
      </c>
      <c r="EO49" t="s">
        <v>6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6"/>
        <v>0</v>
      </c>
      <c r="FS49">
        <v>0</v>
      </c>
      <c r="FX49">
        <v>80</v>
      </c>
      <c r="FY49">
        <v>68</v>
      </c>
      <c r="GA49" t="s">
        <v>6</v>
      </c>
      <c r="GD49">
        <v>0</v>
      </c>
      <c r="GF49">
        <v>-2113302258</v>
      </c>
      <c r="GG49">
        <v>1</v>
      </c>
      <c r="GH49">
        <v>1</v>
      </c>
      <c r="GI49">
        <v>4</v>
      </c>
      <c r="GJ49">
        <v>0</v>
      </c>
      <c r="GK49">
        <f>ROUND(R49*(R12)/100,2)</f>
        <v>0</v>
      </c>
      <c r="GL49">
        <f t="shared" si="47"/>
        <v>0</v>
      </c>
      <c r="GM49">
        <f t="shared" si="48"/>
        <v>0</v>
      </c>
      <c r="GN49">
        <f t="shared" si="49"/>
        <v>0</v>
      </c>
      <c r="GO49">
        <f t="shared" si="50"/>
        <v>0</v>
      </c>
      <c r="GP49">
        <f t="shared" si="51"/>
        <v>0</v>
      </c>
      <c r="GR49">
        <v>0</v>
      </c>
      <c r="GS49">
        <v>3</v>
      </c>
      <c r="GT49">
        <v>0</v>
      </c>
      <c r="GU49" t="s">
        <v>6</v>
      </c>
      <c r="GV49">
        <f t="shared" si="52"/>
        <v>0</v>
      </c>
      <c r="GW49">
        <v>1</v>
      </c>
      <c r="GX49">
        <f t="shared" si="53"/>
        <v>0</v>
      </c>
      <c r="HA49">
        <v>0</v>
      </c>
      <c r="HB49">
        <v>0</v>
      </c>
      <c r="HC49">
        <f t="shared" si="54"/>
        <v>0</v>
      </c>
      <c r="IK49">
        <v>0</v>
      </c>
    </row>
    <row r="50" spans="1:245" x14ac:dyDescent="0.2">
      <c r="A50">
        <v>18</v>
      </c>
      <c r="B50">
        <v>1</v>
      </c>
      <c r="C50">
        <v>70</v>
      </c>
      <c r="E50" t="s">
        <v>142</v>
      </c>
      <c r="F50" t="s">
        <v>143</v>
      </c>
      <c r="G50" t="s">
        <v>144</v>
      </c>
      <c r="H50" t="s">
        <v>145</v>
      </c>
      <c r="I50">
        <f>I48*J50</f>
        <v>0.88219199999999987</v>
      </c>
      <c r="J50">
        <v>4.6431157894736836</v>
      </c>
      <c r="O50">
        <f t="shared" si="21"/>
        <v>4310.2299999999996</v>
      </c>
      <c r="P50">
        <f t="shared" si="22"/>
        <v>4310.2299999999996</v>
      </c>
      <c r="Q50">
        <f t="shared" si="23"/>
        <v>0</v>
      </c>
      <c r="R50">
        <f t="shared" si="24"/>
        <v>0</v>
      </c>
      <c r="S50">
        <f t="shared" si="25"/>
        <v>0</v>
      </c>
      <c r="T50">
        <f t="shared" si="26"/>
        <v>0</v>
      </c>
      <c r="U50">
        <f t="shared" si="27"/>
        <v>0</v>
      </c>
      <c r="V50">
        <f t="shared" si="28"/>
        <v>0</v>
      </c>
      <c r="W50">
        <f t="shared" si="29"/>
        <v>0</v>
      </c>
      <c r="X50">
        <f t="shared" si="30"/>
        <v>0</v>
      </c>
      <c r="Y50">
        <f t="shared" si="31"/>
        <v>0</v>
      </c>
      <c r="AA50">
        <v>16812721</v>
      </c>
      <c r="AB50">
        <f t="shared" si="32"/>
        <v>728.14</v>
      </c>
      <c r="AC50">
        <f t="shared" si="59"/>
        <v>728.14</v>
      </c>
      <c r="AD50">
        <f t="shared" si="60"/>
        <v>0</v>
      </c>
      <c r="AE50">
        <f t="shared" si="61"/>
        <v>0</v>
      </c>
      <c r="AF50">
        <f t="shared" si="62"/>
        <v>0</v>
      </c>
      <c r="AG50">
        <f t="shared" si="33"/>
        <v>0</v>
      </c>
      <c r="AH50">
        <f t="shared" si="63"/>
        <v>0</v>
      </c>
      <c r="AI50">
        <f t="shared" si="64"/>
        <v>0</v>
      </c>
      <c r="AJ50">
        <f t="shared" si="34"/>
        <v>0</v>
      </c>
      <c r="AK50">
        <v>728.14</v>
      </c>
      <c r="AL50">
        <v>728.14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80</v>
      </c>
      <c r="AU50">
        <v>68</v>
      </c>
      <c r="AV50">
        <v>1</v>
      </c>
      <c r="AW50">
        <v>1</v>
      </c>
      <c r="AZ50">
        <v>6.71</v>
      </c>
      <c r="BA50">
        <v>1</v>
      </c>
      <c r="BB50">
        <v>1</v>
      </c>
      <c r="BC50">
        <v>6.71</v>
      </c>
      <c r="BD50" t="s">
        <v>6</v>
      </c>
      <c r="BE50" t="s">
        <v>6</v>
      </c>
      <c r="BF50" t="s">
        <v>6</v>
      </c>
      <c r="BG50" t="s">
        <v>6</v>
      </c>
      <c r="BH50">
        <v>3</v>
      </c>
      <c r="BI50">
        <v>1</v>
      </c>
      <c r="BJ50" t="s">
        <v>146</v>
      </c>
      <c r="BM50">
        <v>57001</v>
      </c>
      <c r="BN50">
        <v>0</v>
      </c>
      <c r="BO50" t="s">
        <v>6</v>
      </c>
      <c r="BP50">
        <v>0</v>
      </c>
      <c r="BQ50">
        <v>6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6</v>
      </c>
      <c r="BZ50">
        <v>80</v>
      </c>
      <c r="CA50">
        <v>68</v>
      </c>
      <c r="CE50">
        <v>0</v>
      </c>
      <c r="CF50">
        <v>0</v>
      </c>
      <c r="CG50">
        <v>0</v>
      </c>
      <c r="CM50">
        <v>0</v>
      </c>
      <c r="CN50" t="s">
        <v>6</v>
      </c>
      <c r="CO50">
        <v>0</v>
      </c>
      <c r="CP50">
        <f t="shared" si="35"/>
        <v>4310.2299999999996</v>
      </c>
      <c r="CQ50">
        <f t="shared" si="36"/>
        <v>4885.8194000000003</v>
      </c>
      <c r="CR50">
        <f t="shared" si="37"/>
        <v>0</v>
      </c>
      <c r="CS50">
        <f t="shared" si="38"/>
        <v>0</v>
      </c>
      <c r="CT50">
        <f t="shared" si="39"/>
        <v>0</v>
      </c>
      <c r="CU50">
        <f t="shared" si="40"/>
        <v>0</v>
      </c>
      <c r="CV50">
        <f t="shared" si="41"/>
        <v>0</v>
      </c>
      <c r="CW50">
        <f t="shared" si="42"/>
        <v>0</v>
      </c>
      <c r="CX50">
        <f t="shared" si="43"/>
        <v>0</v>
      </c>
      <c r="CY50">
        <f t="shared" si="44"/>
        <v>0</v>
      </c>
      <c r="CZ50">
        <f t="shared" si="45"/>
        <v>0</v>
      </c>
      <c r="DC50" t="s">
        <v>6</v>
      </c>
      <c r="DD50" t="s">
        <v>6</v>
      </c>
      <c r="DE50" t="s">
        <v>6</v>
      </c>
      <c r="DF50" t="s">
        <v>6</v>
      </c>
      <c r="DG50" t="s">
        <v>6</v>
      </c>
      <c r="DH50" t="s">
        <v>6</v>
      </c>
      <c r="DI50" t="s">
        <v>6</v>
      </c>
      <c r="DJ50" t="s">
        <v>6</v>
      </c>
      <c r="DK50" t="s">
        <v>6</v>
      </c>
      <c r="DL50" t="s">
        <v>6</v>
      </c>
      <c r="DM50" t="s">
        <v>6</v>
      </c>
      <c r="DN50">
        <v>0</v>
      </c>
      <c r="DO50">
        <v>0</v>
      </c>
      <c r="DP50">
        <v>1</v>
      </c>
      <c r="DQ50">
        <v>1</v>
      </c>
      <c r="DU50">
        <v>1009</v>
      </c>
      <c r="DV50" t="s">
        <v>145</v>
      </c>
      <c r="DW50" t="s">
        <v>145</v>
      </c>
      <c r="DX50">
        <v>1000</v>
      </c>
      <c r="EE50">
        <v>16510566</v>
      </c>
      <c r="EF50">
        <v>6</v>
      </c>
      <c r="EG50" t="s">
        <v>41</v>
      </c>
      <c r="EH50">
        <v>0</v>
      </c>
      <c r="EI50" t="s">
        <v>6</v>
      </c>
      <c r="EJ50">
        <v>1</v>
      </c>
      <c r="EK50">
        <v>57001</v>
      </c>
      <c r="EL50" t="s">
        <v>42</v>
      </c>
      <c r="EM50" t="s">
        <v>43</v>
      </c>
      <c r="EO50" t="s">
        <v>6</v>
      </c>
      <c r="EQ50">
        <v>0</v>
      </c>
      <c r="ER50">
        <v>728.14</v>
      </c>
      <c r="ES50">
        <v>728.14</v>
      </c>
      <c r="ET50">
        <v>0</v>
      </c>
      <c r="EU50">
        <v>0</v>
      </c>
      <c r="EV50">
        <v>0</v>
      </c>
      <c r="EW50">
        <v>0</v>
      </c>
      <c r="EX50">
        <v>0</v>
      </c>
      <c r="FQ50">
        <v>0</v>
      </c>
      <c r="FR50">
        <f t="shared" si="46"/>
        <v>0</v>
      </c>
      <c r="FS50">
        <v>0</v>
      </c>
      <c r="FX50">
        <v>80</v>
      </c>
      <c r="FY50">
        <v>68</v>
      </c>
      <c r="GA50" t="s">
        <v>6</v>
      </c>
      <c r="GD50">
        <v>0</v>
      </c>
      <c r="GF50">
        <v>50694098</v>
      </c>
      <c r="GG50">
        <v>1</v>
      </c>
      <c r="GH50">
        <v>1</v>
      </c>
      <c r="GI50">
        <v>4</v>
      </c>
      <c r="GJ50">
        <v>0</v>
      </c>
      <c r="GK50">
        <f>ROUND(R50*(R12)/100,2)</f>
        <v>0</v>
      </c>
      <c r="GL50">
        <f t="shared" si="47"/>
        <v>0</v>
      </c>
      <c r="GM50">
        <f t="shared" si="48"/>
        <v>4310.2299999999996</v>
      </c>
      <c r="GN50">
        <f t="shared" si="49"/>
        <v>4310.2299999999996</v>
      </c>
      <c r="GO50">
        <f t="shared" si="50"/>
        <v>0</v>
      </c>
      <c r="GP50">
        <f t="shared" si="51"/>
        <v>0</v>
      </c>
      <c r="GR50">
        <v>0</v>
      </c>
      <c r="GS50">
        <v>0</v>
      </c>
      <c r="GT50">
        <v>0</v>
      </c>
      <c r="GU50" t="s">
        <v>6</v>
      </c>
      <c r="GV50">
        <f t="shared" si="52"/>
        <v>0</v>
      </c>
      <c r="GW50">
        <v>1</v>
      </c>
      <c r="GX50">
        <f t="shared" si="53"/>
        <v>0</v>
      </c>
      <c r="HA50">
        <v>0</v>
      </c>
      <c r="HB50">
        <v>0</v>
      </c>
      <c r="HC50">
        <f t="shared" si="54"/>
        <v>0</v>
      </c>
      <c r="IK50">
        <v>0</v>
      </c>
    </row>
    <row r="51" spans="1:245" x14ac:dyDescent="0.2">
      <c r="A51">
        <v>17</v>
      </c>
      <c r="B51">
        <v>1</v>
      </c>
      <c r="C51">
        <f>ROW(SmtRes!A77)</f>
        <v>77</v>
      </c>
      <c r="D51">
        <f>ROW(EtalonRes!A89)</f>
        <v>89</v>
      </c>
      <c r="E51" t="s">
        <v>147</v>
      </c>
      <c r="F51" t="s">
        <v>148</v>
      </c>
      <c r="G51" t="s">
        <v>149</v>
      </c>
      <c r="H51" t="s">
        <v>18</v>
      </c>
      <c r="I51">
        <f>ROUND(134.42/100,9)</f>
        <v>1.3442000000000001</v>
      </c>
      <c r="J51">
        <v>0</v>
      </c>
      <c r="O51">
        <f t="shared" si="21"/>
        <v>99924.79</v>
      </c>
      <c r="P51">
        <f t="shared" si="22"/>
        <v>96521.52</v>
      </c>
      <c r="Q51">
        <f t="shared" si="23"/>
        <v>70.260000000000005</v>
      </c>
      <c r="R51">
        <f t="shared" si="24"/>
        <v>22.19</v>
      </c>
      <c r="S51">
        <f t="shared" si="25"/>
        <v>3333.01</v>
      </c>
      <c r="T51">
        <f t="shared" si="26"/>
        <v>0</v>
      </c>
      <c r="U51">
        <f t="shared" si="27"/>
        <v>58.231416099999997</v>
      </c>
      <c r="V51">
        <f t="shared" si="28"/>
        <v>0.28564250000000002</v>
      </c>
      <c r="W51">
        <f t="shared" si="29"/>
        <v>0</v>
      </c>
      <c r="X51">
        <f t="shared" si="30"/>
        <v>3724.27</v>
      </c>
      <c r="Y51">
        <f t="shared" si="31"/>
        <v>2147.33</v>
      </c>
      <c r="AA51">
        <v>16812721</v>
      </c>
      <c r="AB51">
        <f t="shared" si="32"/>
        <v>11078.65</v>
      </c>
      <c r="AC51">
        <f t="shared" si="59"/>
        <v>10701.33</v>
      </c>
      <c r="AD51">
        <f>ROUND(((((ET51*1.25))-((EU51*1.25)))+AE51),2)</f>
        <v>7.79</v>
      </c>
      <c r="AE51">
        <f>ROUND(((EU51*1.25)),2)</f>
        <v>2.46</v>
      </c>
      <c r="AF51">
        <f>ROUND(((EV51*1.15)),2)</f>
        <v>369.53</v>
      </c>
      <c r="AG51">
        <f t="shared" si="33"/>
        <v>0</v>
      </c>
      <c r="AH51">
        <f>((EW51*1.15))</f>
        <v>43.320499999999996</v>
      </c>
      <c r="AI51">
        <f>((EX51*1.25))</f>
        <v>0.21250000000000002</v>
      </c>
      <c r="AJ51">
        <f t="shared" si="34"/>
        <v>0</v>
      </c>
      <c r="AK51">
        <v>11028.89</v>
      </c>
      <c r="AL51">
        <v>10701.33</v>
      </c>
      <c r="AM51">
        <v>6.23</v>
      </c>
      <c r="AN51">
        <v>1.97</v>
      </c>
      <c r="AO51">
        <v>321.33</v>
      </c>
      <c r="AP51">
        <v>0</v>
      </c>
      <c r="AQ51">
        <v>37.67</v>
      </c>
      <c r="AR51">
        <v>0.17</v>
      </c>
      <c r="AS51">
        <v>0</v>
      </c>
      <c r="AT51">
        <v>111</v>
      </c>
      <c r="AU51">
        <v>64</v>
      </c>
      <c r="AV51">
        <v>1</v>
      </c>
      <c r="AW51">
        <v>1</v>
      </c>
      <c r="AZ51">
        <v>6.71</v>
      </c>
      <c r="BA51">
        <v>6.71</v>
      </c>
      <c r="BB51">
        <v>6.71</v>
      </c>
      <c r="BC51">
        <v>6.71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150</v>
      </c>
      <c r="BM51">
        <v>11001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6.71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123</v>
      </c>
      <c r="CA51">
        <v>75</v>
      </c>
      <c r="CE51">
        <v>0</v>
      </c>
      <c r="CF51">
        <v>0</v>
      </c>
      <c r="CG51">
        <v>0</v>
      </c>
      <c r="CM51">
        <v>0</v>
      </c>
      <c r="CN51" t="s">
        <v>1138</v>
      </c>
      <c r="CO51">
        <v>0</v>
      </c>
      <c r="CP51">
        <f t="shared" si="35"/>
        <v>99924.79</v>
      </c>
      <c r="CQ51">
        <f t="shared" si="36"/>
        <v>71805.924299999999</v>
      </c>
      <c r="CR51">
        <f t="shared" si="37"/>
        <v>52.270899999999997</v>
      </c>
      <c r="CS51">
        <f t="shared" si="38"/>
        <v>16.506599999999999</v>
      </c>
      <c r="CT51">
        <f t="shared" si="39"/>
        <v>2479.5463</v>
      </c>
      <c r="CU51">
        <f t="shared" si="40"/>
        <v>0</v>
      </c>
      <c r="CV51">
        <f t="shared" si="41"/>
        <v>43.320499999999996</v>
      </c>
      <c r="CW51">
        <f t="shared" si="42"/>
        <v>0.21250000000000002</v>
      </c>
      <c r="CX51">
        <f t="shared" si="43"/>
        <v>0</v>
      </c>
      <c r="CY51">
        <f t="shared" si="44"/>
        <v>3724.2719999999999</v>
      </c>
      <c r="CZ51">
        <f t="shared" si="45"/>
        <v>2147.328</v>
      </c>
      <c r="DC51" t="s">
        <v>6</v>
      </c>
      <c r="DD51" t="s">
        <v>6</v>
      </c>
      <c r="DE51" t="s">
        <v>103</v>
      </c>
      <c r="DF51" t="s">
        <v>103</v>
      </c>
      <c r="DG51" t="s">
        <v>104</v>
      </c>
      <c r="DH51" t="s">
        <v>6</v>
      </c>
      <c r="DI51" t="s">
        <v>104</v>
      </c>
      <c r="DJ51" t="s">
        <v>103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18</v>
      </c>
      <c r="DW51" t="s">
        <v>18</v>
      </c>
      <c r="DX51">
        <v>100</v>
      </c>
      <c r="EE51">
        <v>16510488</v>
      </c>
      <c r="EF51">
        <v>2</v>
      </c>
      <c r="EG51" t="s">
        <v>20</v>
      </c>
      <c r="EH51">
        <v>0</v>
      </c>
      <c r="EI51" t="s">
        <v>6</v>
      </c>
      <c r="EJ51">
        <v>1</v>
      </c>
      <c r="EK51">
        <v>11001</v>
      </c>
      <c r="EL51" t="s">
        <v>42</v>
      </c>
      <c r="EM51" t="s">
        <v>151</v>
      </c>
      <c r="EO51" t="s">
        <v>105</v>
      </c>
      <c r="EQ51">
        <v>131072</v>
      </c>
      <c r="ER51">
        <v>11028.89</v>
      </c>
      <c r="ES51">
        <v>10701.33</v>
      </c>
      <c r="ET51">
        <v>6.23</v>
      </c>
      <c r="EU51">
        <v>1.97</v>
      </c>
      <c r="EV51">
        <v>321.33</v>
      </c>
      <c r="EW51">
        <v>37.67</v>
      </c>
      <c r="EX51">
        <v>0.17</v>
      </c>
      <c r="EY51">
        <v>0</v>
      </c>
      <c r="FQ51">
        <v>0</v>
      </c>
      <c r="FR51">
        <f t="shared" si="46"/>
        <v>0</v>
      </c>
      <c r="FS51">
        <v>0</v>
      </c>
      <c r="FT51" t="s">
        <v>23</v>
      </c>
      <c r="FU51" t="s">
        <v>24</v>
      </c>
      <c r="FX51">
        <v>110.7</v>
      </c>
      <c r="FY51">
        <v>63.75</v>
      </c>
      <c r="GA51" t="s">
        <v>6</v>
      </c>
      <c r="GD51">
        <v>0</v>
      </c>
      <c r="GF51">
        <v>1715562049</v>
      </c>
      <c r="GG51">
        <v>1</v>
      </c>
      <c r="GH51">
        <v>1</v>
      </c>
      <c r="GI51">
        <v>4</v>
      </c>
      <c r="GJ51">
        <v>0</v>
      </c>
      <c r="GK51">
        <f>ROUND(R51*(R12)/100,2)</f>
        <v>0</v>
      </c>
      <c r="GL51">
        <f t="shared" si="47"/>
        <v>0</v>
      </c>
      <c r="GM51">
        <f t="shared" si="48"/>
        <v>105796.39</v>
      </c>
      <c r="GN51">
        <f t="shared" si="49"/>
        <v>105796.39</v>
      </c>
      <c r="GO51">
        <f t="shared" si="50"/>
        <v>0</v>
      </c>
      <c r="GP51">
        <f t="shared" si="51"/>
        <v>0</v>
      </c>
      <c r="GR51">
        <v>0</v>
      </c>
      <c r="GS51">
        <v>3</v>
      </c>
      <c r="GT51">
        <v>0</v>
      </c>
      <c r="GU51" t="s">
        <v>6</v>
      </c>
      <c r="GV51">
        <f t="shared" si="52"/>
        <v>0</v>
      </c>
      <c r="GW51">
        <v>1</v>
      </c>
      <c r="GX51">
        <f t="shared" si="53"/>
        <v>0</v>
      </c>
      <c r="HA51">
        <v>0</v>
      </c>
      <c r="HB51">
        <v>0</v>
      </c>
      <c r="HC51">
        <f t="shared" si="54"/>
        <v>0</v>
      </c>
      <c r="IK51">
        <v>0</v>
      </c>
    </row>
    <row r="52" spans="1:245" x14ac:dyDescent="0.2">
      <c r="A52">
        <v>17</v>
      </c>
      <c r="B52">
        <v>1</v>
      </c>
      <c r="C52">
        <f>ROW(SmtRes!A83)</f>
        <v>83</v>
      </c>
      <c r="D52">
        <f>ROW(EtalonRes!A95)</f>
        <v>95</v>
      </c>
      <c r="E52" t="s">
        <v>152</v>
      </c>
      <c r="F52" t="s">
        <v>153</v>
      </c>
      <c r="G52" t="s">
        <v>154</v>
      </c>
      <c r="H52" t="s">
        <v>18</v>
      </c>
      <c r="I52">
        <f>ROUND(134.42/100,9)</f>
        <v>1.3442000000000001</v>
      </c>
      <c r="J52">
        <v>0</v>
      </c>
      <c r="O52">
        <f t="shared" si="21"/>
        <v>93533.06</v>
      </c>
      <c r="P52">
        <f t="shared" si="22"/>
        <v>92394.34</v>
      </c>
      <c r="Q52">
        <f t="shared" si="23"/>
        <v>68.28</v>
      </c>
      <c r="R52">
        <f t="shared" si="24"/>
        <v>19.75</v>
      </c>
      <c r="S52">
        <f t="shared" si="25"/>
        <v>1070.44</v>
      </c>
      <c r="T52">
        <f t="shared" si="26"/>
        <v>0</v>
      </c>
      <c r="U52">
        <f t="shared" si="27"/>
        <v>18.704543000000001</v>
      </c>
      <c r="V52">
        <f t="shared" si="28"/>
        <v>0.25203750000000003</v>
      </c>
      <c r="W52">
        <f t="shared" si="29"/>
        <v>0</v>
      </c>
      <c r="X52">
        <f t="shared" si="30"/>
        <v>1210.1099999999999</v>
      </c>
      <c r="Y52">
        <f t="shared" si="31"/>
        <v>697.72</v>
      </c>
      <c r="AA52">
        <v>16812721</v>
      </c>
      <c r="AB52">
        <f t="shared" si="32"/>
        <v>10370</v>
      </c>
      <c r="AC52">
        <f>ROUND(((ES52*5)),2)</f>
        <v>10243.75</v>
      </c>
      <c r="AD52">
        <f>ROUND(((((ET52*1.25*5))-((EU52*1.25*5)))+AE52),2)</f>
        <v>7.57</v>
      </c>
      <c r="AE52">
        <f>ROUND(((EU52*1.25*5)),2)</f>
        <v>2.19</v>
      </c>
      <c r="AF52">
        <f>ROUND(((EV52*1.15*5)),2)</f>
        <v>118.68</v>
      </c>
      <c r="AG52">
        <f t="shared" si="33"/>
        <v>0</v>
      </c>
      <c r="AH52">
        <f>((EW52*1.15*5))</f>
        <v>13.914999999999999</v>
      </c>
      <c r="AI52">
        <f>((EX52*1.25*5))</f>
        <v>0.1875</v>
      </c>
      <c r="AJ52">
        <f t="shared" si="34"/>
        <v>0</v>
      </c>
      <c r="AK52">
        <v>2070.6</v>
      </c>
      <c r="AL52">
        <v>2048.75</v>
      </c>
      <c r="AM52">
        <v>1.21</v>
      </c>
      <c r="AN52">
        <v>0.35</v>
      </c>
      <c r="AO52">
        <v>20.64</v>
      </c>
      <c r="AP52">
        <v>0</v>
      </c>
      <c r="AQ52">
        <v>2.42</v>
      </c>
      <c r="AR52">
        <v>0.03</v>
      </c>
      <c r="AS52">
        <v>0</v>
      </c>
      <c r="AT52">
        <v>111</v>
      </c>
      <c r="AU52">
        <v>64</v>
      </c>
      <c r="AV52">
        <v>1</v>
      </c>
      <c r="AW52">
        <v>1</v>
      </c>
      <c r="AZ52">
        <v>6.71</v>
      </c>
      <c r="BA52">
        <v>6.71</v>
      </c>
      <c r="BB52">
        <v>6.71</v>
      </c>
      <c r="BC52">
        <v>6.71</v>
      </c>
      <c r="BD52" t="s">
        <v>6</v>
      </c>
      <c r="BE52" t="s">
        <v>6</v>
      </c>
      <c r="BF52" t="s">
        <v>6</v>
      </c>
      <c r="BG52" t="s">
        <v>6</v>
      </c>
      <c r="BH52">
        <v>0</v>
      </c>
      <c r="BI52">
        <v>1</v>
      </c>
      <c r="BJ52" t="s">
        <v>155</v>
      </c>
      <c r="BM52">
        <v>11001</v>
      </c>
      <c r="BN52">
        <v>0</v>
      </c>
      <c r="BO52" t="s">
        <v>6</v>
      </c>
      <c r="BP52">
        <v>0</v>
      </c>
      <c r="BQ52">
        <v>2</v>
      </c>
      <c r="BR52">
        <v>0</v>
      </c>
      <c r="BS52">
        <v>6.71</v>
      </c>
      <c r="BT52">
        <v>1</v>
      </c>
      <c r="BU52">
        <v>1</v>
      </c>
      <c r="BV52">
        <v>1</v>
      </c>
      <c r="BW52">
        <v>1</v>
      </c>
      <c r="BX52">
        <v>1</v>
      </c>
      <c r="BY52" t="s">
        <v>6</v>
      </c>
      <c r="BZ52">
        <v>123</v>
      </c>
      <c r="CA52">
        <v>75</v>
      </c>
      <c r="CE52">
        <v>0</v>
      </c>
      <c r="CF52">
        <v>0</v>
      </c>
      <c r="CG52">
        <v>0</v>
      </c>
      <c r="CM52">
        <v>0</v>
      </c>
      <c r="CN52" t="s">
        <v>1138</v>
      </c>
      <c r="CO52">
        <v>0</v>
      </c>
      <c r="CP52">
        <f t="shared" si="35"/>
        <v>93533.06</v>
      </c>
      <c r="CQ52">
        <f t="shared" si="36"/>
        <v>68735.5625</v>
      </c>
      <c r="CR52">
        <f t="shared" si="37"/>
        <v>50.794699999999999</v>
      </c>
      <c r="CS52">
        <f t="shared" si="38"/>
        <v>14.694899999999999</v>
      </c>
      <c r="CT52">
        <f t="shared" si="39"/>
        <v>796.34280000000001</v>
      </c>
      <c r="CU52">
        <f t="shared" si="40"/>
        <v>0</v>
      </c>
      <c r="CV52">
        <f t="shared" si="41"/>
        <v>13.914999999999999</v>
      </c>
      <c r="CW52">
        <f t="shared" si="42"/>
        <v>0.1875</v>
      </c>
      <c r="CX52">
        <f t="shared" si="43"/>
        <v>0</v>
      </c>
      <c r="CY52">
        <f t="shared" si="44"/>
        <v>1210.1109000000001</v>
      </c>
      <c r="CZ52">
        <f t="shared" si="45"/>
        <v>697.72160000000008</v>
      </c>
      <c r="DC52" t="s">
        <v>6</v>
      </c>
      <c r="DD52" t="s">
        <v>156</v>
      </c>
      <c r="DE52" t="s">
        <v>157</v>
      </c>
      <c r="DF52" t="s">
        <v>157</v>
      </c>
      <c r="DG52" t="s">
        <v>158</v>
      </c>
      <c r="DH52" t="s">
        <v>6</v>
      </c>
      <c r="DI52" t="s">
        <v>158</v>
      </c>
      <c r="DJ52" t="s">
        <v>157</v>
      </c>
      <c r="DK52" t="s">
        <v>6</v>
      </c>
      <c r="DL52" t="s">
        <v>6</v>
      </c>
      <c r="DM52" t="s">
        <v>6</v>
      </c>
      <c r="DN52">
        <v>0</v>
      </c>
      <c r="DO52">
        <v>0</v>
      </c>
      <c r="DP52">
        <v>1</v>
      </c>
      <c r="DQ52">
        <v>1</v>
      </c>
      <c r="DU52">
        <v>1005</v>
      </c>
      <c r="DV52" t="s">
        <v>18</v>
      </c>
      <c r="DW52" t="s">
        <v>18</v>
      </c>
      <c r="DX52">
        <v>100</v>
      </c>
      <c r="EE52">
        <v>16510488</v>
      </c>
      <c r="EF52">
        <v>2</v>
      </c>
      <c r="EG52" t="s">
        <v>20</v>
      </c>
      <c r="EH52">
        <v>0</v>
      </c>
      <c r="EI52" t="s">
        <v>6</v>
      </c>
      <c r="EJ52">
        <v>1</v>
      </c>
      <c r="EK52">
        <v>11001</v>
      </c>
      <c r="EL52" t="s">
        <v>42</v>
      </c>
      <c r="EM52" t="s">
        <v>151</v>
      </c>
      <c r="EO52" t="s">
        <v>105</v>
      </c>
      <c r="EQ52">
        <v>131072</v>
      </c>
      <c r="ER52">
        <v>2070.6</v>
      </c>
      <c r="ES52">
        <v>2048.75</v>
      </c>
      <c r="ET52">
        <v>1.21</v>
      </c>
      <c r="EU52">
        <v>0.35</v>
      </c>
      <c r="EV52">
        <v>20.64</v>
      </c>
      <c r="EW52">
        <v>2.42</v>
      </c>
      <c r="EX52">
        <v>0.03</v>
      </c>
      <c r="EY52">
        <v>0</v>
      </c>
      <c r="FQ52">
        <v>0</v>
      </c>
      <c r="FR52">
        <f t="shared" si="46"/>
        <v>0</v>
      </c>
      <c r="FS52">
        <v>0</v>
      </c>
      <c r="FT52" t="s">
        <v>23</v>
      </c>
      <c r="FU52" t="s">
        <v>24</v>
      </c>
      <c r="FX52">
        <v>110.7</v>
      </c>
      <c r="FY52">
        <v>63.75</v>
      </c>
      <c r="GA52" t="s">
        <v>6</v>
      </c>
      <c r="GD52">
        <v>0</v>
      </c>
      <c r="GF52">
        <v>337317905</v>
      </c>
      <c r="GG52">
        <v>1</v>
      </c>
      <c r="GH52">
        <v>1</v>
      </c>
      <c r="GI52">
        <v>4</v>
      </c>
      <c r="GJ52">
        <v>0</v>
      </c>
      <c r="GK52">
        <f>ROUND(R52*(R12)/100,2)</f>
        <v>0</v>
      </c>
      <c r="GL52">
        <f t="shared" si="47"/>
        <v>0</v>
      </c>
      <c r="GM52">
        <f t="shared" si="48"/>
        <v>95440.89</v>
      </c>
      <c r="GN52">
        <f t="shared" si="49"/>
        <v>95440.89</v>
      </c>
      <c r="GO52">
        <f t="shared" si="50"/>
        <v>0</v>
      </c>
      <c r="GP52">
        <f t="shared" si="51"/>
        <v>0</v>
      </c>
      <c r="GR52">
        <v>0</v>
      </c>
      <c r="GS52">
        <v>3</v>
      </c>
      <c r="GT52">
        <v>0</v>
      </c>
      <c r="GU52" t="s">
        <v>6</v>
      </c>
      <c r="GV52">
        <f t="shared" si="52"/>
        <v>0</v>
      </c>
      <c r="GW52">
        <v>1</v>
      </c>
      <c r="GX52">
        <f t="shared" si="53"/>
        <v>0</v>
      </c>
      <c r="HA52">
        <v>0</v>
      </c>
      <c r="HB52">
        <v>0</v>
      </c>
      <c r="HC52">
        <f t="shared" si="54"/>
        <v>0</v>
      </c>
      <c r="IK52">
        <v>0</v>
      </c>
    </row>
    <row r="53" spans="1:245" x14ac:dyDescent="0.2">
      <c r="A53">
        <v>17</v>
      </c>
      <c r="B53">
        <v>1</v>
      </c>
      <c r="C53">
        <f>ROW(SmtRes!A89)</f>
        <v>89</v>
      </c>
      <c r="D53">
        <f>ROW(EtalonRes!A100)</f>
        <v>100</v>
      </c>
      <c r="E53" t="s">
        <v>159</v>
      </c>
      <c r="F53" t="s">
        <v>160</v>
      </c>
      <c r="G53" t="s">
        <v>161</v>
      </c>
      <c r="H53" t="s">
        <v>18</v>
      </c>
      <c r="I53">
        <f>ROUND(134.42/100,9)</f>
        <v>1.3442000000000001</v>
      </c>
      <c r="J53">
        <v>0</v>
      </c>
      <c r="O53">
        <f t="shared" si="21"/>
        <v>5876.26</v>
      </c>
      <c r="P53">
        <f t="shared" si="22"/>
        <v>3305.23</v>
      </c>
      <c r="Q53">
        <f t="shared" si="23"/>
        <v>74.05</v>
      </c>
      <c r="R53">
        <f t="shared" si="24"/>
        <v>13.08</v>
      </c>
      <c r="S53">
        <f t="shared" si="25"/>
        <v>2496.98</v>
      </c>
      <c r="T53">
        <f t="shared" si="26"/>
        <v>0</v>
      </c>
      <c r="U53">
        <f t="shared" si="27"/>
        <v>39.588706299999998</v>
      </c>
      <c r="V53">
        <f t="shared" si="28"/>
        <v>0.16802500000000001</v>
      </c>
      <c r="W53">
        <f t="shared" si="29"/>
        <v>0</v>
      </c>
      <c r="X53">
        <f t="shared" si="30"/>
        <v>2786.17</v>
      </c>
      <c r="Y53">
        <f t="shared" si="31"/>
        <v>1606.44</v>
      </c>
      <c r="AA53">
        <v>16812721</v>
      </c>
      <c r="AB53">
        <f t="shared" si="32"/>
        <v>651.5</v>
      </c>
      <c r="AC53">
        <f t="shared" ref="AC53:AC84" si="65">ROUND((ES53),2)</f>
        <v>366.45</v>
      </c>
      <c r="AD53">
        <f>ROUND(((((ET53*1.25))-((EU53*1.25)))+AE53),2)</f>
        <v>8.2100000000000009</v>
      </c>
      <c r="AE53">
        <f>ROUND(((EU53*1.25)),2)</f>
        <v>1.45</v>
      </c>
      <c r="AF53">
        <f>ROUND(((EV53*1.15)),2)</f>
        <v>276.83999999999997</v>
      </c>
      <c r="AG53">
        <f t="shared" si="33"/>
        <v>0</v>
      </c>
      <c r="AH53">
        <f>((EW53*1.15))</f>
        <v>29.451499999999996</v>
      </c>
      <c r="AI53">
        <f>((EX53*1.25))</f>
        <v>0.125</v>
      </c>
      <c r="AJ53">
        <f t="shared" si="34"/>
        <v>0</v>
      </c>
      <c r="AK53">
        <v>613.75</v>
      </c>
      <c r="AL53">
        <v>366.45</v>
      </c>
      <c r="AM53">
        <v>6.57</v>
      </c>
      <c r="AN53">
        <v>1.1599999999999999</v>
      </c>
      <c r="AO53">
        <v>240.73</v>
      </c>
      <c r="AP53">
        <v>0</v>
      </c>
      <c r="AQ53">
        <v>25.61</v>
      </c>
      <c r="AR53">
        <v>0.1</v>
      </c>
      <c r="AS53">
        <v>0</v>
      </c>
      <c r="AT53">
        <v>111</v>
      </c>
      <c r="AU53">
        <v>64</v>
      </c>
      <c r="AV53">
        <v>1</v>
      </c>
      <c r="AW53">
        <v>1</v>
      </c>
      <c r="AZ53">
        <v>6.71</v>
      </c>
      <c r="BA53">
        <v>6.71</v>
      </c>
      <c r="BB53">
        <v>6.71</v>
      </c>
      <c r="BC53">
        <v>6.71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162</v>
      </c>
      <c r="BM53">
        <v>11001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6.71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123</v>
      </c>
      <c r="CA53">
        <v>75</v>
      </c>
      <c r="CE53">
        <v>0</v>
      </c>
      <c r="CF53">
        <v>0</v>
      </c>
      <c r="CG53">
        <v>0</v>
      </c>
      <c r="CM53">
        <v>0</v>
      </c>
      <c r="CN53" t="s">
        <v>1138</v>
      </c>
      <c r="CO53">
        <v>0</v>
      </c>
      <c r="CP53">
        <f t="shared" si="35"/>
        <v>5876.26</v>
      </c>
      <c r="CQ53">
        <f t="shared" si="36"/>
        <v>2458.8795</v>
      </c>
      <c r="CR53">
        <f t="shared" si="37"/>
        <v>55.089100000000002</v>
      </c>
      <c r="CS53">
        <f t="shared" si="38"/>
        <v>9.7294999999999998</v>
      </c>
      <c r="CT53">
        <f t="shared" si="39"/>
        <v>1857.5963999999999</v>
      </c>
      <c r="CU53">
        <f t="shared" si="40"/>
        <v>0</v>
      </c>
      <c r="CV53">
        <f t="shared" si="41"/>
        <v>29.451499999999996</v>
      </c>
      <c r="CW53">
        <f t="shared" si="42"/>
        <v>0.125</v>
      </c>
      <c r="CX53">
        <f t="shared" si="43"/>
        <v>0</v>
      </c>
      <c r="CY53">
        <f t="shared" si="44"/>
        <v>2786.1665999999996</v>
      </c>
      <c r="CZ53">
        <f t="shared" si="45"/>
        <v>1606.4384</v>
      </c>
      <c r="DC53" t="s">
        <v>6</v>
      </c>
      <c r="DD53" t="s">
        <v>6</v>
      </c>
      <c r="DE53" t="s">
        <v>103</v>
      </c>
      <c r="DF53" t="s">
        <v>103</v>
      </c>
      <c r="DG53" t="s">
        <v>104</v>
      </c>
      <c r="DH53" t="s">
        <v>6</v>
      </c>
      <c r="DI53" t="s">
        <v>104</v>
      </c>
      <c r="DJ53" t="s">
        <v>103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18</v>
      </c>
      <c r="DW53" t="s">
        <v>18</v>
      </c>
      <c r="DX53">
        <v>100</v>
      </c>
      <c r="EE53">
        <v>16510488</v>
      </c>
      <c r="EF53">
        <v>2</v>
      </c>
      <c r="EG53" t="s">
        <v>20</v>
      </c>
      <c r="EH53">
        <v>0</v>
      </c>
      <c r="EI53" t="s">
        <v>6</v>
      </c>
      <c r="EJ53">
        <v>1</v>
      </c>
      <c r="EK53">
        <v>11001</v>
      </c>
      <c r="EL53" t="s">
        <v>42</v>
      </c>
      <c r="EM53" t="s">
        <v>151</v>
      </c>
      <c r="EO53" t="s">
        <v>105</v>
      </c>
      <c r="EQ53">
        <v>0</v>
      </c>
      <c r="ER53">
        <v>613.75</v>
      </c>
      <c r="ES53">
        <v>366.45</v>
      </c>
      <c r="ET53">
        <v>6.57</v>
      </c>
      <c r="EU53">
        <v>1.1599999999999999</v>
      </c>
      <c r="EV53">
        <v>240.73</v>
      </c>
      <c r="EW53">
        <v>25.61</v>
      </c>
      <c r="EX53">
        <v>0.1</v>
      </c>
      <c r="EY53">
        <v>0</v>
      </c>
      <c r="FQ53">
        <v>0</v>
      </c>
      <c r="FR53">
        <f t="shared" si="46"/>
        <v>0</v>
      </c>
      <c r="FS53">
        <v>0</v>
      </c>
      <c r="FT53" t="s">
        <v>23</v>
      </c>
      <c r="FU53" t="s">
        <v>24</v>
      </c>
      <c r="FX53">
        <v>110.7</v>
      </c>
      <c r="FY53">
        <v>63.75</v>
      </c>
      <c r="GA53" t="s">
        <v>6</v>
      </c>
      <c r="GD53">
        <v>0</v>
      </c>
      <c r="GF53">
        <v>1120024045</v>
      </c>
      <c r="GG53">
        <v>1</v>
      </c>
      <c r="GH53">
        <v>1</v>
      </c>
      <c r="GI53">
        <v>4</v>
      </c>
      <c r="GJ53">
        <v>0</v>
      </c>
      <c r="GK53">
        <f>ROUND(R53*(R12)/100,2)</f>
        <v>0</v>
      </c>
      <c r="GL53">
        <f t="shared" si="47"/>
        <v>0</v>
      </c>
      <c r="GM53">
        <f t="shared" si="48"/>
        <v>10268.870000000001</v>
      </c>
      <c r="GN53">
        <f t="shared" si="49"/>
        <v>10268.870000000001</v>
      </c>
      <c r="GO53">
        <f t="shared" si="50"/>
        <v>0</v>
      </c>
      <c r="GP53">
        <f t="shared" si="51"/>
        <v>0</v>
      </c>
      <c r="GR53">
        <v>0</v>
      </c>
      <c r="GS53">
        <v>3</v>
      </c>
      <c r="GT53">
        <v>0</v>
      </c>
      <c r="GU53" t="s">
        <v>6</v>
      </c>
      <c r="GV53">
        <f t="shared" si="52"/>
        <v>0</v>
      </c>
      <c r="GW53">
        <v>1</v>
      </c>
      <c r="GX53">
        <f t="shared" si="53"/>
        <v>0</v>
      </c>
      <c r="HA53">
        <v>0</v>
      </c>
      <c r="HB53">
        <v>0</v>
      </c>
      <c r="HC53">
        <f t="shared" si="54"/>
        <v>0</v>
      </c>
      <c r="IK53">
        <v>0</v>
      </c>
    </row>
    <row r="54" spans="1:245" x14ac:dyDescent="0.2">
      <c r="A54">
        <v>18</v>
      </c>
      <c r="B54">
        <v>1</v>
      </c>
      <c r="C54">
        <v>87</v>
      </c>
      <c r="E54" t="s">
        <v>163</v>
      </c>
      <c r="F54" t="s">
        <v>164</v>
      </c>
      <c r="G54" t="s">
        <v>165</v>
      </c>
      <c r="H54" t="s">
        <v>28</v>
      </c>
      <c r="I54">
        <f>I53*J54</f>
        <v>137.78049999999999</v>
      </c>
      <c r="J54">
        <v>102.49999999999999</v>
      </c>
      <c r="O54">
        <f t="shared" si="21"/>
        <v>0</v>
      </c>
      <c r="P54">
        <f t="shared" si="22"/>
        <v>0</v>
      </c>
      <c r="Q54">
        <f t="shared" si="23"/>
        <v>0</v>
      </c>
      <c r="R54">
        <f t="shared" si="24"/>
        <v>0</v>
      </c>
      <c r="S54">
        <f t="shared" si="25"/>
        <v>0</v>
      </c>
      <c r="T54">
        <f t="shared" si="26"/>
        <v>0</v>
      </c>
      <c r="U54">
        <f t="shared" si="27"/>
        <v>0</v>
      </c>
      <c r="V54">
        <f t="shared" si="28"/>
        <v>0</v>
      </c>
      <c r="W54">
        <f t="shared" si="29"/>
        <v>0</v>
      </c>
      <c r="X54">
        <f t="shared" si="30"/>
        <v>0</v>
      </c>
      <c r="Y54">
        <f t="shared" si="31"/>
        <v>0</v>
      </c>
      <c r="AA54">
        <v>16812721</v>
      </c>
      <c r="AB54">
        <f t="shared" si="32"/>
        <v>0</v>
      </c>
      <c r="AC54">
        <f t="shared" si="65"/>
        <v>0</v>
      </c>
      <c r="AD54">
        <f>ROUND((((ET54)-(EU54))+AE54),2)</f>
        <v>0</v>
      </c>
      <c r="AE54">
        <f>ROUND((EU54),2)</f>
        <v>0</v>
      </c>
      <c r="AF54">
        <f>ROUND((EV54),2)</f>
        <v>0</v>
      </c>
      <c r="AG54">
        <f t="shared" si="33"/>
        <v>0</v>
      </c>
      <c r="AH54">
        <f>(EW54)</f>
        <v>0</v>
      </c>
      <c r="AI54">
        <f>(EX54)</f>
        <v>0</v>
      </c>
      <c r="AJ54">
        <f t="shared" si="34"/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111</v>
      </c>
      <c r="AU54">
        <v>64</v>
      </c>
      <c r="AV54">
        <v>1</v>
      </c>
      <c r="AW54">
        <v>1</v>
      </c>
      <c r="AZ54">
        <v>6.71</v>
      </c>
      <c r="BA54">
        <v>1</v>
      </c>
      <c r="BB54">
        <v>1</v>
      </c>
      <c r="BC54">
        <v>6.71</v>
      </c>
      <c r="BD54" t="s">
        <v>6</v>
      </c>
      <c r="BE54" t="s">
        <v>6</v>
      </c>
      <c r="BF54" t="s">
        <v>6</v>
      </c>
      <c r="BG54" t="s">
        <v>6</v>
      </c>
      <c r="BH54">
        <v>3</v>
      </c>
      <c r="BI54">
        <v>1</v>
      </c>
      <c r="BJ54" t="s">
        <v>6</v>
      </c>
      <c r="BM54">
        <v>11001</v>
      </c>
      <c r="BN54">
        <v>0</v>
      </c>
      <c r="BO54" t="s">
        <v>6</v>
      </c>
      <c r="BP54">
        <v>0</v>
      </c>
      <c r="BQ54">
        <v>2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6</v>
      </c>
      <c r="BZ54">
        <v>123</v>
      </c>
      <c r="CA54">
        <v>75</v>
      </c>
      <c r="CE54">
        <v>0</v>
      </c>
      <c r="CF54">
        <v>0</v>
      </c>
      <c r="CG54">
        <v>0</v>
      </c>
      <c r="CM54">
        <v>0</v>
      </c>
      <c r="CN54" t="s">
        <v>6</v>
      </c>
      <c r="CO54">
        <v>0</v>
      </c>
      <c r="CP54">
        <f t="shared" si="35"/>
        <v>0</v>
      </c>
      <c r="CQ54">
        <f t="shared" si="36"/>
        <v>0</v>
      </c>
      <c r="CR54">
        <f t="shared" si="37"/>
        <v>0</v>
      </c>
      <c r="CS54">
        <f t="shared" si="38"/>
        <v>0</v>
      </c>
      <c r="CT54">
        <f t="shared" si="39"/>
        <v>0</v>
      </c>
      <c r="CU54">
        <f t="shared" si="40"/>
        <v>0</v>
      </c>
      <c r="CV54">
        <f t="shared" si="41"/>
        <v>0</v>
      </c>
      <c r="CW54">
        <f t="shared" si="42"/>
        <v>0</v>
      </c>
      <c r="CX54">
        <f t="shared" si="43"/>
        <v>0</v>
      </c>
      <c r="CY54">
        <f t="shared" si="44"/>
        <v>0</v>
      </c>
      <c r="CZ54">
        <f t="shared" si="45"/>
        <v>0</v>
      </c>
      <c r="DC54" t="s">
        <v>6</v>
      </c>
      <c r="DD54" t="s">
        <v>6</v>
      </c>
      <c r="DE54" t="s">
        <v>6</v>
      </c>
      <c r="DF54" t="s">
        <v>6</v>
      </c>
      <c r="DG54" t="s">
        <v>6</v>
      </c>
      <c r="DH54" t="s">
        <v>6</v>
      </c>
      <c r="DI54" t="s">
        <v>6</v>
      </c>
      <c r="DJ54" t="s">
        <v>6</v>
      </c>
      <c r="DK54" t="s">
        <v>6</v>
      </c>
      <c r="DL54" t="s">
        <v>6</v>
      </c>
      <c r="DM54" t="s">
        <v>6</v>
      </c>
      <c r="DN54">
        <v>0</v>
      </c>
      <c r="DO54">
        <v>0</v>
      </c>
      <c r="DP54">
        <v>1</v>
      </c>
      <c r="DQ54">
        <v>1</v>
      </c>
      <c r="DU54">
        <v>1005</v>
      </c>
      <c r="DV54" t="s">
        <v>28</v>
      </c>
      <c r="DW54" t="s">
        <v>28</v>
      </c>
      <c r="DX54">
        <v>1</v>
      </c>
      <c r="EE54">
        <v>16510488</v>
      </c>
      <c r="EF54">
        <v>2</v>
      </c>
      <c r="EG54" t="s">
        <v>20</v>
      </c>
      <c r="EH54">
        <v>0</v>
      </c>
      <c r="EI54" t="s">
        <v>6</v>
      </c>
      <c r="EJ54">
        <v>1</v>
      </c>
      <c r="EK54">
        <v>11001</v>
      </c>
      <c r="EL54" t="s">
        <v>42</v>
      </c>
      <c r="EM54" t="s">
        <v>151</v>
      </c>
      <c r="EO54" t="s">
        <v>6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FQ54">
        <v>0</v>
      </c>
      <c r="FR54">
        <f t="shared" si="46"/>
        <v>0</v>
      </c>
      <c r="FS54">
        <v>0</v>
      </c>
      <c r="FT54" t="s">
        <v>23</v>
      </c>
      <c r="FU54" t="s">
        <v>24</v>
      </c>
      <c r="FX54">
        <v>110.7</v>
      </c>
      <c r="FY54">
        <v>63.75</v>
      </c>
      <c r="GA54" t="s">
        <v>6</v>
      </c>
      <c r="GD54">
        <v>0</v>
      </c>
      <c r="GF54">
        <v>-1235377378</v>
      </c>
      <c r="GG54">
        <v>1</v>
      </c>
      <c r="GH54">
        <v>1</v>
      </c>
      <c r="GI54">
        <v>4</v>
      </c>
      <c r="GJ54">
        <v>0</v>
      </c>
      <c r="GK54">
        <f>ROUND(R54*(R12)/100,2)</f>
        <v>0</v>
      </c>
      <c r="GL54">
        <f t="shared" si="47"/>
        <v>0</v>
      </c>
      <c r="GM54">
        <f t="shared" si="48"/>
        <v>0</v>
      </c>
      <c r="GN54">
        <f t="shared" si="49"/>
        <v>0</v>
      </c>
      <c r="GO54">
        <f t="shared" si="50"/>
        <v>0</v>
      </c>
      <c r="GP54">
        <f t="shared" si="51"/>
        <v>0</v>
      </c>
      <c r="GR54">
        <v>0</v>
      </c>
      <c r="GS54">
        <v>3</v>
      </c>
      <c r="GT54">
        <v>0</v>
      </c>
      <c r="GU54" t="s">
        <v>6</v>
      </c>
      <c r="GV54">
        <f t="shared" si="52"/>
        <v>0</v>
      </c>
      <c r="GW54">
        <v>1</v>
      </c>
      <c r="GX54">
        <f t="shared" si="53"/>
        <v>0</v>
      </c>
      <c r="HA54">
        <v>0</v>
      </c>
      <c r="HB54">
        <v>0</v>
      </c>
      <c r="HC54">
        <f t="shared" si="54"/>
        <v>0</v>
      </c>
      <c r="IK54">
        <v>0</v>
      </c>
    </row>
    <row r="55" spans="1:245" x14ac:dyDescent="0.2">
      <c r="A55">
        <v>18</v>
      </c>
      <c r="B55">
        <v>1</v>
      </c>
      <c r="C55">
        <v>88</v>
      </c>
      <c r="E55" t="s">
        <v>166</v>
      </c>
      <c r="F55" t="s">
        <v>167</v>
      </c>
      <c r="G55" t="s">
        <v>168</v>
      </c>
      <c r="H55" t="s">
        <v>28</v>
      </c>
      <c r="I55">
        <f>I53*J55</f>
        <v>137.78049999999999</v>
      </c>
      <c r="J55">
        <v>102.49999999999999</v>
      </c>
      <c r="O55">
        <f t="shared" si="21"/>
        <v>320600.59000000003</v>
      </c>
      <c r="P55">
        <f t="shared" si="22"/>
        <v>320600.59000000003</v>
      </c>
      <c r="Q55">
        <f t="shared" si="23"/>
        <v>0</v>
      </c>
      <c r="R55">
        <f t="shared" si="24"/>
        <v>0</v>
      </c>
      <c r="S55">
        <f t="shared" si="25"/>
        <v>0</v>
      </c>
      <c r="T55">
        <f t="shared" si="26"/>
        <v>0</v>
      </c>
      <c r="U55">
        <f t="shared" si="27"/>
        <v>0</v>
      </c>
      <c r="V55">
        <f t="shared" si="28"/>
        <v>0</v>
      </c>
      <c r="W55">
        <f t="shared" si="29"/>
        <v>0</v>
      </c>
      <c r="X55">
        <f t="shared" si="30"/>
        <v>0</v>
      </c>
      <c r="Y55">
        <f t="shared" si="31"/>
        <v>0</v>
      </c>
      <c r="AA55">
        <v>16812721</v>
      </c>
      <c r="AB55">
        <f t="shared" si="32"/>
        <v>346.78</v>
      </c>
      <c r="AC55">
        <f t="shared" si="65"/>
        <v>346.78</v>
      </c>
      <c r="AD55">
        <f>ROUND((((ET55)-(EU55))+AE55),2)</f>
        <v>0</v>
      </c>
      <c r="AE55">
        <f>ROUND((EU55),2)</f>
        <v>0</v>
      </c>
      <c r="AF55">
        <f>ROUND((EV55),2)</f>
        <v>0</v>
      </c>
      <c r="AG55">
        <f t="shared" si="33"/>
        <v>0</v>
      </c>
      <c r="AH55">
        <f>(EW55)</f>
        <v>0</v>
      </c>
      <c r="AI55">
        <f>(EX55)</f>
        <v>0</v>
      </c>
      <c r="AJ55">
        <f t="shared" si="34"/>
        <v>0</v>
      </c>
      <c r="AK55">
        <v>346.78</v>
      </c>
      <c r="AL55">
        <v>346.78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111</v>
      </c>
      <c r="AU55">
        <v>64</v>
      </c>
      <c r="AV55">
        <v>1</v>
      </c>
      <c r="AW55">
        <v>1</v>
      </c>
      <c r="AZ55">
        <v>6.71</v>
      </c>
      <c r="BA55">
        <v>1</v>
      </c>
      <c r="BB55">
        <v>1</v>
      </c>
      <c r="BC55">
        <v>6.71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169</v>
      </c>
      <c r="BM55">
        <v>11001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123</v>
      </c>
      <c r="CA55">
        <v>75</v>
      </c>
      <c r="CE55">
        <v>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35"/>
        <v>320600.59000000003</v>
      </c>
      <c r="CQ55">
        <f t="shared" si="36"/>
        <v>2326.8937999999998</v>
      </c>
      <c r="CR55">
        <f t="shared" si="37"/>
        <v>0</v>
      </c>
      <c r="CS55">
        <f t="shared" si="38"/>
        <v>0</v>
      </c>
      <c r="CT55">
        <f t="shared" si="39"/>
        <v>0</v>
      </c>
      <c r="CU55">
        <f t="shared" si="40"/>
        <v>0</v>
      </c>
      <c r="CV55">
        <f t="shared" si="41"/>
        <v>0</v>
      </c>
      <c r="CW55">
        <f t="shared" si="42"/>
        <v>0</v>
      </c>
      <c r="CX55">
        <f t="shared" si="43"/>
        <v>0</v>
      </c>
      <c r="CY55">
        <f t="shared" si="44"/>
        <v>0</v>
      </c>
      <c r="CZ55">
        <f t="shared" si="45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1005</v>
      </c>
      <c r="DV55" t="s">
        <v>28</v>
      </c>
      <c r="DW55" t="s">
        <v>28</v>
      </c>
      <c r="DX55">
        <v>1</v>
      </c>
      <c r="EE55">
        <v>16510488</v>
      </c>
      <c r="EF55">
        <v>2</v>
      </c>
      <c r="EG55" t="s">
        <v>20</v>
      </c>
      <c r="EH55">
        <v>0</v>
      </c>
      <c r="EI55" t="s">
        <v>6</v>
      </c>
      <c r="EJ55">
        <v>1</v>
      </c>
      <c r="EK55">
        <v>11001</v>
      </c>
      <c r="EL55" t="s">
        <v>42</v>
      </c>
      <c r="EM55" t="s">
        <v>151</v>
      </c>
      <c r="EO55" t="s">
        <v>6</v>
      </c>
      <c r="EQ55">
        <v>0</v>
      </c>
      <c r="ER55">
        <v>346.78</v>
      </c>
      <c r="ES55">
        <v>346.78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46"/>
        <v>0</v>
      </c>
      <c r="FS55">
        <v>0</v>
      </c>
      <c r="FT55" t="s">
        <v>23</v>
      </c>
      <c r="FU55" t="s">
        <v>24</v>
      </c>
      <c r="FX55">
        <v>110.7</v>
      </c>
      <c r="FY55">
        <v>63.75</v>
      </c>
      <c r="GA55" t="s">
        <v>6</v>
      </c>
      <c r="GD55">
        <v>0</v>
      </c>
      <c r="GF55">
        <v>-666091860</v>
      </c>
      <c r="GG55">
        <v>1</v>
      </c>
      <c r="GH55">
        <v>1</v>
      </c>
      <c r="GI55">
        <v>4</v>
      </c>
      <c r="GJ55">
        <v>0</v>
      </c>
      <c r="GK55">
        <f>ROUND(R55*(R12)/100,2)</f>
        <v>0</v>
      </c>
      <c r="GL55">
        <f t="shared" si="47"/>
        <v>0</v>
      </c>
      <c r="GM55">
        <f t="shared" si="48"/>
        <v>320600.59000000003</v>
      </c>
      <c r="GN55">
        <f t="shared" si="49"/>
        <v>320600.59000000003</v>
      </c>
      <c r="GO55">
        <f t="shared" si="50"/>
        <v>0</v>
      </c>
      <c r="GP55">
        <f t="shared" si="51"/>
        <v>0</v>
      </c>
      <c r="GR55">
        <v>0</v>
      </c>
      <c r="GS55">
        <v>3</v>
      </c>
      <c r="GT55">
        <v>0</v>
      </c>
      <c r="GU55" t="s">
        <v>6</v>
      </c>
      <c r="GV55">
        <f t="shared" si="52"/>
        <v>0</v>
      </c>
      <c r="GW55">
        <v>1</v>
      </c>
      <c r="GX55">
        <f t="shared" si="53"/>
        <v>0</v>
      </c>
      <c r="HA55">
        <v>0</v>
      </c>
      <c r="HB55">
        <v>0</v>
      </c>
      <c r="HC55">
        <f t="shared" si="54"/>
        <v>0</v>
      </c>
      <c r="IK55">
        <v>0</v>
      </c>
    </row>
    <row r="56" spans="1:245" x14ac:dyDescent="0.2">
      <c r="A56">
        <v>17</v>
      </c>
      <c r="B56">
        <v>1</v>
      </c>
      <c r="C56">
        <f>ROW(SmtRes!A107)</f>
        <v>107</v>
      </c>
      <c r="D56">
        <f>ROW(EtalonRes!A112)</f>
        <v>112</v>
      </c>
      <c r="E56" t="s">
        <v>170</v>
      </c>
      <c r="F56" t="s">
        <v>171</v>
      </c>
      <c r="G56" t="s">
        <v>172</v>
      </c>
      <c r="H56" t="s">
        <v>39</v>
      </c>
      <c r="I56">
        <f>ROUND(95.6/100,9)</f>
        <v>0.95599999999999996</v>
      </c>
      <c r="J56">
        <v>0</v>
      </c>
      <c r="O56">
        <f t="shared" si="21"/>
        <v>941.88</v>
      </c>
      <c r="P56">
        <f t="shared" si="22"/>
        <v>472.38</v>
      </c>
      <c r="Q56">
        <f t="shared" si="23"/>
        <v>17.13</v>
      </c>
      <c r="R56">
        <f t="shared" si="24"/>
        <v>3.4</v>
      </c>
      <c r="S56">
        <f t="shared" si="25"/>
        <v>452.37</v>
      </c>
      <c r="T56">
        <f t="shared" si="26"/>
        <v>0</v>
      </c>
      <c r="U56">
        <f t="shared" si="27"/>
        <v>7.3439919999999992</v>
      </c>
      <c r="V56">
        <f t="shared" si="28"/>
        <v>4.7800000000000002E-2</v>
      </c>
      <c r="W56">
        <f t="shared" si="29"/>
        <v>0</v>
      </c>
      <c r="X56">
        <f t="shared" si="30"/>
        <v>505.9</v>
      </c>
      <c r="Y56">
        <f t="shared" si="31"/>
        <v>291.69</v>
      </c>
      <c r="AA56">
        <v>16812721</v>
      </c>
      <c r="AB56">
        <f t="shared" si="32"/>
        <v>146.83000000000001</v>
      </c>
      <c r="AC56">
        <f t="shared" si="65"/>
        <v>73.64</v>
      </c>
      <c r="AD56">
        <f>ROUND(((((ET56*1.25))-((EU56*1.25)))+AE56),2)</f>
        <v>2.67</v>
      </c>
      <c r="AE56">
        <f>ROUND(((EU56*1.25)),2)</f>
        <v>0.53</v>
      </c>
      <c r="AF56">
        <f>ROUND(((EV56*1.15)),2)</f>
        <v>70.52</v>
      </c>
      <c r="AG56">
        <f t="shared" si="33"/>
        <v>0</v>
      </c>
      <c r="AH56">
        <f>((EW56*1.15))</f>
        <v>7.6819999999999995</v>
      </c>
      <c r="AI56">
        <f>((EX56*1.25))</f>
        <v>0.05</v>
      </c>
      <c r="AJ56">
        <f t="shared" si="34"/>
        <v>0</v>
      </c>
      <c r="AK56">
        <v>137.09</v>
      </c>
      <c r="AL56">
        <v>73.64</v>
      </c>
      <c r="AM56">
        <v>2.13</v>
      </c>
      <c r="AN56">
        <v>0.42</v>
      </c>
      <c r="AO56">
        <v>61.32</v>
      </c>
      <c r="AP56">
        <v>0</v>
      </c>
      <c r="AQ56">
        <v>6.68</v>
      </c>
      <c r="AR56">
        <v>0.04</v>
      </c>
      <c r="AS56">
        <v>0</v>
      </c>
      <c r="AT56">
        <v>111</v>
      </c>
      <c r="AU56">
        <v>64</v>
      </c>
      <c r="AV56">
        <v>1</v>
      </c>
      <c r="AW56">
        <v>1</v>
      </c>
      <c r="AZ56">
        <v>6.71</v>
      </c>
      <c r="BA56">
        <v>6.71</v>
      </c>
      <c r="BB56">
        <v>6.71</v>
      </c>
      <c r="BC56">
        <v>6.71</v>
      </c>
      <c r="BD56" t="s">
        <v>6</v>
      </c>
      <c r="BE56" t="s">
        <v>6</v>
      </c>
      <c r="BF56" t="s">
        <v>6</v>
      </c>
      <c r="BG56" t="s">
        <v>6</v>
      </c>
      <c r="BH56">
        <v>0</v>
      </c>
      <c r="BI56">
        <v>1</v>
      </c>
      <c r="BJ56" t="s">
        <v>173</v>
      </c>
      <c r="BM56">
        <v>11001</v>
      </c>
      <c r="BN56">
        <v>0</v>
      </c>
      <c r="BO56" t="s">
        <v>6</v>
      </c>
      <c r="BP56">
        <v>0</v>
      </c>
      <c r="BQ56">
        <v>2</v>
      </c>
      <c r="BR56">
        <v>0</v>
      </c>
      <c r="BS56">
        <v>6.71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6</v>
      </c>
      <c r="BZ56">
        <v>123</v>
      </c>
      <c r="CA56">
        <v>75</v>
      </c>
      <c r="CE56">
        <v>0</v>
      </c>
      <c r="CF56">
        <v>0</v>
      </c>
      <c r="CG56">
        <v>0</v>
      </c>
      <c r="CM56">
        <v>0</v>
      </c>
      <c r="CN56" t="s">
        <v>1138</v>
      </c>
      <c r="CO56">
        <v>0</v>
      </c>
      <c r="CP56">
        <f t="shared" si="35"/>
        <v>941.88</v>
      </c>
      <c r="CQ56">
        <f t="shared" si="36"/>
        <v>494.12439999999998</v>
      </c>
      <c r="CR56">
        <f t="shared" si="37"/>
        <v>17.915700000000001</v>
      </c>
      <c r="CS56">
        <f t="shared" si="38"/>
        <v>3.5563000000000002</v>
      </c>
      <c r="CT56">
        <f t="shared" si="39"/>
        <v>473.18919999999997</v>
      </c>
      <c r="CU56">
        <f t="shared" si="40"/>
        <v>0</v>
      </c>
      <c r="CV56">
        <f t="shared" si="41"/>
        <v>7.6819999999999995</v>
      </c>
      <c r="CW56">
        <f t="shared" si="42"/>
        <v>0.05</v>
      </c>
      <c r="CX56">
        <f t="shared" si="43"/>
        <v>0</v>
      </c>
      <c r="CY56">
        <f t="shared" si="44"/>
        <v>505.90469999999999</v>
      </c>
      <c r="CZ56">
        <f t="shared" si="45"/>
        <v>291.69279999999998</v>
      </c>
      <c r="DC56" t="s">
        <v>6</v>
      </c>
      <c r="DD56" t="s">
        <v>6</v>
      </c>
      <c r="DE56" t="s">
        <v>103</v>
      </c>
      <c r="DF56" t="s">
        <v>103</v>
      </c>
      <c r="DG56" t="s">
        <v>104</v>
      </c>
      <c r="DH56" t="s">
        <v>6</v>
      </c>
      <c r="DI56" t="s">
        <v>104</v>
      </c>
      <c r="DJ56" t="s">
        <v>103</v>
      </c>
      <c r="DK56" t="s">
        <v>6</v>
      </c>
      <c r="DL56" t="s">
        <v>6</v>
      </c>
      <c r="DM56" t="s">
        <v>6</v>
      </c>
      <c r="DN56">
        <v>0</v>
      </c>
      <c r="DO56">
        <v>0</v>
      </c>
      <c r="DP56">
        <v>1</v>
      </c>
      <c r="DQ56">
        <v>1</v>
      </c>
      <c r="DU56">
        <v>1003</v>
      </c>
      <c r="DV56" t="s">
        <v>39</v>
      </c>
      <c r="DW56" t="s">
        <v>39</v>
      </c>
      <c r="DX56">
        <v>100</v>
      </c>
      <c r="EE56">
        <v>16510488</v>
      </c>
      <c r="EF56">
        <v>2</v>
      </c>
      <c r="EG56" t="s">
        <v>20</v>
      </c>
      <c r="EH56">
        <v>0</v>
      </c>
      <c r="EI56" t="s">
        <v>6</v>
      </c>
      <c r="EJ56">
        <v>1</v>
      </c>
      <c r="EK56">
        <v>11001</v>
      </c>
      <c r="EL56" t="s">
        <v>42</v>
      </c>
      <c r="EM56" t="s">
        <v>151</v>
      </c>
      <c r="EO56" t="s">
        <v>105</v>
      </c>
      <c r="EQ56">
        <v>131072</v>
      </c>
      <c r="ER56">
        <v>137.09</v>
      </c>
      <c r="ES56">
        <v>73.64</v>
      </c>
      <c r="ET56">
        <v>2.13</v>
      </c>
      <c r="EU56">
        <v>0.42</v>
      </c>
      <c r="EV56">
        <v>61.32</v>
      </c>
      <c r="EW56">
        <v>6.68</v>
      </c>
      <c r="EX56">
        <v>0.04</v>
      </c>
      <c r="EY56">
        <v>0</v>
      </c>
      <c r="FQ56">
        <v>0</v>
      </c>
      <c r="FR56">
        <f t="shared" si="46"/>
        <v>0</v>
      </c>
      <c r="FS56">
        <v>0</v>
      </c>
      <c r="FT56" t="s">
        <v>23</v>
      </c>
      <c r="FU56" t="s">
        <v>24</v>
      </c>
      <c r="FX56">
        <v>110.7</v>
      </c>
      <c r="FY56">
        <v>63.75</v>
      </c>
      <c r="GA56" t="s">
        <v>6</v>
      </c>
      <c r="GD56">
        <v>0</v>
      </c>
      <c r="GF56">
        <v>-1404287246</v>
      </c>
      <c r="GG56">
        <v>1</v>
      </c>
      <c r="GH56">
        <v>1</v>
      </c>
      <c r="GI56">
        <v>4</v>
      </c>
      <c r="GJ56">
        <v>0</v>
      </c>
      <c r="GK56">
        <f>ROUND(R56*(R12)/100,2)</f>
        <v>0</v>
      </c>
      <c r="GL56">
        <f t="shared" si="47"/>
        <v>0</v>
      </c>
      <c r="GM56">
        <f t="shared" si="48"/>
        <v>1739.47</v>
      </c>
      <c r="GN56">
        <f t="shared" si="49"/>
        <v>1739.47</v>
      </c>
      <c r="GO56">
        <f t="shared" si="50"/>
        <v>0</v>
      </c>
      <c r="GP56">
        <f t="shared" si="51"/>
        <v>0</v>
      </c>
      <c r="GR56">
        <v>0</v>
      </c>
      <c r="GS56">
        <v>0</v>
      </c>
      <c r="GT56">
        <v>0</v>
      </c>
      <c r="GU56" t="s">
        <v>6</v>
      </c>
      <c r="GV56">
        <f t="shared" si="52"/>
        <v>0</v>
      </c>
      <c r="GW56">
        <v>1</v>
      </c>
      <c r="GX56">
        <f t="shared" si="53"/>
        <v>0</v>
      </c>
      <c r="HA56">
        <v>0</v>
      </c>
      <c r="HB56">
        <v>0</v>
      </c>
      <c r="HC56">
        <f t="shared" si="54"/>
        <v>0</v>
      </c>
      <c r="IK56">
        <v>0</v>
      </c>
    </row>
    <row r="57" spans="1:245" x14ac:dyDescent="0.2">
      <c r="A57">
        <v>18</v>
      </c>
      <c r="B57">
        <v>1</v>
      </c>
      <c r="C57">
        <v>96</v>
      </c>
      <c r="E57" t="s">
        <v>174</v>
      </c>
      <c r="F57" t="s">
        <v>175</v>
      </c>
      <c r="G57" t="s">
        <v>176</v>
      </c>
      <c r="H57" t="s">
        <v>177</v>
      </c>
      <c r="I57">
        <f>I56*J57</f>
        <v>96.555999999999997</v>
      </c>
      <c r="J57">
        <v>101</v>
      </c>
      <c r="O57">
        <f t="shared" si="21"/>
        <v>0</v>
      </c>
      <c r="P57">
        <f t="shared" si="22"/>
        <v>0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16812721</v>
      </c>
      <c r="AB57">
        <f t="shared" si="32"/>
        <v>0</v>
      </c>
      <c r="AC57">
        <f t="shared" si="65"/>
        <v>0</v>
      </c>
      <c r="AD57">
        <f t="shared" ref="AD57:AD68" si="66">ROUND((((ET57)-(EU57))+AE57),2)</f>
        <v>0</v>
      </c>
      <c r="AE57">
        <f t="shared" ref="AE57:AE68" si="67">ROUND((EU57),2)</f>
        <v>0</v>
      </c>
      <c r="AF57">
        <f t="shared" ref="AF57:AF68" si="68">ROUND((EV57),2)</f>
        <v>0</v>
      </c>
      <c r="AG57">
        <f t="shared" si="33"/>
        <v>0</v>
      </c>
      <c r="AH57">
        <f t="shared" ref="AH57:AH68" si="69">(EW57)</f>
        <v>0</v>
      </c>
      <c r="AI57">
        <f t="shared" ref="AI57:AI68" si="70">(EX57)</f>
        <v>0</v>
      </c>
      <c r="AJ57">
        <f t="shared" si="34"/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111</v>
      </c>
      <c r="AU57">
        <v>64</v>
      </c>
      <c r="AV57">
        <v>1</v>
      </c>
      <c r="AW57">
        <v>1</v>
      </c>
      <c r="AZ57">
        <v>6.71</v>
      </c>
      <c r="BA57">
        <v>1</v>
      </c>
      <c r="BB57">
        <v>1</v>
      </c>
      <c r="BC57">
        <v>6.71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6</v>
      </c>
      <c r="BM57">
        <v>11001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123</v>
      </c>
      <c r="CA57">
        <v>75</v>
      </c>
      <c r="CE57">
        <v>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35"/>
        <v>0</v>
      </c>
      <c r="CQ57">
        <f t="shared" si="36"/>
        <v>0</v>
      </c>
      <c r="CR57">
        <f t="shared" si="37"/>
        <v>0</v>
      </c>
      <c r="CS57">
        <f t="shared" si="38"/>
        <v>0</v>
      </c>
      <c r="CT57">
        <f t="shared" si="39"/>
        <v>0</v>
      </c>
      <c r="CU57">
        <f t="shared" si="40"/>
        <v>0</v>
      </c>
      <c r="CV57">
        <f t="shared" si="41"/>
        <v>0</v>
      </c>
      <c r="CW57">
        <f t="shared" si="42"/>
        <v>0</v>
      </c>
      <c r="CX57">
        <f t="shared" si="43"/>
        <v>0</v>
      </c>
      <c r="CY57">
        <f t="shared" si="44"/>
        <v>0</v>
      </c>
      <c r="CZ57">
        <f t="shared" si="45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1003</v>
      </c>
      <c r="DV57" t="s">
        <v>177</v>
      </c>
      <c r="DW57" t="s">
        <v>177</v>
      </c>
      <c r="DX57">
        <v>1</v>
      </c>
      <c r="EE57">
        <v>16510488</v>
      </c>
      <c r="EF57">
        <v>2</v>
      </c>
      <c r="EG57" t="s">
        <v>20</v>
      </c>
      <c r="EH57">
        <v>0</v>
      </c>
      <c r="EI57" t="s">
        <v>6</v>
      </c>
      <c r="EJ57">
        <v>1</v>
      </c>
      <c r="EK57">
        <v>11001</v>
      </c>
      <c r="EL57" t="s">
        <v>42</v>
      </c>
      <c r="EM57" t="s">
        <v>151</v>
      </c>
      <c r="EO57" t="s">
        <v>6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6"/>
        <v>0</v>
      </c>
      <c r="FS57">
        <v>0</v>
      </c>
      <c r="FT57" t="s">
        <v>23</v>
      </c>
      <c r="FU57" t="s">
        <v>24</v>
      </c>
      <c r="FX57">
        <v>110.7</v>
      </c>
      <c r="FY57">
        <v>63.75</v>
      </c>
      <c r="GA57" t="s">
        <v>6</v>
      </c>
      <c r="GD57">
        <v>0</v>
      </c>
      <c r="GF57">
        <v>-2049262376</v>
      </c>
      <c r="GG57">
        <v>1</v>
      </c>
      <c r="GH57">
        <v>1</v>
      </c>
      <c r="GI57">
        <v>4</v>
      </c>
      <c r="GJ57">
        <v>0</v>
      </c>
      <c r="GK57">
        <f>ROUND(R57*(R12)/100,2)</f>
        <v>0</v>
      </c>
      <c r="GL57">
        <f t="shared" si="47"/>
        <v>0</v>
      </c>
      <c r="GM57">
        <f t="shared" si="48"/>
        <v>0</v>
      </c>
      <c r="GN57">
        <f t="shared" si="49"/>
        <v>0</v>
      </c>
      <c r="GO57">
        <f t="shared" si="50"/>
        <v>0</v>
      </c>
      <c r="GP57">
        <f t="shared" si="51"/>
        <v>0</v>
      </c>
      <c r="GR57">
        <v>0</v>
      </c>
      <c r="GS57">
        <v>3</v>
      </c>
      <c r="GT57">
        <v>0</v>
      </c>
      <c r="GU57" t="s">
        <v>6</v>
      </c>
      <c r="GV57">
        <f t="shared" si="52"/>
        <v>0</v>
      </c>
      <c r="GW57">
        <v>1</v>
      </c>
      <c r="GX57">
        <f t="shared" si="53"/>
        <v>0</v>
      </c>
      <c r="HA57">
        <v>0</v>
      </c>
      <c r="HB57">
        <v>0</v>
      </c>
      <c r="HC57">
        <f t="shared" si="54"/>
        <v>0</v>
      </c>
      <c r="IK57">
        <v>0</v>
      </c>
    </row>
    <row r="58" spans="1:245" x14ac:dyDescent="0.2">
      <c r="A58">
        <v>18</v>
      </c>
      <c r="B58">
        <v>1</v>
      </c>
      <c r="C58">
        <v>97</v>
      </c>
      <c r="E58" t="s">
        <v>178</v>
      </c>
      <c r="F58" t="s">
        <v>179</v>
      </c>
      <c r="G58" t="s">
        <v>180</v>
      </c>
      <c r="H58" t="s">
        <v>177</v>
      </c>
      <c r="I58">
        <f>I56*J58</f>
        <v>96.555999999999997</v>
      </c>
      <c r="J58">
        <v>101</v>
      </c>
      <c r="O58">
        <f t="shared" si="21"/>
        <v>7969.06</v>
      </c>
      <c r="P58">
        <f t="shared" si="22"/>
        <v>7969.06</v>
      </c>
      <c r="Q58">
        <f t="shared" si="23"/>
        <v>0</v>
      </c>
      <c r="R58">
        <f t="shared" si="24"/>
        <v>0</v>
      </c>
      <c r="S58">
        <f t="shared" si="25"/>
        <v>0</v>
      </c>
      <c r="T58">
        <f t="shared" si="26"/>
        <v>0</v>
      </c>
      <c r="U58">
        <f t="shared" si="27"/>
        <v>0</v>
      </c>
      <c r="V58">
        <f t="shared" si="28"/>
        <v>0</v>
      </c>
      <c r="W58">
        <f t="shared" si="29"/>
        <v>0</v>
      </c>
      <c r="X58">
        <f t="shared" si="30"/>
        <v>0</v>
      </c>
      <c r="Y58">
        <f t="shared" si="31"/>
        <v>0</v>
      </c>
      <c r="AA58">
        <v>16812721</v>
      </c>
      <c r="AB58">
        <f t="shared" si="32"/>
        <v>12.3</v>
      </c>
      <c r="AC58">
        <f t="shared" si="65"/>
        <v>12.3</v>
      </c>
      <c r="AD58">
        <f t="shared" si="66"/>
        <v>0</v>
      </c>
      <c r="AE58">
        <f t="shared" si="67"/>
        <v>0</v>
      </c>
      <c r="AF58">
        <f t="shared" si="68"/>
        <v>0</v>
      </c>
      <c r="AG58">
        <f t="shared" si="33"/>
        <v>0</v>
      </c>
      <c r="AH58">
        <f t="shared" si="69"/>
        <v>0</v>
      </c>
      <c r="AI58">
        <f t="shared" si="70"/>
        <v>0</v>
      </c>
      <c r="AJ58">
        <f t="shared" si="34"/>
        <v>0</v>
      </c>
      <c r="AK58">
        <v>12.3</v>
      </c>
      <c r="AL58">
        <v>12.3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111</v>
      </c>
      <c r="AU58">
        <v>64</v>
      </c>
      <c r="AV58">
        <v>1</v>
      </c>
      <c r="AW58">
        <v>1</v>
      </c>
      <c r="AZ58">
        <v>6.71</v>
      </c>
      <c r="BA58">
        <v>1</v>
      </c>
      <c r="BB58">
        <v>1</v>
      </c>
      <c r="BC58">
        <v>6.71</v>
      </c>
      <c r="BD58" t="s">
        <v>6</v>
      </c>
      <c r="BE58" t="s">
        <v>6</v>
      </c>
      <c r="BF58" t="s">
        <v>6</v>
      </c>
      <c r="BG58" t="s">
        <v>6</v>
      </c>
      <c r="BH58">
        <v>3</v>
      </c>
      <c r="BI58">
        <v>1</v>
      </c>
      <c r="BJ58" t="s">
        <v>181</v>
      </c>
      <c r="BM58">
        <v>11001</v>
      </c>
      <c r="BN58">
        <v>0</v>
      </c>
      <c r="BO58" t="s">
        <v>6</v>
      </c>
      <c r="BP58">
        <v>0</v>
      </c>
      <c r="BQ58">
        <v>2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6</v>
      </c>
      <c r="BZ58">
        <v>123</v>
      </c>
      <c r="CA58">
        <v>75</v>
      </c>
      <c r="CE58">
        <v>0</v>
      </c>
      <c r="CF58">
        <v>0</v>
      </c>
      <c r="CG58">
        <v>0</v>
      </c>
      <c r="CM58">
        <v>0</v>
      </c>
      <c r="CN58" t="s">
        <v>6</v>
      </c>
      <c r="CO58">
        <v>0</v>
      </c>
      <c r="CP58">
        <f t="shared" si="35"/>
        <v>7969.06</v>
      </c>
      <c r="CQ58">
        <f t="shared" si="36"/>
        <v>82.533000000000001</v>
      </c>
      <c r="CR58">
        <f t="shared" si="37"/>
        <v>0</v>
      </c>
      <c r="CS58">
        <f t="shared" si="38"/>
        <v>0</v>
      </c>
      <c r="CT58">
        <f t="shared" si="39"/>
        <v>0</v>
      </c>
      <c r="CU58">
        <f t="shared" si="40"/>
        <v>0</v>
      </c>
      <c r="CV58">
        <f t="shared" si="41"/>
        <v>0</v>
      </c>
      <c r="CW58">
        <f t="shared" si="42"/>
        <v>0</v>
      </c>
      <c r="CX58">
        <f t="shared" si="43"/>
        <v>0</v>
      </c>
      <c r="CY58">
        <f t="shared" si="44"/>
        <v>0</v>
      </c>
      <c r="CZ58">
        <f t="shared" si="45"/>
        <v>0</v>
      </c>
      <c r="DC58" t="s">
        <v>6</v>
      </c>
      <c r="DD58" t="s">
        <v>6</v>
      </c>
      <c r="DE58" t="s">
        <v>6</v>
      </c>
      <c r="DF58" t="s">
        <v>6</v>
      </c>
      <c r="DG58" t="s">
        <v>6</v>
      </c>
      <c r="DH58" t="s">
        <v>6</v>
      </c>
      <c r="DI58" t="s">
        <v>6</v>
      </c>
      <c r="DJ58" t="s">
        <v>6</v>
      </c>
      <c r="DK58" t="s">
        <v>6</v>
      </c>
      <c r="DL58" t="s">
        <v>6</v>
      </c>
      <c r="DM58" t="s">
        <v>6</v>
      </c>
      <c r="DN58">
        <v>0</v>
      </c>
      <c r="DO58">
        <v>0</v>
      </c>
      <c r="DP58">
        <v>1</v>
      </c>
      <c r="DQ58">
        <v>1</v>
      </c>
      <c r="DU58">
        <v>1003</v>
      </c>
      <c r="DV58" t="s">
        <v>177</v>
      </c>
      <c r="DW58" t="s">
        <v>177</v>
      </c>
      <c r="DX58">
        <v>1</v>
      </c>
      <c r="EE58">
        <v>16510488</v>
      </c>
      <c r="EF58">
        <v>2</v>
      </c>
      <c r="EG58" t="s">
        <v>20</v>
      </c>
      <c r="EH58">
        <v>0</v>
      </c>
      <c r="EI58" t="s">
        <v>6</v>
      </c>
      <c r="EJ58">
        <v>1</v>
      </c>
      <c r="EK58">
        <v>11001</v>
      </c>
      <c r="EL58" t="s">
        <v>42</v>
      </c>
      <c r="EM58" t="s">
        <v>151</v>
      </c>
      <c r="EO58" t="s">
        <v>6</v>
      </c>
      <c r="EQ58">
        <v>0</v>
      </c>
      <c r="ER58">
        <v>12.3</v>
      </c>
      <c r="ES58">
        <v>12.3</v>
      </c>
      <c r="ET58">
        <v>0</v>
      </c>
      <c r="EU58">
        <v>0</v>
      </c>
      <c r="EV58">
        <v>0</v>
      </c>
      <c r="EW58">
        <v>0</v>
      </c>
      <c r="EX58">
        <v>0</v>
      </c>
      <c r="FQ58">
        <v>0</v>
      </c>
      <c r="FR58">
        <f t="shared" si="46"/>
        <v>0</v>
      </c>
      <c r="FS58">
        <v>0</v>
      </c>
      <c r="FT58" t="s">
        <v>23</v>
      </c>
      <c r="FU58" t="s">
        <v>24</v>
      </c>
      <c r="FX58">
        <v>110.7</v>
      </c>
      <c r="FY58">
        <v>63.75</v>
      </c>
      <c r="GA58" t="s">
        <v>6</v>
      </c>
      <c r="GD58">
        <v>0</v>
      </c>
      <c r="GF58">
        <v>1744309368</v>
      </c>
      <c r="GG58">
        <v>1</v>
      </c>
      <c r="GH58">
        <v>1</v>
      </c>
      <c r="GI58">
        <v>4</v>
      </c>
      <c r="GJ58">
        <v>0</v>
      </c>
      <c r="GK58">
        <f>ROUND(R58*(R12)/100,2)</f>
        <v>0</v>
      </c>
      <c r="GL58">
        <f t="shared" si="47"/>
        <v>0</v>
      </c>
      <c r="GM58">
        <f t="shared" si="48"/>
        <v>7969.06</v>
      </c>
      <c r="GN58">
        <f t="shared" si="49"/>
        <v>7969.06</v>
      </c>
      <c r="GO58">
        <f t="shared" si="50"/>
        <v>0</v>
      </c>
      <c r="GP58">
        <f t="shared" si="51"/>
        <v>0</v>
      </c>
      <c r="GR58">
        <v>0</v>
      </c>
      <c r="GS58">
        <v>0</v>
      </c>
      <c r="GT58">
        <v>0</v>
      </c>
      <c r="GU58" t="s">
        <v>6</v>
      </c>
      <c r="GV58">
        <f t="shared" si="52"/>
        <v>0</v>
      </c>
      <c r="GW58">
        <v>1</v>
      </c>
      <c r="GX58">
        <f t="shared" si="53"/>
        <v>0</v>
      </c>
      <c r="HA58">
        <v>0</v>
      </c>
      <c r="HB58">
        <v>0</v>
      </c>
      <c r="HC58">
        <f t="shared" si="54"/>
        <v>0</v>
      </c>
      <c r="IK58">
        <v>0</v>
      </c>
    </row>
    <row r="59" spans="1:245" x14ac:dyDescent="0.2">
      <c r="A59">
        <v>18</v>
      </c>
      <c r="B59">
        <v>1</v>
      </c>
      <c r="C59">
        <v>98</v>
      </c>
      <c r="E59" t="s">
        <v>182</v>
      </c>
      <c r="F59" t="s">
        <v>183</v>
      </c>
      <c r="G59" t="s">
        <v>184</v>
      </c>
      <c r="H59" t="s">
        <v>62</v>
      </c>
      <c r="I59">
        <f>I56*J59</f>
        <v>6.6920000000000002</v>
      </c>
      <c r="J59">
        <v>7.0000000000000009</v>
      </c>
      <c r="O59">
        <f t="shared" si="21"/>
        <v>0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0</v>
      </c>
      <c r="T59">
        <f t="shared" si="26"/>
        <v>0</v>
      </c>
      <c r="U59">
        <f t="shared" si="27"/>
        <v>0</v>
      </c>
      <c r="V59">
        <f t="shared" si="28"/>
        <v>0</v>
      </c>
      <c r="W59">
        <f t="shared" si="29"/>
        <v>0</v>
      </c>
      <c r="X59">
        <f t="shared" si="30"/>
        <v>0</v>
      </c>
      <c r="Y59">
        <f t="shared" si="31"/>
        <v>0</v>
      </c>
      <c r="AA59">
        <v>16812721</v>
      </c>
      <c r="AB59">
        <f t="shared" si="32"/>
        <v>0</v>
      </c>
      <c r="AC59">
        <f t="shared" si="65"/>
        <v>0</v>
      </c>
      <c r="AD59">
        <f t="shared" si="66"/>
        <v>0</v>
      </c>
      <c r="AE59">
        <f t="shared" si="67"/>
        <v>0</v>
      </c>
      <c r="AF59">
        <f t="shared" si="68"/>
        <v>0</v>
      </c>
      <c r="AG59">
        <f t="shared" si="33"/>
        <v>0</v>
      </c>
      <c r="AH59">
        <f t="shared" si="69"/>
        <v>0</v>
      </c>
      <c r="AI59">
        <f t="shared" si="70"/>
        <v>0</v>
      </c>
      <c r="AJ59">
        <f t="shared" si="34"/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111</v>
      </c>
      <c r="AU59">
        <v>64</v>
      </c>
      <c r="AV59">
        <v>1</v>
      </c>
      <c r="AW59">
        <v>1</v>
      </c>
      <c r="AZ59">
        <v>6.71</v>
      </c>
      <c r="BA59">
        <v>1</v>
      </c>
      <c r="BB59">
        <v>1</v>
      </c>
      <c r="BC59">
        <v>6.71</v>
      </c>
      <c r="BD59" t="s">
        <v>6</v>
      </c>
      <c r="BE59" t="s">
        <v>6</v>
      </c>
      <c r="BF59" t="s">
        <v>6</v>
      </c>
      <c r="BG59" t="s">
        <v>6</v>
      </c>
      <c r="BH59">
        <v>3</v>
      </c>
      <c r="BI59">
        <v>1</v>
      </c>
      <c r="BJ59" t="s">
        <v>6</v>
      </c>
      <c r="BM59">
        <v>11001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123</v>
      </c>
      <c r="CA59">
        <v>75</v>
      </c>
      <c r="CE59">
        <v>0</v>
      </c>
      <c r="CF59">
        <v>0</v>
      </c>
      <c r="CG59">
        <v>0</v>
      </c>
      <c r="CM59">
        <v>0</v>
      </c>
      <c r="CN59" t="s">
        <v>6</v>
      </c>
      <c r="CO59">
        <v>0</v>
      </c>
      <c r="CP59">
        <f t="shared" si="35"/>
        <v>0</v>
      </c>
      <c r="CQ59">
        <f t="shared" si="36"/>
        <v>0</v>
      </c>
      <c r="CR59">
        <f t="shared" si="37"/>
        <v>0</v>
      </c>
      <c r="CS59">
        <f t="shared" si="38"/>
        <v>0</v>
      </c>
      <c r="CT59">
        <f t="shared" si="39"/>
        <v>0</v>
      </c>
      <c r="CU59">
        <f t="shared" si="40"/>
        <v>0</v>
      </c>
      <c r="CV59">
        <f t="shared" si="41"/>
        <v>0</v>
      </c>
      <c r="CW59">
        <f t="shared" si="42"/>
        <v>0</v>
      </c>
      <c r="CX59">
        <f t="shared" si="43"/>
        <v>0</v>
      </c>
      <c r="CY59">
        <f t="shared" si="44"/>
        <v>0</v>
      </c>
      <c r="CZ59">
        <f t="shared" si="45"/>
        <v>0</v>
      </c>
      <c r="DC59" t="s">
        <v>6</v>
      </c>
      <c r="DD59" t="s">
        <v>6</v>
      </c>
      <c r="DE59" t="s">
        <v>6</v>
      </c>
      <c r="DF59" t="s">
        <v>6</v>
      </c>
      <c r="DG59" t="s">
        <v>6</v>
      </c>
      <c r="DH59" t="s">
        <v>6</v>
      </c>
      <c r="DI59" t="s">
        <v>6</v>
      </c>
      <c r="DJ59" t="s">
        <v>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1010</v>
      </c>
      <c r="DV59" t="s">
        <v>62</v>
      </c>
      <c r="DW59" t="s">
        <v>62</v>
      </c>
      <c r="DX59">
        <v>1</v>
      </c>
      <c r="EE59">
        <v>16510488</v>
      </c>
      <c r="EF59">
        <v>2</v>
      </c>
      <c r="EG59" t="s">
        <v>20</v>
      </c>
      <c r="EH59">
        <v>0</v>
      </c>
      <c r="EI59" t="s">
        <v>6</v>
      </c>
      <c r="EJ59">
        <v>1</v>
      </c>
      <c r="EK59">
        <v>11001</v>
      </c>
      <c r="EL59" t="s">
        <v>42</v>
      </c>
      <c r="EM59" t="s">
        <v>151</v>
      </c>
      <c r="EO59" t="s">
        <v>6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FQ59">
        <v>0</v>
      </c>
      <c r="FR59">
        <f t="shared" si="46"/>
        <v>0</v>
      </c>
      <c r="FS59">
        <v>0</v>
      </c>
      <c r="FT59" t="s">
        <v>23</v>
      </c>
      <c r="FU59" t="s">
        <v>24</v>
      </c>
      <c r="FX59">
        <v>110.7</v>
      </c>
      <c r="FY59">
        <v>63.75</v>
      </c>
      <c r="GA59" t="s">
        <v>6</v>
      </c>
      <c r="GD59">
        <v>0</v>
      </c>
      <c r="GF59">
        <v>457303772</v>
      </c>
      <c r="GG59">
        <v>1</v>
      </c>
      <c r="GH59">
        <v>1</v>
      </c>
      <c r="GI59">
        <v>4</v>
      </c>
      <c r="GJ59">
        <v>0</v>
      </c>
      <c r="GK59">
        <f>ROUND(R59*(R12)/100,2)</f>
        <v>0</v>
      </c>
      <c r="GL59">
        <f t="shared" si="47"/>
        <v>0</v>
      </c>
      <c r="GM59">
        <f t="shared" si="48"/>
        <v>0</v>
      </c>
      <c r="GN59">
        <f t="shared" si="49"/>
        <v>0</v>
      </c>
      <c r="GO59">
        <f t="shared" si="50"/>
        <v>0</v>
      </c>
      <c r="GP59">
        <f t="shared" si="51"/>
        <v>0</v>
      </c>
      <c r="GR59">
        <v>0</v>
      </c>
      <c r="GS59">
        <v>3</v>
      </c>
      <c r="GT59">
        <v>0</v>
      </c>
      <c r="GU59" t="s">
        <v>6</v>
      </c>
      <c r="GV59">
        <f t="shared" si="52"/>
        <v>0</v>
      </c>
      <c r="GW59">
        <v>1</v>
      </c>
      <c r="GX59">
        <f t="shared" si="53"/>
        <v>0</v>
      </c>
      <c r="HA59">
        <v>0</v>
      </c>
      <c r="HB59">
        <v>0</v>
      </c>
      <c r="HC59">
        <f t="shared" si="54"/>
        <v>0</v>
      </c>
      <c r="IK59">
        <v>0</v>
      </c>
    </row>
    <row r="60" spans="1:245" x14ac:dyDescent="0.2">
      <c r="A60">
        <v>18</v>
      </c>
      <c r="B60">
        <v>1</v>
      </c>
      <c r="C60">
        <v>104</v>
      </c>
      <c r="E60" t="s">
        <v>185</v>
      </c>
      <c r="F60" t="s">
        <v>186</v>
      </c>
      <c r="G60" t="s">
        <v>187</v>
      </c>
      <c r="H60" t="s">
        <v>188</v>
      </c>
      <c r="I60">
        <f>I56*J60</f>
        <v>7.0000000000000007E-2</v>
      </c>
      <c r="J60">
        <v>7.3221757322175743E-2</v>
      </c>
      <c r="O60">
        <f t="shared" ref="O60:O91" si="71">ROUND(CP60,2)</f>
        <v>29.59</v>
      </c>
      <c r="P60">
        <f t="shared" ref="P60:P91" si="72">ROUND(CQ60*I60,2)</f>
        <v>29.59</v>
      </c>
      <c r="Q60">
        <f t="shared" ref="Q60:Q91" si="73">ROUND(CR60*I60,2)</f>
        <v>0</v>
      </c>
      <c r="R60">
        <f t="shared" ref="R60:R91" si="74">ROUND(CS60*I60,2)</f>
        <v>0</v>
      </c>
      <c r="S60">
        <f t="shared" ref="S60:S91" si="75">ROUND(CT60*I60,2)</f>
        <v>0</v>
      </c>
      <c r="T60">
        <f t="shared" ref="T60:T91" si="76">ROUND(CU60*I60,2)</f>
        <v>0</v>
      </c>
      <c r="U60">
        <f t="shared" ref="U60:U91" si="77">CV60*I60</f>
        <v>0</v>
      </c>
      <c r="V60">
        <f t="shared" ref="V60:V91" si="78">CW60*I60</f>
        <v>0</v>
      </c>
      <c r="W60">
        <f t="shared" ref="W60:W91" si="79">ROUND(CX60*I60,2)</f>
        <v>0</v>
      </c>
      <c r="X60">
        <f t="shared" ref="X60:X91" si="80">ROUND(CY60,2)</f>
        <v>0</v>
      </c>
      <c r="Y60">
        <f t="shared" ref="Y60:Y91" si="81">ROUND(CZ60,2)</f>
        <v>0</v>
      </c>
      <c r="AA60">
        <v>16812721</v>
      </c>
      <c r="AB60">
        <f t="shared" ref="AB60:AB91" si="82">ROUND((AC60+AD60+AF60),2)</f>
        <v>63</v>
      </c>
      <c r="AC60">
        <f t="shared" si="65"/>
        <v>63</v>
      </c>
      <c r="AD60">
        <f t="shared" si="66"/>
        <v>0</v>
      </c>
      <c r="AE60">
        <f t="shared" si="67"/>
        <v>0</v>
      </c>
      <c r="AF60">
        <f t="shared" si="68"/>
        <v>0</v>
      </c>
      <c r="AG60">
        <f t="shared" ref="AG60:AG91" si="83">ROUND((AP60),2)</f>
        <v>0</v>
      </c>
      <c r="AH60">
        <f t="shared" si="69"/>
        <v>0</v>
      </c>
      <c r="AI60">
        <f t="shared" si="70"/>
        <v>0</v>
      </c>
      <c r="AJ60">
        <f t="shared" ref="AJ60:AJ91" si="84">(AS60)</f>
        <v>0</v>
      </c>
      <c r="AK60">
        <v>63</v>
      </c>
      <c r="AL60">
        <v>63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111</v>
      </c>
      <c r="AU60">
        <v>64</v>
      </c>
      <c r="AV60">
        <v>1</v>
      </c>
      <c r="AW60">
        <v>1</v>
      </c>
      <c r="AZ60">
        <v>6.71</v>
      </c>
      <c r="BA60">
        <v>1</v>
      </c>
      <c r="BB60">
        <v>1</v>
      </c>
      <c r="BC60">
        <v>6.71</v>
      </c>
      <c r="BD60" t="s">
        <v>6</v>
      </c>
      <c r="BE60" t="s">
        <v>6</v>
      </c>
      <c r="BF60" t="s">
        <v>6</v>
      </c>
      <c r="BG60" t="s">
        <v>6</v>
      </c>
      <c r="BH60">
        <v>3</v>
      </c>
      <c r="BI60">
        <v>1</v>
      </c>
      <c r="BJ60" t="s">
        <v>189</v>
      </c>
      <c r="BM60">
        <v>11001</v>
      </c>
      <c r="BN60">
        <v>0</v>
      </c>
      <c r="BO60" t="s">
        <v>6</v>
      </c>
      <c r="BP60">
        <v>0</v>
      </c>
      <c r="BQ60">
        <v>2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6</v>
      </c>
      <c r="BZ60">
        <v>123</v>
      </c>
      <c r="CA60">
        <v>75</v>
      </c>
      <c r="CE60">
        <v>0</v>
      </c>
      <c r="CF60">
        <v>0</v>
      </c>
      <c r="CG60">
        <v>0</v>
      </c>
      <c r="CM60">
        <v>0</v>
      </c>
      <c r="CN60" t="s">
        <v>6</v>
      </c>
      <c r="CO60">
        <v>0</v>
      </c>
      <c r="CP60">
        <f t="shared" ref="CP60:CP91" si="85">(P60+Q60+S60)</f>
        <v>29.59</v>
      </c>
      <c r="CQ60">
        <f t="shared" ref="CQ60:CQ91" si="86">AC60*BC60</f>
        <v>422.73</v>
      </c>
      <c r="CR60">
        <f t="shared" ref="CR60:CR91" si="87">AD60*BB60</f>
        <v>0</v>
      </c>
      <c r="CS60">
        <f t="shared" ref="CS60:CS91" si="88">AE60*BS60</f>
        <v>0</v>
      </c>
      <c r="CT60">
        <f t="shared" ref="CT60:CT91" si="89">AF60*BA60</f>
        <v>0</v>
      </c>
      <c r="CU60">
        <f t="shared" ref="CU60:CU91" si="90">AG60</f>
        <v>0</v>
      </c>
      <c r="CV60">
        <f t="shared" ref="CV60:CV91" si="91">AH60</f>
        <v>0</v>
      </c>
      <c r="CW60">
        <f t="shared" ref="CW60:CW91" si="92">AI60</f>
        <v>0</v>
      </c>
      <c r="CX60">
        <f t="shared" ref="CX60:CX91" si="93">AJ60</f>
        <v>0</v>
      </c>
      <c r="CY60">
        <f t="shared" ref="CY60:CY91" si="94">(((S60+R60)*AT60)/100)</f>
        <v>0</v>
      </c>
      <c r="CZ60">
        <f t="shared" ref="CZ60:CZ91" si="95">(((S60+R60)*AU60)/100)</f>
        <v>0</v>
      </c>
      <c r="DC60" t="s">
        <v>6</v>
      </c>
      <c r="DD60" t="s">
        <v>6</v>
      </c>
      <c r="DE60" t="s">
        <v>6</v>
      </c>
      <c r="DF60" t="s">
        <v>6</v>
      </c>
      <c r="DG60" t="s">
        <v>6</v>
      </c>
      <c r="DH60" t="s">
        <v>6</v>
      </c>
      <c r="DI60" t="s">
        <v>6</v>
      </c>
      <c r="DJ60" t="s">
        <v>6</v>
      </c>
      <c r="DK60" t="s">
        <v>6</v>
      </c>
      <c r="DL60" t="s">
        <v>6</v>
      </c>
      <c r="DM60" t="s">
        <v>6</v>
      </c>
      <c r="DN60">
        <v>0</v>
      </c>
      <c r="DO60">
        <v>0</v>
      </c>
      <c r="DP60">
        <v>1</v>
      </c>
      <c r="DQ60">
        <v>1</v>
      </c>
      <c r="DU60">
        <v>1010</v>
      </c>
      <c r="DV60" t="s">
        <v>188</v>
      </c>
      <c r="DW60" t="s">
        <v>188</v>
      </c>
      <c r="DX60">
        <v>100</v>
      </c>
      <c r="EE60">
        <v>16510488</v>
      </c>
      <c r="EF60">
        <v>2</v>
      </c>
      <c r="EG60" t="s">
        <v>20</v>
      </c>
      <c r="EH60">
        <v>0</v>
      </c>
      <c r="EI60" t="s">
        <v>6</v>
      </c>
      <c r="EJ60">
        <v>1</v>
      </c>
      <c r="EK60">
        <v>11001</v>
      </c>
      <c r="EL60" t="s">
        <v>42</v>
      </c>
      <c r="EM60" t="s">
        <v>151</v>
      </c>
      <c r="EO60" t="s">
        <v>6</v>
      </c>
      <c r="EQ60">
        <v>0</v>
      </c>
      <c r="ER60">
        <v>63</v>
      </c>
      <c r="ES60">
        <v>63</v>
      </c>
      <c r="ET60">
        <v>0</v>
      </c>
      <c r="EU60">
        <v>0</v>
      </c>
      <c r="EV60">
        <v>0</v>
      </c>
      <c r="EW60">
        <v>0</v>
      </c>
      <c r="EX60">
        <v>0</v>
      </c>
      <c r="FQ60">
        <v>0</v>
      </c>
      <c r="FR60">
        <f t="shared" ref="FR60:FR91" si="96">ROUND(IF(AND(BH60=3,BI60=3),P60,0),2)</f>
        <v>0</v>
      </c>
      <c r="FS60">
        <v>0</v>
      </c>
      <c r="FT60" t="s">
        <v>23</v>
      </c>
      <c r="FU60" t="s">
        <v>24</v>
      </c>
      <c r="FX60">
        <v>110.7</v>
      </c>
      <c r="FY60">
        <v>63.75</v>
      </c>
      <c r="GA60" t="s">
        <v>6</v>
      </c>
      <c r="GD60">
        <v>0</v>
      </c>
      <c r="GF60">
        <v>1906340979</v>
      </c>
      <c r="GG60">
        <v>1</v>
      </c>
      <c r="GH60">
        <v>1</v>
      </c>
      <c r="GI60">
        <v>4</v>
      </c>
      <c r="GJ60">
        <v>0</v>
      </c>
      <c r="GK60">
        <f>ROUND(R60*(R12)/100,2)</f>
        <v>0</v>
      </c>
      <c r="GL60">
        <f t="shared" ref="GL60:GL91" si="97">ROUND(IF(AND(BH60=3,BI60=3,FS60&lt;&gt;0),P60,0),2)</f>
        <v>0</v>
      </c>
      <c r="GM60">
        <f t="shared" ref="GM60:GM91" si="98">ROUND(O60+X60+Y60+GK60,2)+GX60</f>
        <v>29.59</v>
      </c>
      <c r="GN60">
        <f t="shared" ref="GN60:GN91" si="99">IF(OR(BI60=0,BI60=1),ROUND(O60+X60+Y60+GK60,2),0)</f>
        <v>29.59</v>
      </c>
      <c r="GO60">
        <f t="shared" ref="GO60:GO91" si="100">IF(BI60=2,ROUND(O60+X60+Y60+GK60,2),0)</f>
        <v>0</v>
      </c>
      <c r="GP60">
        <f t="shared" ref="GP60:GP91" si="101">IF(BI60=4,ROUND(O60+X60+Y60+GK60,2)+GX60,0)</f>
        <v>0</v>
      </c>
      <c r="GR60">
        <v>0</v>
      </c>
      <c r="GS60">
        <v>0</v>
      </c>
      <c r="GT60">
        <v>0</v>
      </c>
      <c r="GU60" t="s">
        <v>6</v>
      </c>
      <c r="GV60">
        <f t="shared" ref="GV60:GV91" si="102">ROUND((GT60),2)</f>
        <v>0</v>
      </c>
      <c r="GW60">
        <v>1</v>
      </c>
      <c r="GX60">
        <f t="shared" ref="GX60:GX91" si="103">ROUND(HC60*I60,2)</f>
        <v>0</v>
      </c>
      <c r="HA60">
        <v>0</v>
      </c>
      <c r="HB60">
        <v>0</v>
      </c>
      <c r="HC60">
        <f t="shared" ref="HC60:HC91" si="104">GV60*GW60</f>
        <v>0</v>
      </c>
      <c r="IK60">
        <v>0</v>
      </c>
    </row>
    <row r="61" spans="1:245" x14ac:dyDescent="0.2">
      <c r="A61">
        <v>18</v>
      </c>
      <c r="B61">
        <v>1</v>
      </c>
      <c r="C61">
        <v>103</v>
      </c>
      <c r="E61" t="s">
        <v>190</v>
      </c>
      <c r="F61" t="s">
        <v>191</v>
      </c>
      <c r="G61" t="s">
        <v>192</v>
      </c>
      <c r="H61" t="s">
        <v>188</v>
      </c>
      <c r="I61">
        <f>I56*J61</f>
        <v>7.0000000000000007E-2</v>
      </c>
      <c r="J61">
        <v>7.3221757322175743E-2</v>
      </c>
      <c r="O61">
        <f t="shared" si="71"/>
        <v>29.59</v>
      </c>
      <c r="P61">
        <f t="shared" si="72"/>
        <v>29.59</v>
      </c>
      <c r="Q61">
        <f t="shared" si="73"/>
        <v>0</v>
      </c>
      <c r="R61">
        <f t="shared" si="74"/>
        <v>0</v>
      </c>
      <c r="S61">
        <f t="shared" si="75"/>
        <v>0</v>
      </c>
      <c r="T61">
        <f t="shared" si="76"/>
        <v>0</v>
      </c>
      <c r="U61">
        <f t="shared" si="77"/>
        <v>0</v>
      </c>
      <c r="V61">
        <f t="shared" si="78"/>
        <v>0</v>
      </c>
      <c r="W61">
        <f t="shared" si="79"/>
        <v>0</v>
      </c>
      <c r="X61">
        <f t="shared" si="80"/>
        <v>0</v>
      </c>
      <c r="Y61">
        <f t="shared" si="81"/>
        <v>0</v>
      </c>
      <c r="AA61">
        <v>16812721</v>
      </c>
      <c r="AB61">
        <f t="shared" si="82"/>
        <v>63</v>
      </c>
      <c r="AC61">
        <f t="shared" si="65"/>
        <v>63</v>
      </c>
      <c r="AD61">
        <f t="shared" si="66"/>
        <v>0</v>
      </c>
      <c r="AE61">
        <f t="shared" si="67"/>
        <v>0</v>
      </c>
      <c r="AF61">
        <f t="shared" si="68"/>
        <v>0</v>
      </c>
      <c r="AG61">
        <f t="shared" si="83"/>
        <v>0</v>
      </c>
      <c r="AH61">
        <f t="shared" si="69"/>
        <v>0</v>
      </c>
      <c r="AI61">
        <f t="shared" si="70"/>
        <v>0</v>
      </c>
      <c r="AJ61">
        <f t="shared" si="84"/>
        <v>0</v>
      </c>
      <c r="AK61">
        <v>63</v>
      </c>
      <c r="AL61">
        <v>63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111</v>
      </c>
      <c r="AU61">
        <v>64</v>
      </c>
      <c r="AV61">
        <v>1</v>
      </c>
      <c r="AW61">
        <v>1</v>
      </c>
      <c r="AZ61">
        <v>6.71</v>
      </c>
      <c r="BA61">
        <v>1</v>
      </c>
      <c r="BB61">
        <v>1</v>
      </c>
      <c r="BC61">
        <v>6.71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193</v>
      </c>
      <c r="BM61">
        <v>11001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123</v>
      </c>
      <c r="CA61">
        <v>75</v>
      </c>
      <c r="CE61">
        <v>0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85"/>
        <v>29.59</v>
      </c>
      <c r="CQ61">
        <f t="shared" si="86"/>
        <v>422.73</v>
      </c>
      <c r="CR61">
        <f t="shared" si="87"/>
        <v>0</v>
      </c>
      <c r="CS61">
        <f t="shared" si="88"/>
        <v>0</v>
      </c>
      <c r="CT61">
        <f t="shared" si="89"/>
        <v>0</v>
      </c>
      <c r="CU61">
        <f t="shared" si="90"/>
        <v>0</v>
      </c>
      <c r="CV61">
        <f t="shared" si="91"/>
        <v>0</v>
      </c>
      <c r="CW61">
        <f t="shared" si="92"/>
        <v>0</v>
      </c>
      <c r="CX61">
        <f t="shared" si="93"/>
        <v>0</v>
      </c>
      <c r="CY61">
        <f t="shared" si="94"/>
        <v>0</v>
      </c>
      <c r="CZ61">
        <f t="shared" si="95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1010</v>
      </c>
      <c r="DV61" t="s">
        <v>188</v>
      </c>
      <c r="DW61" t="s">
        <v>188</v>
      </c>
      <c r="DX61">
        <v>100</v>
      </c>
      <c r="EE61">
        <v>16510488</v>
      </c>
      <c r="EF61">
        <v>2</v>
      </c>
      <c r="EG61" t="s">
        <v>20</v>
      </c>
      <c r="EH61">
        <v>0</v>
      </c>
      <c r="EI61" t="s">
        <v>6</v>
      </c>
      <c r="EJ61">
        <v>1</v>
      </c>
      <c r="EK61">
        <v>11001</v>
      </c>
      <c r="EL61" t="s">
        <v>42</v>
      </c>
      <c r="EM61" t="s">
        <v>151</v>
      </c>
      <c r="EO61" t="s">
        <v>6</v>
      </c>
      <c r="EQ61">
        <v>0</v>
      </c>
      <c r="ER61">
        <v>63</v>
      </c>
      <c r="ES61">
        <v>63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96"/>
        <v>0</v>
      </c>
      <c r="FS61">
        <v>0</v>
      </c>
      <c r="FT61" t="s">
        <v>23</v>
      </c>
      <c r="FU61" t="s">
        <v>24</v>
      </c>
      <c r="FX61">
        <v>110.7</v>
      </c>
      <c r="FY61">
        <v>63.75</v>
      </c>
      <c r="GA61" t="s">
        <v>6</v>
      </c>
      <c r="GD61">
        <v>0</v>
      </c>
      <c r="GF61">
        <v>1345842772</v>
      </c>
      <c r="GG61">
        <v>1</v>
      </c>
      <c r="GH61">
        <v>1</v>
      </c>
      <c r="GI61">
        <v>4</v>
      </c>
      <c r="GJ61">
        <v>0</v>
      </c>
      <c r="GK61">
        <f>ROUND(R61*(R12)/100,2)</f>
        <v>0</v>
      </c>
      <c r="GL61">
        <f t="shared" si="97"/>
        <v>0</v>
      </c>
      <c r="GM61">
        <f t="shared" si="98"/>
        <v>29.59</v>
      </c>
      <c r="GN61">
        <f t="shared" si="99"/>
        <v>29.59</v>
      </c>
      <c r="GO61">
        <f t="shared" si="100"/>
        <v>0</v>
      </c>
      <c r="GP61">
        <f t="shared" si="101"/>
        <v>0</v>
      </c>
      <c r="GR61">
        <v>0</v>
      </c>
      <c r="GS61">
        <v>0</v>
      </c>
      <c r="GT61">
        <v>0</v>
      </c>
      <c r="GU61" t="s">
        <v>6</v>
      </c>
      <c r="GV61">
        <f t="shared" si="102"/>
        <v>0</v>
      </c>
      <c r="GW61">
        <v>1</v>
      </c>
      <c r="GX61">
        <f t="shared" si="103"/>
        <v>0</v>
      </c>
      <c r="HA61">
        <v>0</v>
      </c>
      <c r="HB61">
        <v>0</v>
      </c>
      <c r="HC61">
        <f t="shared" si="104"/>
        <v>0</v>
      </c>
      <c r="IK61">
        <v>0</v>
      </c>
    </row>
    <row r="62" spans="1:245" x14ac:dyDescent="0.2">
      <c r="A62">
        <v>18</v>
      </c>
      <c r="B62">
        <v>1</v>
      </c>
      <c r="C62">
        <v>105</v>
      </c>
      <c r="E62" t="s">
        <v>194</v>
      </c>
      <c r="F62" t="s">
        <v>195</v>
      </c>
      <c r="G62" t="s">
        <v>196</v>
      </c>
      <c r="H62" t="s">
        <v>188</v>
      </c>
      <c r="I62">
        <f>I56*J62</f>
        <v>0.38</v>
      </c>
      <c r="J62">
        <v>0.39748953974895401</v>
      </c>
      <c r="O62">
        <f t="shared" si="71"/>
        <v>326.37</v>
      </c>
      <c r="P62">
        <f t="shared" si="72"/>
        <v>326.37</v>
      </c>
      <c r="Q62">
        <f t="shared" si="73"/>
        <v>0</v>
      </c>
      <c r="R62">
        <f t="shared" si="74"/>
        <v>0</v>
      </c>
      <c r="S62">
        <f t="shared" si="75"/>
        <v>0</v>
      </c>
      <c r="T62">
        <f t="shared" si="76"/>
        <v>0</v>
      </c>
      <c r="U62">
        <f t="shared" si="77"/>
        <v>0</v>
      </c>
      <c r="V62">
        <f t="shared" si="78"/>
        <v>0</v>
      </c>
      <c r="W62">
        <f t="shared" si="79"/>
        <v>0</v>
      </c>
      <c r="X62">
        <f t="shared" si="80"/>
        <v>0</v>
      </c>
      <c r="Y62">
        <f t="shared" si="81"/>
        <v>0</v>
      </c>
      <c r="AA62">
        <v>16812721</v>
      </c>
      <c r="AB62">
        <f t="shared" si="82"/>
        <v>128</v>
      </c>
      <c r="AC62">
        <f t="shared" si="65"/>
        <v>128</v>
      </c>
      <c r="AD62">
        <f t="shared" si="66"/>
        <v>0</v>
      </c>
      <c r="AE62">
        <f t="shared" si="67"/>
        <v>0</v>
      </c>
      <c r="AF62">
        <f t="shared" si="68"/>
        <v>0</v>
      </c>
      <c r="AG62">
        <f t="shared" si="83"/>
        <v>0</v>
      </c>
      <c r="AH62">
        <f t="shared" si="69"/>
        <v>0</v>
      </c>
      <c r="AI62">
        <f t="shared" si="70"/>
        <v>0</v>
      </c>
      <c r="AJ62">
        <f t="shared" si="84"/>
        <v>0</v>
      </c>
      <c r="AK62">
        <v>128</v>
      </c>
      <c r="AL62">
        <v>128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111</v>
      </c>
      <c r="AU62">
        <v>64</v>
      </c>
      <c r="AV62">
        <v>1</v>
      </c>
      <c r="AW62">
        <v>1</v>
      </c>
      <c r="AZ62">
        <v>6.71</v>
      </c>
      <c r="BA62">
        <v>1</v>
      </c>
      <c r="BB62">
        <v>1</v>
      </c>
      <c r="BC62">
        <v>6.71</v>
      </c>
      <c r="BD62" t="s">
        <v>6</v>
      </c>
      <c r="BE62" t="s">
        <v>6</v>
      </c>
      <c r="BF62" t="s">
        <v>6</v>
      </c>
      <c r="BG62" t="s">
        <v>6</v>
      </c>
      <c r="BH62">
        <v>3</v>
      </c>
      <c r="BI62">
        <v>1</v>
      </c>
      <c r="BJ62" t="s">
        <v>197</v>
      </c>
      <c r="BM62">
        <v>11001</v>
      </c>
      <c r="BN62">
        <v>0</v>
      </c>
      <c r="BO62" t="s">
        <v>6</v>
      </c>
      <c r="BP62">
        <v>0</v>
      </c>
      <c r="BQ62">
        <v>2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6</v>
      </c>
      <c r="BZ62">
        <v>123</v>
      </c>
      <c r="CA62">
        <v>75</v>
      </c>
      <c r="CE62">
        <v>0</v>
      </c>
      <c r="CF62">
        <v>0</v>
      </c>
      <c r="CG62">
        <v>0</v>
      </c>
      <c r="CM62">
        <v>0</v>
      </c>
      <c r="CN62" t="s">
        <v>6</v>
      </c>
      <c r="CO62">
        <v>0</v>
      </c>
      <c r="CP62">
        <f t="shared" si="85"/>
        <v>326.37</v>
      </c>
      <c r="CQ62">
        <f t="shared" si="86"/>
        <v>858.88</v>
      </c>
      <c r="CR62">
        <f t="shared" si="87"/>
        <v>0</v>
      </c>
      <c r="CS62">
        <f t="shared" si="88"/>
        <v>0</v>
      </c>
      <c r="CT62">
        <f t="shared" si="89"/>
        <v>0</v>
      </c>
      <c r="CU62">
        <f t="shared" si="90"/>
        <v>0</v>
      </c>
      <c r="CV62">
        <f t="shared" si="91"/>
        <v>0</v>
      </c>
      <c r="CW62">
        <f t="shared" si="92"/>
        <v>0</v>
      </c>
      <c r="CX62">
        <f t="shared" si="93"/>
        <v>0</v>
      </c>
      <c r="CY62">
        <f t="shared" si="94"/>
        <v>0</v>
      </c>
      <c r="CZ62">
        <f t="shared" si="95"/>
        <v>0</v>
      </c>
      <c r="DC62" t="s">
        <v>6</v>
      </c>
      <c r="DD62" t="s">
        <v>6</v>
      </c>
      <c r="DE62" t="s">
        <v>6</v>
      </c>
      <c r="DF62" t="s">
        <v>6</v>
      </c>
      <c r="DG62" t="s">
        <v>6</v>
      </c>
      <c r="DH62" t="s">
        <v>6</v>
      </c>
      <c r="DI62" t="s">
        <v>6</v>
      </c>
      <c r="DJ62" t="s">
        <v>6</v>
      </c>
      <c r="DK62" t="s">
        <v>6</v>
      </c>
      <c r="DL62" t="s">
        <v>6</v>
      </c>
      <c r="DM62" t="s">
        <v>6</v>
      </c>
      <c r="DN62">
        <v>0</v>
      </c>
      <c r="DO62">
        <v>0</v>
      </c>
      <c r="DP62">
        <v>1</v>
      </c>
      <c r="DQ62">
        <v>1</v>
      </c>
      <c r="DU62">
        <v>1010</v>
      </c>
      <c r="DV62" t="s">
        <v>188</v>
      </c>
      <c r="DW62" t="s">
        <v>188</v>
      </c>
      <c r="DX62">
        <v>100</v>
      </c>
      <c r="EE62">
        <v>16510488</v>
      </c>
      <c r="EF62">
        <v>2</v>
      </c>
      <c r="EG62" t="s">
        <v>20</v>
      </c>
      <c r="EH62">
        <v>0</v>
      </c>
      <c r="EI62" t="s">
        <v>6</v>
      </c>
      <c r="EJ62">
        <v>1</v>
      </c>
      <c r="EK62">
        <v>11001</v>
      </c>
      <c r="EL62" t="s">
        <v>42</v>
      </c>
      <c r="EM62" t="s">
        <v>151</v>
      </c>
      <c r="EO62" t="s">
        <v>6</v>
      </c>
      <c r="EQ62">
        <v>0</v>
      </c>
      <c r="ER62">
        <v>128</v>
      </c>
      <c r="ES62">
        <v>128</v>
      </c>
      <c r="ET62">
        <v>0</v>
      </c>
      <c r="EU62">
        <v>0</v>
      </c>
      <c r="EV62">
        <v>0</v>
      </c>
      <c r="EW62">
        <v>0</v>
      </c>
      <c r="EX62">
        <v>0</v>
      </c>
      <c r="FQ62">
        <v>0</v>
      </c>
      <c r="FR62">
        <f t="shared" si="96"/>
        <v>0</v>
      </c>
      <c r="FS62">
        <v>0</v>
      </c>
      <c r="FT62" t="s">
        <v>23</v>
      </c>
      <c r="FU62" t="s">
        <v>24</v>
      </c>
      <c r="FX62">
        <v>110.7</v>
      </c>
      <c r="FY62">
        <v>63.75</v>
      </c>
      <c r="GA62" t="s">
        <v>6</v>
      </c>
      <c r="GD62">
        <v>0</v>
      </c>
      <c r="GF62">
        <v>848075668</v>
      </c>
      <c r="GG62">
        <v>1</v>
      </c>
      <c r="GH62">
        <v>1</v>
      </c>
      <c r="GI62">
        <v>4</v>
      </c>
      <c r="GJ62">
        <v>0</v>
      </c>
      <c r="GK62">
        <f>ROUND(R62*(R12)/100,2)</f>
        <v>0</v>
      </c>
      <c r="GL62">
        <f t="shared" si="97"/>
        <v>0</v>
      </c>
      <c r="GM62">
        <f t="shared" si="98"/>
        <v>326.37</v>
      </c>
      <c r="GN62">
        <f t="shared" si="99"/>
        <v>326.37</v>
      </c>
      <c r="GO62">
        <f t="shared" si="100"/>
        <v>0</v>
      </c>
      <c r="GP62">
        <f t="shared" si="101"/>
        <v>0</v>
      </c>
      <c r="GR62">
        <v>0</v>
      </c>
      <c r="GS62">
        <v>0</v>
      </c>
      <c r="GT62">
        <v>0</v>
      </c>
      <c r="GU62" t="s">
        <v>6</v>
      </c>
      <c r="GV62">
        <f t="shared" si="102"/>
        <v>0</v>
      </c>
      <c r="GW62">
        <v>1</v>
      </c>
      <c r="GX62">
        <f t="shared" si="103"/>
        <v>0</v>
      </c>
      <c r="HA62">
        <v>0</v>
      </c>
      <c r="HB62">
        <v>0</v>
      </c>
      <c r="HC62">
        <f t="shared" si="104"/>
        <v>0</v>
      </c>
      <c r="IK62">
        <v>0</v>
      </c>
    </row>
    <row r="63" spans="1:245" x14ac:dyDescent="0.2">
      <c r="A63">
        <v>18</v>
      </c>
      <c r="B63">
        <v>1</v>
      </c>
      <c r="C63">
        <v>106</v>
      </c>
      <c r="E63" t="s">
        <v>198</v>
      </c>
      <c r="F63" t="s">
        <v>199</v>
      </c>
      <c r="G63" t="s">
        <v>200</v>
      </c>
      <c r="H63" t="s">
        <v>188</v>
      </c>
      <c r="I63">
        <f>I56*J63</f>
        <v>0.06</v>
      </c>
      <c r="J63">
        <v>6.2761506276150625E-2</v>
      </c>
      <c r="O63">
        <f t="shared" si="71"/>
        <v>51.53</v>
      </c>
      <c r="P63">
        <f t="shared" si="72"/>
        <v>51.53</v>
      </c>
      <c r="Q63">
        <f t="shared" si="73"/>
        <v>0</v>
      </c>
      <c r="R63">
        <f t="shared" si="74"/>
        <v>0</v>
      </c>
      <c r="S63">
        <f t="shared" si="75"/>
        <v>0</v>
      </c>
      <c r="T63">
        <f t="shared" si="76"/>
        <v>0</v>
      </c>
      <c r="U63">
        <f t="shared" si="77"/>
        <v>0</v>
      </c>
      <c r="V63">
        <f t="shared" si="78"/>
        <v>0</v>
      </c>
      <c r="W63">
        <f t="shared" si="79"/>
        <v>0</v>
      </c>
      <c r="X63">
        <f t="shared" si="80"/>
        <v>0</v>
      </c>
      <c r="Y63">
        <f t="shared" si="81"/>
        <v>0</v>
      </c>
      <c r="AA63">
        <v>16812721</v>
      </c>
      <c r="AB63">
        <f t="shared" si="82"/>
        <v>128</v>
      </c>
      <c r="AC63">
        <f t="shared" si="65"/>
        <v>128</v>
      </c>
      <c r="AD63">
        <f t="shared" si="66"/>
        <v>0</v>
      </c>
      <c r="AE63">
        <f t="shared" si="67"/>
        <v>0</v>
      </c>
      <c r="AF63">
        <f t="shared" si="68"/>
        <v>0</v>
      </c>
      <c r="AG63">
        <f t="shared" si="83"/>
        <v>0</v>
      </c>
      <c r="AH63">
        <f t="shared" si="69"/>
        <v>0</v>
      </c>
      <c r="AI63">
        <f t="shared" si="70"/>
        <v>0</v>
      </c>
      <c r="AJ63">
        <f t="shared" si="84"/>
        <v>0</v>
      </c>
      <c r="AK63">
        <v>128</v>
      </c>
      <c r="AL63">
        <v>128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111</v>
      </c>
      <c r="AU63">
        <v>64</v>
      </c>
      <c r="AV63">
        <v>1</v>
      </c>
      <c r="AW63">
        <v>1</v>
      </c>
      <c r="AZ63">
        <v>6.71</v>
      </c>
      <c r="BA63">
        <v>1</v>
      </c>
      <c r="BB63">
        <v>1</v>
      </c>
      <c r="BC63">
        <v>6.71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201</v>
      </c>
      <c r="BM63">
        <v>11001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123</v>
      </c>
      <c r="CA63">
        <v>75</v>
      </c>
      <c r="CE63">
        <v>0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85"/>
        <v>51.53</v>
      </c>
      <c r="CQ63">
        <f t="shared" si="86"/>
        <v>858.88</v>
      </c>
      <c r="CR63">
        <f t="shared" si="87"/>
        <v>0</v>
      </c>
      <c r="CS63">
        <f t="shared" si="88"/>
        <v>0</v>
      </c>
      <c r="CT63">
        <f t="shared" si="89"/>
        <v>0</v>
      </c>
      <c r="CU63">
        <f t="shared" si="90"/>
        <v>0</v>
      </c>
      <c r="CV63">
        <f t="shared" si="91"/>
        <v>0</v>
      </c>
      <c r="CW63">
        <f t="shared" si="92"/>
        <v>0</v>
      </c>
      <c r="CX63">
        <f t="shared" si="93"/>
        <v>0</v>
      </c>
      <c r="CY63">
        <f t="shared" si="94"/>
        <v>0</v>
      </c>
      <c r="CZ63">
        <f t="shared" si="95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1010</v>
      </c>
      <c r="DV63" t="s">
        <v>188</v>
      </c>
      <c r="DW63" t="s">
        <v>188</v>
      </c>
      <c r="DX63">
        <v>100</v>
      </c>
      <c r="EE63">
        <v>16510488</v>
      </c>
      <c r="EF63">
        <v>2</v>
      </c>
      <c r="EG63" t="s">
        <v>20</v>
      </c>
      <c r="EH63">
        <v>0</v>
      </c>
      <c r="EI63" t="s">
        <v>6</v>
      </c>
      <c r="EJ63">
        <v>1</v>
      </c>
      <c r="EK63">
        <v>11001</v>
      </c>
      <c r="EL63" t="s">
        <v>42</v>
      </c>
      <c r="EM63" t="s">
        <v>151</v>
      </c>
      <c r="EO63" t="s">
        <v>6</v>
      </c>
      <c r="EQ63">
        <v>0</v>
      </c>
      <c r="ER63">
        <v>128</v>
      </c>
      <c r="ES63">
        <v>128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96"/>
        <v>0</v>
      </c>
      <c r="FS63">
        <v>0</v>
      </c>
      <c r="FT63" t="s">
        <v>23</v>
      </c>
      <c r="FU63" t="s">
        <v>24</v>
      </c>
      <c r="FX63">
        <v>110.7</v>
      </c>
      <c r="FY63">
        <v>63.75</v>
      </c>
      <c r="GA63" t="s">
        <v>6</v>
      </c>
      <c r="GD63">
        <v>0</v>
      </c>
      <c r="GF63">
        <v>1508644261</v>
      </c>
      <c r="GG63">
        <v>1</v>
      </c>
      <c r="GH63">
        <v>1</v>
      </c>
      <c r="GI63">
        <v>4</v>
      </c>
      <c r="GJ63">
        <v>0</v>
      </c>
      <c r="GK63">
        <f>ROUND(R63*(R12)/100,2)</f>
        <v>0</v>
      </c>
      <c r="GL63">
        <f t="shared" si="97"/>
        <v>0</v>
      </c>
      <c r="GM63">
        <f t="shared" si="98"/>
        <v>51.53</v>
      </c>
      <c r="GN63">
        <f t="shared" si="99"/>
        <v>51.53</v>
      </c>
      <c r="GO63">
        <f t="shared" si="100"/>
        <v>0</v>
      </c>
      <c r="GP63">
        <f t="shared" si="101"/>
        <v>0</v>
      </c>
      <c r="GR63">
        <v>0</v>
      </c>
      <c r="GS63">
        <v>0</v>
      </c>
      <c r="GT63">
        <v>0</v>
      </c>
      <c r="GU63" t="s">
        <v>6</v>
      </c>
      <c r="GV63">
        <f t="shared" si="102"/>
        <v>0</v>
      </c>
      <c r="GW63">
        <v>1</v>
      </c>
      <c r="GX63">
        <f t="shared" si="103"/>
        <v>0</v>
      </c>
      <c r="HA63">
        <v>0</v>
      </c>
      <c r="HB63">
        <v>0</v>
      </c>
      <c r="HC63">
        <f t="shared" si="104"/>
        <v>0</v>
      </c>
      <c r="IK63">
        <v>0</v>
      </c>
    </row>
    <row r="64" spans="1:245" x14ac:dyDescent="0.2">
      <c r="A64">
        <v>18</v>
      </c>
      <c r="B64">
        <v>1</v>
      </c>
      <c r="C64">
        <v>107</v>
      </c>
      <c r="E64" t="s">
        <v>202</v>
      </c>
      <c r="F64" t="s">
        <v>203</v>
      </c>
      <c r="G64" t="s">
        <v>204</v>
      </c>
      <c r="H64" t="s">
        <v>188</v>
      </c>
      <c r="I64">
        <f>I56*J64</f>
        <v>0.06</v>
      </c>
      <c r="J64">
        <v>6.2761506276150625E-2</v>
      </c>
      <c r="O64">
        <f t="shared" si="71"/>
        <v>51.53</v>
      </c>
      <c r="P64">
        <f t="shared" si="72"/>
        <v>51.53</v>
      </c>
      <c r="Q64">
        <f t="shared" si="73"/>
        <v>0</v>
      </c>
      <c r="R64">
        <f t="shared" si="74"/>
        <v>0</v>
      </c>
      <c r="S64">
        <f t="shared" si="75"/>
        <v>0</v>
      </c>
      <c r="T64">
        <f t="shared" si="76"/>
        <v>0</v>
      </c>
      <c r="U64">
        <f t="shared" si="77"/>
        <v>0</v>
      </c>
      <c r="V64">
        <f t="shared" si="78"/>
        <v>0</v>
      </c>
      <c r="W64">
        <f t="shared" si="79"/>
        <v>0</v>
      </c>
      <c r="X64">
        <f t="shared" si="80"/>
        <v>0</v>
      </c>
      <c r="Y64">
        <f t="shared" si="81"/>
        <v>0</v>
      </c>
      <c r="AA64">
        <v>16812721</v>
      </c>
      <c r="AB64">
        <f t="shared" si="82"/>
        <v>128</v>
      </c>
      <c r="AC64">
        <f t="shared" si="65"/>
        <v>128</v>
      </c>
      <c r="AD64">
        <f t="shared" si="66"/>
        <v>0</v>
      </c>
      <c r="AE64">
        <f t="shared" si="67"/>
        <v>0</v>
      </c>
      <c r="AF64">
        <f t="shared" si="68"/>
        <v>0</v>
      </c>
      <c r="AG64">
        <f t="shared" si="83"/>
        <v>0</v>
      </c>
      <c r="AH64">
        <f t="shared" si="69"/>
        <v>0</v>
      </c>
      <c r="AI64">
        <f t="shared" si="70"/>
        <v>0</v>
      </c>
      <c r="AJ64">
        <f t="shared" si="84"/>
        <v>0</v>
      </c>
      <c r="AK64">
        <v>128</v>
      </c>
      <c r="AL64">
        <v>128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111</v>
      </c>
      <c r="AU64">
        <v>64</v>
      </c>
      <c r="AV64">
        <v>1</v>
      </c>
      <c r="AW64">
        <v>1</v>
      </c>
      <c r="AZ64">
        <v>6.71</v>
      </c>
      <c r="BA64">
        <v>1</v>
      </c>
      <c r="BB64">
        <v>1</v>
      </c>
      <c r="BC64">
        <v>6.71</v>
      </c>
      <c r="BD64" t="s">
        <v>6</v>
      </c>
      <c r="BE64" t="s">
        <v>6</v>
      </c>
      <c r="BF64" t="s">
        <v>6</v>
      </c>
      <c r="BG64" t="s">
        <v>6</v>
      </c>
      <c r="BH64">
        <v>3</v>
      </c>
      <c r="BI64">
        <v>1</v>
      </c>
      <c r="BJ64" t="s">
        <v>205</v>
      </c>
      <c r="BM64">
        <v>11001</v>
      </c>
      <c r="BN64">
        <v>0</v>
      </c>
      <c r="BO64" t="s">
        <v>6</v>
      </c>
      <c r="BP64">
        <v>0</v>
      </c>
      <c r="BQ64">
        <v>2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6</v>
      </c>
      <c r="BZ64">
        <v>123</v>
      </c>
      <c r="CA64">
        <v>75</v>
      </c>
      <c r="CE64">
        <v>0</v>
      </c>
      <c r="CF64">
        <v>0</v>
      </c>
      <c r="CG64">
        <v>0</v>
      </c>
      <c r="CM64">
        <v>0</v>
      </c>
      <c r="CN64" t="s">
        <v>6</v>
      </c>
      <c r="CO64">
        <v>0</v>
      </c>
      <c r="CP64">
        <f t="shared" si="85"/>
        <v>51.53</v>
      </c>
      <c r="CQ64">
        <f t="shared" si="86"/>
        <v>858.88</v>
      </c>
      <c r="CR64">
        <f t="shared" si="87"/>
        <v>0</v>
      </c>
      <c r="CS64">
        <f t="shared" si="88"/>
        <v>0</v>
      </c>
      <c r="CT64">
        <f t="shared" si="89"/>
        <v>0</v>
      </c>
      <c r="CU64">
        <f t="shared" si="90"/>
        <v>0</v>
      </c>
      <c r="CV64">
        <f t="shared" si="91"/>
        <v>0</v>
      </c>
      <c r="CW64">
        <f t="shared" si="92"/>
        <v>0</v>
      </c>
      <c r="CX64">
        <f t="shared" si="93"/>
        <v>0</v>
      </c>
      <c r="CY64">
        <f t="shared" si="94"/>
        <v>0</v>
      </c>
      <c r="CZ64">
        <f t="shared" si="95"/>
        <v>0</v>
      </c>
      <c r="DC64" t="s">
        <v>6</v>
      </c>
      <c r="DD64" t="s">
        <v>6</v>
      </c>
      <c r="DE64" t="s">
        <v>6</v>
      </c>
      <c r="DF64" t="s">
        <v>6</v>
      </c>
      <c r="DG64" t="s">
        <v>6</v>
      </c>
      <c r="DH64" t="s">
        <v>6</v>
      </c>
      <c r="DI64" t="s">
        <v>6</v>
      </c>
      <c r="DJ64" t="s">
        <v>6</v>
      </c>
      <c r="DK64" t="s">
        <v>6</v>
      </c>
      <c r="DL64" t="s">
        <v>6</v>
      </c>
      <c r="DM64" t="s">
        <v>6</v>
      </c>
      <c r="DN64">
        <v>0</v>
      </c>
      <c r="DO64">
        <v>0</v>
      </c>
      <c r="DP64">
        <v>1</v>
      </c>
      <c r="DQ64">
        <v>1</v>
      </c>
      <c r="DU64">
        <v>1010</v>
      </c>
      <c r="DV64" t="s">
        <v>188</v>
      </c>
      <c r="DW64" t="s">
        <v>188</v>
      </c>
      <c r="DX64">
        <v>100</v>
      </c>
      <c r="EE64">
        <v>16510488</v>
      </c>
      <c r="EF64">
        <v>2</v>
      </c>
      <c r="EG64" t="s">
        <v>20</v>
      </c>
      <c r="EH64">
        <v>0</v>
      </c>
      <c r="EI64" t="s">
        <v>6</v>
      </c>
      <c r="EJ64">
        <v>1</v>
      </c>
      <c r="EK64">
        <v>11001</v>
      </c>
      <c r="EL64" t="s">
        <v>42</v>
      </c>
      <c r="EM64" t="s">
        <v>151</v>
      </c>
      <c r="EO64" t="s">
        <v>6</v>
      </c>
      <c r="EQ64">
        <v>0</v>
      </c>
      <c r="ER64">
        <v>128</v>
      </c>
      <c r="ES64">
        <v>128</v>
      </c>
      <c r="ET64">
        <v>0</v>
      </c>
      <c r="EU64">
        <v>0</v>
      </c>
      <c r="EV64">
        <v>0</v>
      </c>
      <c r="EW64">
        <v>0</v>
      </c>
      <c r="EX64">
        <v>0</v>
      </c>
      <c r="FQ64">
        <v>0</v>
      </c>
      <c r="FR64">
        <f t="shared" si="96"/>
        <v>0</v>
      </c>
      <c r="FS64">
        <v>0</v>
      </c>
      <c r="FT64" t="s">
        <v>23</v>
      </c>
      <c r="FU64" t="s">
        <v>24</v>
      </c>
      <c r="FX64">
        <v>110.7</v>
      </c>
      <c r="FY64">
        <v>63.75</v>
      </c>
      <c r="GA64" t="s">
        <v>6</v>
      </c>
      <c r="GD64">
        <v>0</v>
      </c>
      <c r="GF64">
        <v>-1530028590</v>
      </c>
      <c r="GG64">
        <v>1</v>
      </c>
      <c r="GH64">
        <v>1</v>
      </c>
      <c r="GI64">
        <v>4</v>
      </c>
      <c r="GJ64">
        <v>0</v>
      </c>
      <c r="GK64">
        <f>ROUND(R64*(R12)/100,2)</f>
        <v>0</v>
      </c>
      <c r="GL64">
        <f t="shared" si="97"/>
        <v>0</v>
      </c>
      <c r="GM64">
        <f t="shared" si="98"/>
        <v>51.53</v>
      </c>
      <c r="GN64">
        <f t="shared" si="99"/>
        <v>51.53</v>
      </c>
      <c r="GO64">
        <f t="shared" si="100"/>
        <v>0</v>
      </c>
      <c r="GP64">
        <f t="shared" si="101"/>
        <v>0</v>
      </c>
      <c r="GR64">
        <v>0</v>
      </c>
      <c r="GS64">
        <v>0</v>
      </c>
      <c r="GT64">
        <v>0</v>
      </c>
      <c r="GU64" t="s">
        <v>6</v>
      </c>
      <c r="GV64">
        <f t="shared" si="102"/>
        <v>0</v>
      </c>
      <c r="GW64">
        <v>1</v>
      </c>
      <c r="GX64">
        <f t="shared" si="103"/>
        <v>0</v>
      </c>
      <c r="HA64">
        <v>0</v>
      </c>
      <c r="HB64">
        <v>0</v>
      </c>
      <c r="HC64">
        <f t="shared" si="104"/>
        <v>0</v>
      </c>
      <c r="IK64">
        <v>0</v>
      </c>
    </row>
    <row r="65" spans="1:245" x14ac:dyDescent="0.2">
      <c r="A65">
        <v>18</v>
      </c>
      <c r="B65">
        <v>1</v>
      </c>
      <c r="C65">
        <v>99</v>
      </c>
      <c r="E65" t="s">
        <v>206</v>
      </c>
      <c r="F65" t="s">
        <v>183</v>
      </c>
      <c r="G65" t="s">
        <v>207</v>
      </c>
      <c r="H65" t="s">
        <v>62</v>
      </c>
      <c r="I65">
        <f>I56*J65</f>
        <v>6.6741650000000003</v>
      </c>
      <c r="J65">
        <v>6.9813441422594149</v>
      </c>
      <c r="O65">
        <f t="shared" si="71"/>
        <v>0</v>
      </c>
      <c r="P65">
        <f t="shared" si="72"/>
        <v>0</v>
      </c>
      <c r="Q65">
        <f t="shared" si="73"/>
        <v>0</v>
      </c>
      <c r="R65">
        <f t="shared" si="74"/>
        <v>0</v>
      </c>
      <c r="S65">
        <f t="shared" si="75"/>
        <v>0</v>
      </c>
      <c r="T65">
        <f t="shared" si="76"/>
        <v>0</v>
      </c>
      <c r="U65">
        <f t="shared" si="77"/>
        <v>0</v>
      </c>
      <c r="V65">
        <f t="shared" si="78"/>
        <v>0</v>
      </c>
      <c r="W65">
        <f t="shared" si="79"/>
        <v>0</v>
      </c>
      <c r="X65">
        <f t="shared" si="80"/>
        <v>0</v>
      </c>
      <c r="Y65">
        <f t="shared" si="81"/>
        <v>0</v>
      </c>
      <c r="AA65">
        <v>16812721</v>
      </c>
      <c r="AB65">
        <f t="shared" si="82"/>
        <v>0</v>
      </c>
      <c r="AC65">
        <f t="shared" si="65"/>
        <v>0</v>
      </c>
      <c r="AD65">
        <f t="shared" si="66"/>
        <v>0</v>
      </c>
      <c r="AE65">
        <f t="shared" si="67"/>
        <v>0</v>
      </c>
      <c r="AF65">
        <f t="shared" si="68"/>
        <v>0</v>
      </c>
      <c r="AG65">
        <f t="shared" si="83"/>
        <v>0</v>
      </c>
      <c r="AH65">
        <f t="shared" si="69"/>
        <v>0</v>
      </c>
      <c r="AI65">
        <f t="shared" si="70"/>
        <v>0</v>
      </c>
      <c r="AJ65">
        <f t="shared" si="84"/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111</v>
      </c>
      <c r="AU65">
        <v>64</v>
      </c>
      <c r="AV65">
        <v>1</v>
      </c>
      <c r="AW65">
        <v>1</v>
      </c>
      <c r="AZ65">
        <v>6.71</v>
      </c>
      <c r="BA65">
        <v>1</v>
      </c>
      <c r="BB65">
        <v>1</v>
      </c>
      <c r="BC65">
        <v>6.71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6</v>
      </c>
      <c r="BM65">
        <v>11001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123</v>
      </c>
      <c r="CA65">
        <v>75</v>
      </c>
      <c r="CE65">
        <v>0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85"/>
        <v>0</v>
      </c>
      <c r="CQ65">
        <f t="shared" si="86"/>
        <v>0</v>
      </c>
      <c r="CR65">
        <f t="shared" si="87"/>
        <v>0</v>
      </c>
      <c r="CS65">
        <f t="shared" si="88"/>
        <v>0</v>
      </c>
      <c r="CT65">
        <f t="shared" si="89"/>
        <v>0</v>
      </c>
      <c r="CU65">
        <f t="shared" si="90"/>
        <v>0</v>
      </c>
      <c r="CV65">
        <f t="shared" si="91"/>
        <v>0</v>
      </c>
      <c r="CW65">
        <f t="shared" si="92"/>
        <v>0</v>
      </c>
      <c r="CX65">
        <f t="shared" si="93"/>
        <v>0</v>
      </c>
      <c r="CY65">
        <f t="shared" si="94"/>
        <v>0</v>
      </c>
      <c r="CZ65">
        <f t="shared" si="95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1010</v>
      </c>
      <c r="DV65" t="s">
        <v>62</v>
      </c>
      <c r="DW65" t="s">
        <v>62</v>
      </c>
      <c r="DX65">
        <v>1</v>
      </c>
      <c r="EE65">
        <v>16510488</v>
      </c>
      <c r="EF65">
        <v>2</v>
      </c>
      <c r="EG65" t="s">
        <v>20</v>
      </c>
      <c r="EH65">
        <v>0</v>
      </c>
      <c r="EI65" t="s">
        <v>6</v>
      </c>
      <c r="EJ65">
        <v>1</v>
      </c>
      <c r="EK65">
        <v>11001</v>
      </c>
      <c r="EL65" t="s">
        <v>42</v>
      </c>
      <c r="EM65" t="s">
        <v>151</v>
      </c>
      <c r="EO65" t="s">
        <v>6</v>
      </c>
      <c r="EQ65">
        <v>0</v>
      </c>
      <c r="ER65">
        <v>0</v>
      </c>
      <c r="ES65">
        <v>0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6"/>
        <v>0</v>
      </c>
      <c r="FS65">
        <v>0</v>
      </c>
      <c r="FT65" t="s">
        <v>23</v>
      </c>
      <c r="FU65" t="s">
        <v>24</v>
      </c>
      <c r="FX65">
        <v>110.7</v>
      </c>
      <c r="FY65">
        <v>63.75</v>
      </c>
      <c r="GA65" t="s">
        <v>6</v>
      </c>
      <c r="GD65">
        <v>0</v>
      </c>
      <c r="GF65">
        <v>119324816</v>
      </c>
      <c r="GG65">
        <v>1</v>
      </c>
      <c r="GH65">
        <v>1</v>
      </c>
      <c r="GI65">
        <v>4</v>
      </c>
      <c r="GJ65">
        <v>0</v>
      </c>
      <c r="GK65">
        <f>ROUND(R65*(R12)/100,2)</f>
        <v>0</v>
      </c>
      <c r="GL65">
        <f t="shared" si="97"/>
        <v>0</v>
      </c>
      <c r="GM65">
        <f t="shared" si="98"/>
        <v>0</v>
      </c>
      <c r="GN65">
        <f t="shared" si="99"/>
        <v>0</v>
      </c>
      <c r="GO65">
        <f t="shared" si="100"/>
        <v>0</v>
      </c>
      <c r="GP65">
        <f t="shared" si="101"/>
        <v>0</v>
      </c>
      <c r="GR65">
        <v>0</v>
      </c>
      <c r="GS65">
        <v>3</v>
      </c>
      <c r="GT65">
        <v>0</v>
      </c>
      <c r="GU65" t="s">
        <v>6</v>
      </c>
      <c r="GV65">
        <f t="shared" si="102"/>
        <v>0</v>
      </c>
      <c r="GW65">
        <v>1</v>
      </c>
      <c r="GX65">
        <f t="shared" si="103"/>
        <v>0</v>
      </c>
      <c r="HA65">
        <v>0</v>
      </c>
      <c r="HB65">
        <v>0</v>
      </c>
      <c r="HC65">
        <f t="shared" si="104"/>
        <v>0</v>
      </c>
      <c r="IK65">
        <v>0</v>
      </c>
    </row>
    <row r="66" spans="1:245" x14ac:dyDescent="0.2">
      <c r="A66">
        <v>18</v>
      </c>
      <c r="B66">
        <v>1</v>
      </c>
      <c r="C66">
        <v>100</v>
      </c>
      <c r="E66" t="s">
        <v>208</v>
      </c>
      <c r="F66" t="s">
        <v>183</v>
      </c>
      <c r="G66" t="s">
        <v>209</v>
      </c>
      <c r="H66" t="s">
        <v>62</v>
      </c>
      <c r="I66">
        <f>I56*J66</f>
        <v>38.191056000000003</v>
      </c>
      <c r="J66">
        <v>39.948803347280339</v>
      </c>
      <c r="O66">
        <f t="shared" si="71"/>
        <v>0</v>
      </c>
      <c r="P66">
        <f t="shared" si="72"/>
        <v>0</v>
      </c>
      <c r="Q66">
        <f t="shared" si="73"/>
        <v>0</v>
      </c>
      <c r="R66">
        <f t="shared" si="74"/>
        <v>0</v>
      </c>
      <c r="S66">
        <f t="shared" si="75"/>
        <v>0</v>
      </c>
      <c r="T66">
        <f t="shared" si="76"/>
        <v>0</v>
      </c>
      <c r="U66">
        <f t="shared" si="77"/>
        <v>0</v>
      </c>
      <c r="V66">
        <f t="shared" si="78"/>
        <v>0</v>
      </c>
      <c r="W66">
        <f t="shared" si="79"/>
        <v>0</v>
      </c>
      <c r="X66">
        <f t="shared" si="80"/>
        <v>0</v>
      </c>
      <c r="Y66">
        <f t="shared" si="81"/>
        <v>0</v>
      </c>
      <c r="AA66">
        <v>16812721</v>
      </c>
      <c r="AB66">
        <f t="shared" si="82"/>
        <v>0</v>
      </c>
      <c r="AC66">
        <f t="shared" si="65"/>
        <v>0</v>
      </c>
      <c r="AD66">
        <f t="shared" si="66"/>
        <v>0</v>
      </c>
      <c r="AE66">
        <f t="shared" si="67"/>
        <v>0</v>
      </c>
      <c r="AF66">
        <f t="shared" si="68"/>
        <v>0</v>
      </c>
      <c r="AG66">
        <f t="shared" si="83"/>
        <v>0</v>
      </c>
      <c r="AH66">
        <f t="shared" si="69"/>
        <v>0</v>
      </c>
      <c r="AI66">
        <f t="shared" si="70"/>
        <v>0</v>
      </c>
      <c r="AJ66">
        <f t="shared" si="84"/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111</v>
      </c>
      <c r="AU66">
        <v>64</v>
      </c>
      <c r="AV66">
        <v>1</v>
      </c>
      <c r="AW66">
        <v>1</v>
      </c>
      <c r="AZ66">
        <v>6.71</v>
      </c>
      <c r="BA66">
        <v>1</v>
      </c>
      <c r="BB66">
        <v>1</v>
      </c>
      <c r="BC66">
        <v>6.71</v>
      </c>
      <c r="BD66" t="s">
        <v>6</v>
      </c>
      <c r="BE66" t="s">
        <v>6</v>
      </c>
      <c r="BF66" t="s">
        <v>6</v>
      </c>
      <c r="BG66" t="s">
        <v>6</v>
      </c>
      <c r="BH66">
        <v>3</v>
      </c>
      <c r="BI66">
        <v>1</v>
      </c>
      <c r="BJ66" t="s">
        <v>6</v>
      </c>
      <c r="BM66">
        <v>11001</v>
      </c>
      <c r="BN66">
        <v>0</v>
      </c>
      <c r="BO66" t="s">
        <v>6</v>
      </c>
      <c r="BP66">
        <v>0</v>
      </c>
      <c r="BQ66">
        <v>2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6</v>
      </c>
      <c r="BZ66">
        <v>123</v>
      </c>
      <c r="CA66">
        <v>75</v>
      </c>
      <c r="CE66">
        <v>0</v>
      </c>
      <c r="CF66">
        <v>0</v>
      </c>
      <c r="CG66">
        <v>0</v>
      </c>
      <c r="CM66">
        <v>0</v>
      </c>
      <c r="CN66" t="s">
        <v>6</v>
      </c>
      <c r="CO66">
        <v>0</v>
      </c>
      <c r="CP66">
        <f t="shared" si="85"/>
        <v>0</v>
      </c>
      <c r="CQ66">
        <f t="shared" si="86"/>
        <v>0</v>
      </c>
      <c r="CR66">
        <f t="shared" si="87"/>
        <v>0</v>
      </c>
      <c r="CS66">
        <f t="shared" si="88"/>
        <v>0</v>
      </c>
      <c r="CT66">
        <f t="shared" si="89"/>
        <v>0</v>
      </c>
      <c r="CU66">
        <f t="shared" si="90"/>
        <v>0</v>
      </c>
      <c r="CV66">
        <f t="shared" si="91"/>
        <v>0</v>
      </c>
      <c r="CW66">
        <f t="shared" si="92"/>
        <v>0</v>
      </c>
      <c r="CX66">
        <f t="shared" si="93"/>
        <v>0</v>
      </c>
      <c r="CY66">
        <f t="shared" si="94"/>
        <v>0</v>
      </c>
      <c r="CZ66">
        <f t="shared" si="95"/>
        <v>0</v>
      </c>
      <c r="DC66" t="s">
        <v>6</v>
      </c>
      <c r="DD66" t="s">
        <v>6</v>
      </c>
      <c r="DE66" t="s">
        <v>6</v>
      </c>
      <c r="DF66" t="s">
        <v>6</v>
      </c>
      <c r="DG66" t="s">
        <v>6</v>
      </c>
      <c r="DH66" t="s">
        <v>6</v>
      </c>
      <c r="DI66" t="s">
        <v>6</v>
      </c>
      <c r="DJ66" t="s">
        <v>6</v>
      </c>
      <c r="DK66" t="s">
        <v>6</v>
      </c>
      <c r="DL66" t="s">
        <v>6</v>
      </c>
      <c r="DM66" t="s">
        <v>6</v>
      </c>
      <c r="DN66">
        <v>0</v>
      </c>
      <c r="DO66">
        <v>0</v>
      </c>
      <c r="DP66">
        <v>1</v>
      </c>
      <c r="DQ66">
        <v>1</v>
      </c>
      <c r="DU66">
        <v>1010</v>
      </c>
      <c r="DV66" t="s">
        <v>62</v>
      </c>
      <c r="DW66" t="s">
        <v>62</v>
      </c>
      <c r="DX66">
        <v>1</v>
      </c>
      <c r="EE66">
        <v>16510488</v>
      </c>
      <c r="EF66">
        <v>2</v>
      </c>
      <c r="EG66" t="s">
        <v>20</v>
      </c>
      <c r="EH66">
        <v>0</v>
      </c>
      <c r="EI66" t="s">
        <v>6</v>
      </c>
      <c r="EJ66">
        <v>1</v>
      </c>
      <c r="EK66">
        <v>11001</v>
      </c>
      <c r="EL66" t="s">
        <v>42</v>
      </c>
      <c r="EM66" t="s">
        <v>151</v>
      </c>
      <c r="EO66" t="s">
        <v>6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FQ66">
        <v>0</v>
      </c>
      <c r="FR66">
        <f t="shared" si="96"/>
        <v>0</v>
      </c>
      <c r="FS66">
        <v>0</v>
      </c>
      <c r="FT66" t="s">
        <v>23</v>
      </c>
      <c r="FU66" t="s">
        <v>24</v>
      </c>
      <c r="FX66">
        <v>110.7</v>
      </c>
      <c r="FY66">
        <v>63.75</v>
      </c>
      <c r="GA66" t="s">
        <v>6</v>
      </c>
      <c r="GD66">
        <v>0</v>
      </c>
      <c r="GF66">
        <v>2133044040</v>
      </c>
      <c r="GG66">
        <v>1</v>
      </c>
      <c r="GH66">
        <v>1</v>
      </c>
      <c r="GI66">
        <v>4</v>
      </c>
      <c r="GJ66">
        <v>0</v>
      </c>
      <c r="GK66">
        <f>ROUND(R66*(R12)/100,2)</f>
        <v>0</v>
      </c>
      <c r="GL66">
        <f t="shared" si="97"/>
        <v>0</v>
      </c>
      <c r="GM66">
        <f t="shared" si="98"/>
        <v>0</v>
      </c>
      <c r="GN66">
        <f t="shared" si="99"/>
        <v>0</v>
      </c>
      <c r="GO66">
        <f t="shared" si="100"/>
        <v>0</v>
      </c>
      <c r="GP66">
        <f t="shared" si="101"/>
        <v>0</v>
      </c>
      <c r="GR66">
        <v>0</v>
      </c>
      <c r="GS66">
        <v>3</v>
      </c>
      <c r="GT66">
        <v>0</v>
      </c>
      <c r="GU66" t="s">
        <v>6</v>
      </c>
      <c r="GV66">
        <f t="shared" si="102"/>
        <v>0</v>
      </c>
      <c r="GW66">
        <v>1</v>
      </c>
      <c r="GX66">
        <f t="shared" si="103"/>
        <v>0</v>
      </c>
      <c r="HA66">
        <v>0</v>
      </c>
      <c r="HB66">
        <v>0</v>
      </c>
      <c r="HC66">
        <f t="shared" si="104"/>
        <v>0</v>
      </c>
      <c r="IK66">
        <v>0</v>
      </c>
    </row>
    <row r="67" spans="1:245" x14ac:dyDescent="0.2">
      <c r="A67">
        <v>18</v>
      </c>
      <c r="B67">
        <v>1</v>
      </c>
      <c r="C67">
        <v>101</v>
      </c>
      <c r="E67" t="s">
        <v>210</v>
      </c>
      <c r="F67" t="s">
        <v>183</v>
      </c>
      <c r="G67" t="s">
        <v>211</v>
      </c>
      <c r="H67" t="s">
        <v>62</v>
      </c>
      <c r="I67">
        <f>I56*J67</f>
        <v>7.6011319999999998</v>
      </c>
      <c r="J67">
        <v>7.9509748953974899</v>
      </c>
      <c r="O67">
        <f t="shared" si="71"/>
        <v>0</v>
      </c>
      <c r="P67">
        <f t="shared" si="72"/>
        <v>0</v>
      </c>
      <c r="Q67">
        <f t="shared" si="73"/>
        <v>0</v>
      </c>
      <c r="R67">
        <f t="shared" si="74"/>
        <v>0</v>
      </c>
      <c r="S67">
        <f t="shared" si="75"/>
        <v>0</v>
      </c>
      <c r="T67">
        <f t="shared" si="76"/>
        <v>0</v>
      </c>
      <c r="U67">
        <f t="shared" si="77"/>
        <v>0</v>
      </c>
      <c r="V67">
        <f t="shared" si="78"/>
        <v>0</v>
      </c>
      <c r="W67">
        <f t="shared" si="79"/>
        <v>0</v>
      </c>
      <c r="X67">
        <f t="shared" si="80"/>
        <v>0</v>
      </c>
      <c r="Y67">
        <f t="shared" si="81"/>
        <v>0</v>
      </c>
      <c r="AA67">
        <v>16812721</v>
      </c>
      <c r="AB67">
        <f t="shared" si="82"/>
        <v>0</v>
      </c>
      <c r="AC67">
        <f t="shared" si="65"/>
        <v>0</v>
      </c>
      <c r="AD67">
        <f t="shared" si="66"/>
        <v>0</v>
      </c>
      <c r="AE67">
        <f t="shared" si="67"/>
        <v>0</v>
      </c>
      <c r="AF67">
        <f t="shared" si="68"/>
        <v>0</v>
      </c>
      <c r="AG67">
        <f t="shared" si="83"/>
        <v>0</v>
      </c>
      <c r="AH67">
        <f t="shared" si="69"/>
        <v>0</v>
      </c>
      <c r="AI67">
        <f t="shared" si="70"/>
        <v>0</v>
      </c>
      <c r="AJ67">
        <f t="shared" si="84"/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111</v>
      </c>
      <c r="AU67">
        <v>64</v>
      </c>
      <c r="AV67">
        <v>1</v>
      </c>
      <c r="AW67">
        <v>1</v>
      </c>
      <c r="AZ67">
        <v>6.71</v>
      </c>
      <c r="BA67">
        <v>1</v>
      </c>
      <c r="BB67">
        <v>1</v>
      </c>
      <c r="BC67">
        <v>6.71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6</v>
      </c>
      <c r="BM67">
        <v>11001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123</v>
      </c>
      <c r="CA67">
        <v>75</v>
      </c>
      <c r="CE67">
        <v>0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85"/>
        <v>0</v>
      </c>
      <c r="CQ67">
        <f t="shared" si="86"/>
        <v>0</v>
      </c>
      <c r="CR67">
        <f t="shared" si="87"/>
        <v>0</v>
      </c>
      <c r="CS67">
        <f t="shared" si="88"/>
        <v>0</v>
      </c>
      <c r="CT67">
        <f t="shared" si="89"/>
        <v>0</v>
      </c>
      <c r="CU67">
        <f t="shared" si="90"/>
        <v>0</v>
      </c>
      <c r="CV67">
        <f t="shared" si="91"/>
        <v>0</v>
      </c>
      <c r="CW67">
        <f t="shared" si="92"/>
        <v>0</v>
      </c>
      <c r="CX67">
        <f t="shared" si="93"/>
        <v>0</v>
      </c>
      <c r="CY67">
        <f t="shared" si="94"/>
        <v>0</v>
      </c>
      <c r="CZ67">
        <f t="shared" si="95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1010</v>
      </c>
      <c r="DV67" t="s">
        <v>62</v>
      </c>
      <c r="DW67" t="s">
        <v>62</v>
      </c>
      <c r="DX67">
        <v>1</v>
      </c>
      <c r="EE67">
        <v>16510488</v>
      </c>
      <c r="EF67">
        <v>2</v>
      </c>
      <c r="EG67" t="s">
        <v>20</v>
      </c>
      <c r="EH67">
        <v>0</v>
      </c>
      <c r="EI67" t="s">
        <v>6</v>
      </c>
      <c r="EJ67">
        <v>1</v>
      </c>
      <c r="EK67">
        <v>11001</v>
      </c>
      <c r="EL67" t="s">
        <v>42</v>
      </c>
      <c r="EM67" t="s">
        <v>151</v>
      </c>
      <c r="EO67" t="s">
        <v>6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6"/>
        <v>0</v>
      </c>
      <c r="FS67">
        <v>0</v>
      </c>
      <c r="FT67" t="s">
        <v>23</v>
      </c>
      <c r="FU67" t="s">
        <v>24</v>
      </c>
      <c r="FX67">
        <v>110.7</v>
      </c>
      <c r="FY67">
        <v>63.75</v>
      </c>
      <c r="GA67" t="s">
        <v>6</v>
      </c>
      <c r="GD67">
        <v>0</v>
      </c>
      <c r="GF67">
        <v>1953413105</v>
      </c>
      <c r="GG67">
        <v>1</v>
      </c>
      <c r="GH67">
        <v>1</v>
      </c>
      <c r="GI67">
        <v>4</v>
      </c>
      <c r="GJ67">
        <v>0</v>
      </c>
      <c r="GK67">
        <f>ROUND(R67*(R12)/100,2)</f>
        <v>0</v>
      </c>
      <c r="GL67">
        <f t="shared" si="97"/>
        <v>0</v>
      </c>
      <c r="GM67">
        <f t="shared" si="98"/>
        <v>0</v>
      </c>
      <c r="GN67">
        <f t="shared" si="99"/>
        <v>0</v>
      </c>
      <c r="GO67">
        <f t="shared" si="100"/>
        <v>0</v>
      </c>
      <c r="GP67">
        <f t="shared" si="101"/>
        <v>0</v>
      </c>
      <c r="GR67">
        <v>0</v>
      </c>
      <c r="GS67">
        <v>3</v>
      </c>
      <c r="GT67">
        <v>0</v>
      </c>
      <c r="GU67" t="s">
        <v>6</v>
      </c>
      <c r="GV67">
        <f t="shared" si="102"/>
        <v>0</v>
      </c>
      <c r="GW67">
        <v>1</v>
      </c>
      <c r="GX67">
        <f t="shared" si="103"/>
        <v>0</v>
      </c>
      <c r="HA67">
        <v>0</v>
      </c>
      <c r="HB67">
        <v>0</v>
      </c>
      <c r="HC67">
        <f t="shared" si="104"/>
        <v>0</v>
      </c>
      <c r="IK67">
        <v>0</v>
      </c>
    </row>
    <row r="68" spans="1:245" x14ac:dyDescent="0.2">
      <c r="A68">
        <v>18</v>
      </c>
      <c r="B68">
        <v>1</v>
      </c>
      <c r="C68">
        <v>102</v>
      </c>
      <c r="E68" t="s">
        <v>212</v>
      </c>
      <c r="F68" t="s">
        <v>183</v>
      </c>
      <c r="G68" t="s">
        <v>213</v>
      </c>
      <c r="H68" t="s">
        <v>62</v>
      </c>
      <c r="I68">
        <f>I56*J68</f>
        <v>7.6011319999999998</v>
      </c>
      <c r="J68">
        <v>7.9509748953974899</v>
      </c>
      <c r="O68">
        <f t="shared" si="71"/>
        <v>0</v>
      </c>
      <c r="P68">
        <f t="shared" si="72"/>
        <v>0</v>
      </c>
      <c r="Q68">
        <f t="shared" si="73"/>
        <v>0</v>
      </c>
      <c r="R68">
        <f t="shared" si="74"/>
        <v>0</v>
      </c>
      <c r="S68">
        <f t="shared" si="75"/>
        <v>0</v>
      </c>
      <c r="T68">
        <f t="shared" si="76"/>
        <v>0</v>
      </c>
      <c r="U68">
        <f t="shared" si="77"/>
        <v>0</v>
      </c>
      <c r="V68">
        <f t="shared" si="78"/>
        <v>0</v>
      </c>
      <c r="W68">
        <f t="shared" si="79"/>
        <v>0</v>
      </c>
      <c r="X68">
        <f t="shared" si="80"/>
        <v>0</v>
      </c>
      <c r="Y68">
        <f t="shared" si="81"/>
        <v>0</v>
      </c>
      <c r="AA68">
        <v>16812721</v>
      </c>
      <c r="AB68">
        <f t="shared" si="82"/>
        <v>0</v>
      </c>
      <c r="AC68">
        <f t="shared" si="65"/>
        <v>0</v>
      </c>
      <c r="AD68">
        <f t="shared" si="66"/>
        <v>0</v>
      </c>
      <c r="AE68">
        <f t="shared" si="67"/>
        <v>0</v>
      </c>
      <c r="AF68">
        <f t="shared" si="68"/>
        <v>0</v>
      </c>
      <c r="AG68">
        <f t="shared" si="83"/>
        <v>0</v>
      </c>
      <c r="AH68">
        <f t="shared" si="69"/>
        <v>0</v>
      </c>
      <c r="AI68">
        <f t="shared" si="70"/>
        <v>0</v>
      </c>
      <c r="AJ68">
        <f t="shared" si="84"/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111</v>
      </c>
      <c r="AU68">
        <v>64</v>
      </c>
      <c r="AV68">
        <v>1</v>
      </c>
      <c r="AW68">
        <v>1</v>
      </c>
      <c r="AZ68">
        <v>6.71</v>
      </c>
      <c r="BA68">
        <v>1</v>
      </c>
      <c r="BB68">
        <v>1</v>
      </c>
      <c r="BC68">
        <v>6.71</v>
      </c>
      <c r="BD68" t="s">
        <v>6</v>
      </c>
      <c r="BE68" t="s">
        <v>6</v>
      </c>
      <c r="BF68" t="s">
        <v>6</v>
      </c>
      <c r="BG68" t="s">
        <v>6</v>
      </c>
      <c r="BH68">
        <v>3</v>
      </c>
      <c r="BI68">
        <v>1</v>
      </c>
      <c r="BJ68" t="s">
        <v>6</v>
      </c>
      <c r="BM68">
        <v>11001</v>
      </c>
      <c r="BN68">
        <v>0</v>
      </c>
      <c r="BO68" t="s">
        <v>6</v>
      </c>
      <c r="BP68">
        <v>0</v>
      </c>
      <c r="BQ68">
        <v>2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6</v>
      </c>
      <c r="BZ68">
        <v>123</v>
      </c>
      <c r="CA68">
        <v>75</v>
      </c>
      <c r="CE68">
        <v>0</v>
      </c>
      <c r="CF68">
        <v>0</v>
      </c>
      <c r="CG68">
        <v>0</v>
      </c>
      <c r="CM68">
        <v>0</v>
      </c>
      <c r="CN68" t="s">
        <v>6</v>
      </c>
      <c r="CO68">
        <v>0</v>
      </c>
      <c r="CP68">
        <f t="shared" si="85"/>
        <v>0</v>
      </c>
      <c r="CQ68">
        <f t="shared" si="86"/>
        <v>0</v>
      </c>
      <c r="CR68">
        <f t="shared" si="87"/>
        <v>0</v>
      </c>
      <c r="CS68">
        <f t="shared" si="88"/>
        <v>0</v>
      </c>
      <c r="CT68">
        <f t="shared" si="89"/>
        <v>0</v>
      </c>
      <c r="CU68">
        <f t="shared" si="90"/>
        <v>0</v>
      </c>
      <c r="CV68">
        <f t="shared" si="91"/>
        <v>0</v>
      </c>
      <c r="CW68">
        <f t="shared" si="92"/>
        <v>0</v>
      </c>
      <c r="CX68">
        <f t="shared" si="93"/>
        <v>0</v>
      </c>
      <c r="CY68">
        <f t="shared" si="94"/>
        <v>0</v>
      </c>
      <c r="CZ68">
        <f t="shared" si="95"/>
        <v>0</v>
      </c>
      <c r="DC68" t="s">
        <v>6</v>
      </c>
      <c r="DD68" t="s">
        <v>6</v>
      </c>
      <c r="DE68" t="s">
        <v>6</v>
      </c>
      <c r="DF68" t="s">
        <v>6</v>
      </c>
      <c r="DG68" t="s">
        <v>6</v>
      </c>
      <c r="DH68" t="s">
        <v>6</v>
      </c>
      <c r="DI68" t="s">
        <v>6</v>
      </c>
      <c r="DJ68" t="s">
        <v>6</v>
      </c>
      <c r="DK68" t="s">
        <v>6</v>
      </c>
      <c r="DL68" t="s">
        <v>6</v>
      </c>
      <c r="DM68" t="s">
        <v>6</v>
      </c>
      <c r="DN68">
        <v>0</v>
      </c>
      <c r="DO68">
        <v>0</v>
      </c>
      <c r="DP68">
        <v>1</v>
      </c>
      <c r="DQ68">
        <v>1</v>
      </c>
      <c r="DU68">
        <v>1010</v>
      </c>
      <c r="DV68" t="s">
        <v>62</v>
      </c>
      <c r="DW68" t="s">
        <v>62</v>
      </c>
      <c r="DX68">
        <v>1</v>
      </c>
      <c r="EE68">
        <v>16510488</v>
      </c>
      <c r="EF68">
        <v>2</v>
      </c>
      <c r="EG68" t="s">
        <v>20</v>
      </c>
      <c r="EH68">
        <v>0</v>
      </c>
      <c r="EI68" t="s">
        <v>6</v>
      </c>
      <c r="EJ68">
        <v>1</v>
      </c>
      <c r="EK68">
        <v>11001</v>
      </c>
      <c r="EL68" t="s">
        <v>42</v>
      </c>
      <c r="EM68" t="s">
        <v>151</v>
      </c>
      <c r="EO68" t="s">
        <v>6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FQ68">
        <v>0</v>
      </c>
      <c r="FR68">
        <f t="shared" si="96"/>
        <v>0</v>
      </c>
      <c r="FS68">
        <v>0</v>
      </c>
      <c r="FT68" t="s">
        <v>23</v>
      </c>
      <c r="FU68" t="s">
        <v>24</v>
      </c>
      <c r="FX68">
        <v>110.7</v>
      </c>
      <c r="FY68">
        <v>63.75</v>
      </c>
      <c r="GA68" t="s">
        <v>6</v>
      </c>
      <c r="GD68">
        <v>0</v>
      </c>
      <c r="GF68">
        <v>-333106949</v>
      </c>
      <c r="GG68">
        <v>1</v>
      </c>
      <c r="GH68">
        <v>1</v>
      </c>
      <c r="GI68">
        <v>4</v>
      </c>
      <c r="GJ68">
        <v>0</v>
      </c>
      <c r="GK68">
        <f>ROUND(R68*(R12)/100,2)</f>
        <v>0</v>
      </c>
      <c r="GL68">
        <f t="shared" si="97"/>
        <v>0</v>
      </c>
      <c r="GM68">
        <f t="shared" si="98"/>
        <v>0</v>
      </c>
      <c r="GN68">
        <f t="shared" si="99"/>
        <v>0</v>
      </c>
      <c r="GO68">
        <f t="shared" si="100"/>
        <v>0</v>
      </c>
      <c r="GP68">
        <f t="shared" si="101"/>
        <v>0</v>
      </c>
      <c r="GR68">
        <v>0</v>
      </c>
      <c r="GS68">
        <v>3</v>
      </c>
      <c r="GT68">
        <v>0</v>
      </c>
      <c r="GU68" t="s">
        <v>6</v>
      </c>
      <c r="GV68">
        <f t="shared" si="102"/>
        <v>0</v>
      </c>
      <c r="GW68">
        <v>1</v>
      </c>
      <c r="GX68">
        <f t="shared" si="103"/>
        <v>0</v>
      </c>
      <c r="HA68">
        <v>0</v>
      </c>
      <c r="HB68">
        <v>0</v>
      </c>
      <c r="HC68">
        <f t="shared" si="104"/>
        <v>0</v>
      </c>
      <c r="IK68">
        <v>0</v>
      </c>
    </row>
    <row r="69" spans="1:245" x14ac:dyDescent="0.2">
      <c r="A69">
        <v>17</v>
      </c>
      <c r="B69">
        <v>1</v>
      </c>
      <c r="C69">
        <f>ROW(SmtRes!A112)</f>
        <v>112</v>
      </c>
      <c r="D69">
        <f>ROW(EtalonRes!A115)</f>
        <v>115</v>
      </c>
      <c r="E69" t="s">
        <v>214</v>
      </c>
      <c r="F69" t="s">
        <v>215</v>
      </c>
      <c r="G69" t="s">
        <v>216</v>
      </c>
      <c r="H69" t="s">
        <v>39</v>
      </c>
      <c r="I69">
        <f>ROUND(5.4/100,9)</f>
        <v>5.3999999999999999E-2</v>
      </c>
      <c r="J69">
        <v>0</v>
      </c>
      <c r="O69">
        <f t="shared" si="71"/>
        <v>89.73</v>
      </c>
      <c r="P69">
        <f t="shared" si="72"/>
        <v>29.13</v>
      </c>
      <c r="Q69">
        <f t="shared" si="73"/>
        <v>0</v>
      </c>
      <c r="R69">
        <f t="shared" si="74"/>
        <v>0</v>
      </c>
      <c r="S69">
        <f t="shared" si="75"/>
        <v>60.6</v>
      </c>
      <c r="T69">
        <f t="shared" si="76"/>
        <v>0</v>
      </c>
      <c r="U69">
        <f t="shared" si="77"/>
        <v>1.033344</v>
      </c>
      <c r="V69">
        <f t="shared" si="78"/>
        <v>0</v>
      </c>
      <c r="W69">
        <f t="shared" si="79"/>
        <v>0</v>
      </c>
      <c r="X69">
        <f t="shared" si="80"/>
        <v>67.27</v>
      </c>
      <c r="Y69">
        <f t="shared" si="81"/>
        <v>38.78</v>
      </c>
      <c r="AA69">
        <v>16812721</v>
      </c>
      <c r="AB69">
        <f t="shared" si="82"/>
        <v>247.64</v>
      </c>
      <c r="AC69">
        <f t="shared" si="65"/>
        <v>80.400000000000006</v>
      </c>
      <c r="AD69">
        <f>ROUND(((((ET69*1.25))-((EU69*1.25)))+AE69),2)</f>
        <v>0</v>
      </c>
      <c r="AE69">
        <f>ROUND(((EU69*1.25)),2)</f>
        <v>0</v>
      </c>
      <c r="AF69">
        <f>ROUND(((EV69*1.15)),2)</f>
        <v>167.24</v>
      </c>
      <c r="AG69">
        <f t="shared" si="83"/>
        <v>0</v>
      </c>
      <c r="AH69">
        <f>((EW69*1.15))</f>
        <v>19.135999999999999</v>
      </c>
      <c r="AI69">
        <f>((EX69*1.25))</f>
        <v>0</v>
      </c>
      <c r="AJ69">
        <f t="shared" si="84"/>
        <v>0</v>
      </c>
      <c r="AK69">
        <v>225.83</v>
      </c>
      <c r="AL69">
        <v>80.400000000000006</v>
      </c>
      <c r="AM69">
        <v>0</v>
      </c>
      <c r="AN69">
        <v>0</v>
      </c>
      <c r="AO69">
        <v>145.43</v>
      </c>
      <c r="AP69">
        <v>0</v>
      </c>
      <c r="AQ69">
        <v>16.64</v>
      </c>
      <c r="AR69">
        <v>0</v>
      </c>
      <c r="AS69">
        <v>0</v>
      </c>
      <c r="AT69">
        <v>111</v>
      </c>
      <c r="AU69">
        <v>64</v>
      </c>
      <c r="AV69">
        <v>1</v>
      </c>
      <c r="AW69">
        <v>1</v>
      </c>
      <c r="AZ69">
        <v>6.71</v>
      </c>
      <c r="BA69">
        <v>6.71</v>
      </c>
      <c r="BB69">
        <v>6.71</v>
      </c>
      <c r="BC69">
        <v>6.71</v>
      </c>
      <c r="BD69" t="s">
        <v>6</v>
      </c>
      <c r="BE69" t="s">
        <v>6</v>
      </c>
      <c r="BF69" t="s">
        <v>6</v>
      </c>
      <c r="BG69" t="s">
        <v>6</v>
      </c>
      <c r="BH69">
        <v>0</v>
      </c>
      <c r="BI69">
        <v>1</v>
      </c>
      <c r="BJ69" t="s">
        <v>217</v>
      </c>
      <c r="BM69">
        <v>11001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6.71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123</v>
      </c>
      <c r="CA69">
        <v>75</v>
      </c>
      <c r="CE69">
        <v>0</v>
      </c>
      <c r="CF69">
        <v>0</v>
      </c>
      <c r="CG69">
        <v>0</v>
      </c>
      <c r="CM69">
        <v>0</v>
      </c>
      <c r="CN69" t="s">
        <v>1138</v>
      </c>
      <c r="CO69">
        <v>0</v>
      </c>
      <c r="CP69">
        <f t="shared" si="85"/>
        <v>89.73</v>
      </c>
      <c r="CQ69">
        <f t="shared" si="86"/>
        <v>539.48400000000004</v>
      </c>
      <c r="CR69">
        <f t="shared" si="87"/>
        <v>0</v>
      </c>
      <c r="CS69">
        <f t="shared" si="88"/>
        <v>0</v>
      </c>
      <c r="CT69">
        <f t="shared" si="89"/>
        <v>1122.1804</v>
      </c>
      <c r="CU69">
        <f t="shared" si="90"/>
        <v>0</v>
      </c>
      <c r="CV69">
        <f t="shared" si="91"/>
        <v>19.135999999999999</v>
      </c>
      <c r="CW69">
        <f t="shared" si="92"/>
        <v>0</v>
      </c>
      <c r="CX69">
        <f t="shared" si="93"/>
        <v>0</v>
      </c>
      <c r="CY69">
        <f t="shared" si="94"/>
        <v>67.266000000000005</v>
      </c>
      <c r="CZ69">
        <f t="shared" si="95"/>
        <v>38.783999999999999</v>
      </c>
      <c r="DC69" t="s">
        <v>6</v>
      </c>
      <c r="DD69" t="s">
        <v>6</v>
      </c>
      <c r="DE69" t="s">
        <v>103</v>
      </c>
      <c r="DF69" t="s">
        <v>103</v>
      </c>
      <c r="DG69" t="s">
        <v>104</v>
      </c>
      <c r="DH69" t="s">
        <v>6</v>
      </c>
      <c r="DI69" t="s">
        <v>104</v>
      </c>
      <c r="DJ69" t="s">
        <v>103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1003</v>
      </c>
      <c r="DV69" t="s">
        <v>39</v>
      </c>
      <c r="DW69" t="s">
        <v>39</v>
      </c>
      <c r="DX69">
        <v>100</v>
      </c>
      <c r="EE69">
        <v>16510488</v>
      </c>
      <c r="EF69">
        <v>2</v>
      </c>
      <c r="EG69" t="s">
        <v>20</v>
      </c>
      <c r="EH69">
        <v>0</v>
      </c>
      <c r="EI69" t="s">
        <v>6</v>
      </c>
      <c r="EJ69">
        <v>1</v>
      </c>
      <c r="EK69">
        <v>11001</v>
      </c>
      <c r="EL69" t="s">
        <v>42</v>
      </c>
      <c r="EM69" t="s">
        <v>151</v>
      </c>
      <c r="EO69" t="s">
        <v>105</v>
      </c>
      <c r="EQ69">
        <v>131072</v>
      </c>
      <c r="ER69">
        <v>225.83</v>
      </c>
      <c r="ES69">
        <v>80.400000000000006</v>
      </c>
      <c r="ET69">
        <v>0</v>
      </c>
      <c r="EU69">
        <v>0</v>
      </c>
      <c r="EV69">
        <v>145.43</v>
      </c>
      <c r="EW69">
        <v>16.64</v>
      </c>
      <c r="EX69">
        <v>0</v>
      </c>
      <c r="EY69">
        <v>0</v>
      </c>
      <c r="FQ69">
        <v>0</v>
      </c>
      <c r="FR69">
        <f t="shared" si="96"/>
        <v>0</v>
      </c>
      <c r="FS69">
        <v>0</v>
      </c>
      <c r="FT69" t="s">
        <v>23</v>
      </c>
      <c r="FU69" t="s">
        <v>24</v>
      </c>
      <c r="FX69">
        <v>110.7</v>
      </c>
      <c r="FY69">
        <v>63.75</v>
      </c>
      <c r="GA69" t="s">
        <v>6</v>
      </c>
      <c r="GD69">
        <v>0</v>
      </c>
      <c r="GF69">
        <v>30217037</v>
      </c>
      <c r="GG69">
        <v>1</v>
      </c>
      <c r="GH69">
        <v>1</v>
      </c>
      <c r="GI69">
        <v>4</v>
      </c>
      <c r="GJ69">
        <v>0</v>
      </c>
      <c r="GK69">
        <f>ROUND(R69*(R12)/100,2)</f>
        <v>0</v>
      </c>
      <c r="GL69">
        <f t="shared" si="97"/>
        <v>0</v>
      </c>
      <c r="GM69">
        <f t="shared" si="98"/>
        <v>195.78</v>
      </c>
      <c r="GN69">
        <f t="shared" si="99"/>
        <v>195.78</v>
      </c>
      <c r="GO69">
        <f t="shared" si="100"/>
        <v>0</v>
      </c>
      <c r="GP69">
        <f t="shared" si="101"/>
        <v>0</v>
      </c>
      <c r="GR69">
        <v>0</v>
      </c>
      <c r="GS69">
        <v>0</v>
      </c>
      <c r="GT69">
        <v>0</v>
      </c>
      <c r="GU69" t="s">
        <v>6</v>
      </c>
      <c r="GV69">
        <f t="shared" si="102"/>
        <v>0</v>
      </c>
      <c r="GW69">
        <v>1</v>
      </c>
      <c r="GX69">
        <f t="shared" si="103"/>
        <v>0</v>
      </c>
      <c r="HA69">
        <v>0</v>
      </c>
      <c r="HB69">
        <v>0</v>
      </c>
      <c r="HC69">
        <f t="shared" si="104"/>
        <v>0</v>
      </c>
      <c r="IK69">
        <v>0</v>
      </c>
    </row>
    <row r="70" spans="1:245" x14ac:dyDescent="0.2">
      <c r="A70">
        <v>18</v>
      </c>
      <c r="B70">
        <v>1</v>
      </c>
      <c r="C70">
        <v>112</v>
      </c>
      <c r="E70" t="s">
        <v>218</v>
      </c>
      <c r="F70" t="s">
        <v>219</v>
      </c>
      <c r="G70" t="s">
        <v>220</v>
      </c>
      <c r="H70" t="s">
        <v>62</v>
      </c>
      <c r="I70">
        <f>I69*J70</f>
        <v>3</v>
      </c>
      <c r="J70">
        <v>55.555555555555557</v>
      </c>
      <c r="O70">
        <f t="shared" si="71"/>
        <v>629.66999999999996</v>
      </c>
      <c r="P70">
        <f t="shared" si="72"/>
        <v>629.66999999999996</v>
      </c>
      <c r="Q70">
        <f t="shared" si="73"/>
        <v>0</v>
      </c>
      <c r="R70">
        <f t="shared" si="74"/>
        <v>0</v>
      </c>
      <c r="S70">
        <f t="shared" si="75"/>
        <v>0</v>
      </c>
      <c r="T70">
        <f t="shared" si="76"/>
        <v>0</v>
      </c>
      <c r="U70">
        <f t="shared" si="77"/>
        <v>0</v>
      </c>
      <c r="V70">
        <f t="shared" si="78"/>
        <v>0</v>
      </c>
      <c r="W70">
        <f t="shared" si="79"/>
        <v>0</v>
      </c>
      <c r="X70">
        <f t="shared" si="80"/>
        <v>0</v>
      </c>
      <c r="Y70">
        <f t="shared" si="81"/>
        <v>0</v>
      </c>
      <c r="AA70">
        <v>16812721</v>
      </c>
      <c r="AB70">
        <f t="shared" si="82"/>
        <v>31.28</v>
      </c>
      <c r="AC70">
        <f t="shared" si="65"/>
        <v>31.28</v>
      </c>
      <c r="AD70">
        <f>ROUND((((ET70)-(EU70))+AE70),2)</f>
        <v>0</v>
      </c>
      <c r="AE70">
        <f t="shared" ref="AE70:AF72" si="105">ROUND((EU70),2)</f>
        <v>0</v>
      </c>
      <c r="AF70">
        <f t="shared" si="105"/>
        <v>0</v>
      </c>
      <c r="AG70">
        <f t="shared" si="83"/>
        <v>0</v>
      </c>
      <c r="AH70">
        <f t="shared" ref="AH70:AI72" si="106">(EW70)</f>
        <v>0</v>
      </c>
      <c r="AI70">
        <f t="shared" si="106"/>
        <v>0</v>
      </c>
      <c r="AJ70">
        <f t="shared" si="84"/>
        <v>0</v>
      </c>
      <c r="AK70">
        <v>31.28</v>
      </c>
      <c r="AL70">
        <v>31.28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111</v>
      </c>
      <c r="AU70">
        <v>64</v>
      </c>
      <c r="AV70">
        <v>1</v>
      </c>
      <c r="AW70">
        <v>1</v>
      </c>
      <c r="AZ70">
        <v>6.71</v>
      </c>
      <c r="BA70">
        <v>1</v>
      </c>
      <c r="BB70">
        <v>1</v>
      </c>
      <c r="BC70">
        <v>6.71</v>
      </c>
      <c r="BD70" t="s">
        <v>6</v>
      </c>
      <c r="BE70" t="s">
        <v>6</v>
      </c>
      <c r="BF70" t="s">
        <v>6</v>
      </c>
      <c r="BG70" t="s">
        <v>6</v>
      </c>
      <c r="BH70">
        <v>3</v>
      </c>
      <c r="BI70">
        <v>1</v>
      </c>
      <c r="BJ70" t="s">
        <v>221</v>
      </c>
      <c r="BM70">
        <v>11001</v>
      </c>
      <c r="BN70">
        <v>0</v>
      </c>
      <c r="BO70" t="s">
        <v>6</v>
      </c>
      <c r="BP70">
        <v>0</v>
      </c>
      <c r="BQ70">
        <v>2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6</v>
      </c>
      <c r="BZ70">
        <v>123</v>
      </c>
      <c r="CA70">
        <v>75</v>
      </c>
      <c r="CE70">
        <v>0</v>
      </c>
      <c r="CF70">
        <v>0</v>
      </c>
      <c r="CG70">
        <v>0</v>
      </c>
      <c r="CM70">
        <v>0</v>
      </c>
      <c r="CN70" t="s">
        <v>6</v>
      </c>
      <c r="CO70">
        <v>0</v>
      </c>
      <c r="CP70">
        <f t="shared" si="85"/>
        <v>629.66999999999996</v>
      </c>
      <c r="CQ70">
        <f t="shared" si="86"/>
        <v>209.8888</v>
      </c>
      <c r="CR70">
        <f t="shared" si="87"/>
        <v>0</v>
      </c>
      <c r="CS70">
        <f t="shared" si="88"/>
        <v>0</v>
      </c>
      <c r="CT70">
        <f t="shared" si="89"/>
        <v>0</v>
      </c>
      <c r="CU70">
        <f t="shared" si="90"/>
        <v>0</v>
      </c>
      <c r="CV70">
        <f t="shared" si="91"/>
        <v>0</v>
      </c>
      <c r="CW70">
        <f t="shared" si="92"/>
        <v>0</v>
      </c>
      <c r="CX70">
        <f t="shared" si="93"/>
        <v>0</v>
      </c>
      <c r="CY70">
        <f t="shared" si="94"/>
        <v>0</v>
      </c>
      <c r="CZ70">
        <f t="shared" si="95"/>
        <v>0</v>
      </c>
      <c r="DC70" t="s">
        <v>6</v>
      </c>
      <c r="DD70" t="s">
        <v>6</v>
      </c>
      <c r="DE70" t="s">
        <v>6</v>
      </c>
      <c r="DF70" t="s">
        <v>6</v>
      </c>
      <c r="DG70" t="s">
        <v>6</v>
      </c>
      <c r="DH70" t="s">
        <v>6</v>
      </c>
      <c r="DI70" t="s">
        <v>6</v>
      </c>
      <c r="DJ70" t="s">
        <v>6</v>
      </c>
      <c r="DK70" t="s">
        <v>6</v>
      </c>
      <c r="DL70" t="s">
        <v>6</v>
      </c>
      <c r="DM70" t="s">
        <v>6</v>
      </c>
      <c r="DN70">
        <v>0</v>
      </c>
      <c r="DO70">
        <v>0</v>
      </c>
      <c r="DP70">
        <v>1</v>
      </c>
      <c r="DQ70">
        <v>1</v>
      </c>
      <c r="DU70">
        <v>1010</v>
      </c>
      <c r="DV70" t="s">
        <v>62</v>
      </c>
      <c r="DW70" t="s">
        <v>62</v>
      </c>
      <c r="DX70">
        <v>1</v>
      </c>
      <c r="EE70">
        <v>16510488</v>
      </c>
      <c r="EF70">
        <v>2</v>
      </c>
      <c r="EG70" t="s">
        <v>20</v>
      </c>
      <c r="EH70">
        <v>0</v>
      </c>
      <c r="EI70" t="s">
        <v>6</v>
      </c>
      <c r="EJ70">
        <v>1</v>
      </c>
      <c r="EK70">
        <v>11001</v>
      </c>
      <c r="EL70" t="s">
        <v>42</v>
      </c>
      <c r="EM70" t="s">
        <v>151</v>
      </c>
      <c r="EO70" t="s">
        <v>6</v>
      </c>
      <c r="EQ70">
        <v>0</v>
      </c>
      <c r="ER70">
        <v>31.28</v>
      </c>
      <c r="ES70">
        <v>31.28</v>
      </c>
      <c r="ET70">
        <v>0</v>
      </c>
      <c r="EU70">
        <v>0</v>
      </c>
      <c r="EV70">
        <v>0</v>
      </c>
      <c r="EW70">
        <v>0</v>
      </c>
      <c r="EX70">
        <v>0</v>
      </c>
      <c r="FQ70">
        <v>0</v>
      </c>
      <c r="FR70">
        <f t="shared" si="96"/>
        <v>0</v>
      </c>
      <c r="FS70">
        <v>0</v>
      </c>
      <c r="FT70" t="s">
        <v>23</v>
      </c>
      <c r="FU70" t="s">
        <v>24</v>
      </c>
      <c r="FX70">
        <v>110.7</v>
      </c>
      <c r="FY70">
        <v>63.75</v>
      </c>
      <c r="GA70" t="s">
        <v>6</v>
      </c>
      <c r="GD70">
        <v>0</v>
      </c>
      <c r="GF70">
        <v>577992781</v>
      </c>
      <c r="GG70">
        <v>1</v>
      </c>
      <c r="GH70">
        <v>1</v>
      </c>
      <c r="GI70">
        <v>4</v>
      </c>
      <c r="GJ70">
        <v>0</v>
      </c>
      <c r="GK70">
        <f>ROUND(R70*(R12)/100,2)</f>
        <v>0</v>
      </c>
      <c r="GL70">
        <f t="shared" si="97"/>
        <v>0</v>
      </c>
      <c r="GM70">
        <f t="shared" si="98"/>
        <v>629.66999999999996</v>
      </c>
      <c r="GN70">
        <f t="shared" si="99"/>
        <v>629.66999999999996</v>
      </c>
      <c r="GO70">
        <f t="shared" si="100"/>
        <v>0</v>
      </c>
      <c r="GP70">
        <f t="shared" si="101"/>
        <v>0</v>
      </c>
      <c r="GR70">
        <v>0</v>
      </c>
      <c r="GS70">
        <v>0</v>
      </c>
      <c r="GT70">
        <v>0</v>
      </c>
      <c r="GU70" t="s">
        <v>6</v>
      </c>
      <c r="GV70">
        <f t="shared" si="102"/>
        <v>0</v>
      </c>
      <c r="GW70">
        <v>1</v>
      </c>
      <c r="GX70">
        <f t="shared" si="103"/>
        <v>0</v>
      </c>
      <c r="HA70">
        <v>0</v>
      </c>
      <c r="HB70">
        <v>0</v>
      </c>
      <c r="HC70">
        <f t="shared" si="104"/>
        <v>0</v>
      </c>
      <c r="IK70">
        <v>0</v>
      </c>
    </row>
    <row r="71" spans="1:245" x14ac:dyDescent="0.2">
      <c r="A71">
        <v>18</v>
      </c>
      <c r="B71">
        <v>1</v>
      </c>
      <c r="C71">
        <v>111</v>
      </c>
      <c r="E71" t="s">
        <v>222</v>
      </c>
      <c r="F71" t="s">
        <v>223</v>
      </c>
      <c r="G71" t="s">
        <v>224</v>
      </c>
      <c r="H71" t="s">
        <v>62</v>
      </c>
      <c r="I71">
        <f>I69*J71</f>
        <v>1</v>
      </c>
      <c r="J71">
        <v>18.518518518518519</v>
      </c>
      <c r="O71">
        <f t="shared" si="71"/>
        <v>101.12</v>
      </c>
      <c r="P71">
        <f t="shared" si="72"/>
        <v>101.12</v>
      </c>
      <c r="Q71">
        <f t="shared" si="73"/>
        <v>0</v>
      </c>
      <c r="R71">
        <f t="shared" si="74"/>
        <v>0</v>
      </c>
      <c r="S71">
        <f t="shared" si="75"/>
        <v>0</v>
      </c>
      <c r="T71">
        <f t="shared" si="76"/>
        <v>0</v>
      </c>
      <c r="U71">
        <f t="shared" si="77"/>
        <v>0</v>
      </c>
      <c r="V71">
        <f t="shared" si="78"/>
        <v>0</v>
      </c>
      <c r="W71">
        <f t="shared" si="79"/>
        <v>0</v>
      </c>
      <c r="X71">
        <f t="shared" si="80"/>
        <v>0</v>
      </c>
      <c r="Y71">
        <f t="shared" si="81"/>
        <v>0</v>
      </c>
      <c r="AA71">
        <v>16812721</v>
      </c>
      <c r="AB71">
        <f t="shared" si="82"/>
        <v>15.07</v>
      </c>
      <c r="AC71">
        <f t="shared" si="65"/>
        <v>15.07</v>
      </c>
      <c r="AD71">
        <f>ROUND((((ET71)-(EU71))+AE71),2)</f>
        <v>0</v>
      </c>
      <c r="AE71">
        <f t="shared" si="105"/>
        <v>0</v>
      </c>
      <c r="AF71">
        <f t="shared" si="105"/>
        <v>0</v>
      </c>
      <c r="AG71">
        <f t="shared" si="83"/>
        <v>0</v>
      </c>
      <c r="AH71">
        <f t="shared" si="106"/>
        <v>0</v>
      </c>
      <c r="AI71">
        <f t="shared" si="106"/>
        <v>0</v>
      </c>
      <c r="AJ71">
        <f t="shared" si="84"/>
        <v>0</v>
      </c>
      <c r="AK71">
        <v>15.07</v>
      </c>
      <c r="AL71">
        <v>15.07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111</v>
      </c>
      <c r="AU71">
        <v>64</v>
      </c>
      <c r="AV71">
        <v>1</v>
      </c>
      <c r="AW71">
        <v>1</v>
      </c>
      <c r="AZ71">
        <v>6.71</v>
      </c>
      <c r="BA71">
        <v>1</v>
      </c>
      <c r="BB71">
        <v>1</v>
      </c>
      <c r="BC71">
        <v>6.71</v>
      </c>
      <c r="BD71" t="s">
        <v>6</v>
      </c>
      <c r="BE71" t="s">
        <v>6</v>
      </c>
      <c r="BF71" t="s">
        <v>6</v>
      </c>
      <c r="BG71" t="s">
        <v>6</v>
      </c>
      <c r="BH71">
        <v>3</v>
      </c>
      <c r="BI71">
        <v>1</v>
      </c>
      <c r="BJ71" t="s">
        <v>225</v>
      </c>
      <c r="BM71">
        <v>11001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123</v>
      </c>
      <c r="CA71">
        <v>75</v>
      </c>
      <c r="CE71">
        <v>0</v>
      </c>
      <c r="CF71">
        <v>0</v>
      </c>
      <c r="CG71">
        <v>0</v>
      </c>
      <c r="CM71">
        <v>0</v>
      </c>
      <c r="CN71" t="s">
        <v>6</v>
      </c>
      <c r="CO71">
        <v>0</v>
      </c>
      <c r="CP71">
        <f t="shared" si="85"/>
        <v>101.12</v>
      </c>
      <c r="CQ71">
        <f t="shared" si="86"/>
        <v>101.11969999999999</v>
      </c>
      <c r="CR71">
        <f t="shared" si="87"/>
        <v>0</v>
      </c>
      <c r="CS71">
        <f t="shared" si="88"/>
        <v>0</v>
      </c>
      <c r="CT71">
        <f t="shared" si="89"/>
        <v>0</v>
      </c>
      <c r="CU71">
        <f t="shared" si="90"/>
        <v>0</v>
      </c>
      <c r="CV71">
        <f t="shared" si="91"/>
        <v>0</v>
      </c>
      <c r="CW71">
        <f t="shared" si="92"/>
        <v>0</v>
      </c>
      <c r="CX71">
        <f t="shared" si="93"/>
        <v>0</v>
      </c>
      <c r="CY71">
        <f t="shared" si="94"/>
        <v>0</v>
      </c>
      <c r="CZ71">
        <f t="shared" si="95"/>
        <v>0</v>
      </c>
      <c r="DC71" t="s">
        <v>6</v>
      </c>
      <c r="DD71" t="s">
        <v>6</v>
      </c>
      <c r="DE71" t="s">
        <v>6</v>
      </c>
      <c r="DF71" t="s">
        <v>6</v>
      </c>
      <c r="DG71" t="s">
        <v>6</v>
      </c>
      <c r="DH71" t="s">
        <v>6</v>
      </c>
      <c r="DI71" t="s">
        <v>6</v>
      </c>
      <c r="DJ71" t="s">
        <v>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1010</v>
      </c>
      <c r="DV71" t="s">
        <v>62</v>
      </c>
      <c r="DW71" t="s">
        <v>62</v>
      </c>
      <c r="DX71">
        <v>1</v>
      </c>
      <c r="EE71">
        <v>16510488</v>
      </c>
      <c r="EF71">
        <v>2</v>
      </c>
      <c r="EG71" t="s">
        <v>20</v>
      </c>
      <c r="EH71">
        <v>0</v>
      </c>
      <c r="EI71" t="s">
        <v>6</v>
      </c>
      <c r="EJ71">
        <v>1</v>
      </c>
      <c r="EK71">
        <v>11001</v>
      </c>
      <c r="EL71" t="s">
        <v>42</v>
      </c>
      <c r="EM71" t="s">
        <v>151</v>
      </c>
      <c r="EO71" t="s">
        <v>6</v>
      </c>
      <c r="EQ71">
        <v>0</v>
      </c>
      <c r="ER71">
        <v>15.07</v>
      </c>
      <c r="ES71">
        <v>15.07</v>
      </c>
      <c r="ET71">
        <v>0</v>
      </c>
      <c r="EU71">
        <v>0</v>
      </c>
      <c r="EV71">
        <v>0</v>
      </c>
      <c r="EW71">
        <v>0</v>
      </c>
      <c r="EX71">
        <v>0</v>
      </c>
      <c r="FQ71">
        <v>0</v>
      </c>
      <c r="FR71">
        <f t="shared" si="96"/>
        <v>0</v>
      </c>
      <c r="FS71">
        <v>0</v>
      </c>
      <c r="FT71" t="s">
        <v>23</v>
      </c>
      <c r="FU71" t="s">
        <v>24</v>
      </c>
      <c r="FX71">
        <v>110.7</v>
      </c>
      <c r="FY71">
        <v>63.75</v>
      </c>
      <c r="GA71" t="s">
        <v>6</v>
      </c>
      <c r="GD71">
        <v>0</v>
      </c>
      <c r="GF71">
        <v>-1858633972</v>
      </c>
      <c r="GG71">
        <v>1</v>
      </c>
      <c r="GH71">
        <v>1</v>
      </c>
      <c r="GI71">
        <v>4</v>
      </c>
      <c r="GJ71">
        <v>0</v>
      </c>
      <c r="GK71">
        <f>ROUND(R71*(R12)/100,2)</f>
        <v>0</v>
      </c>
      <c r="GL71">
        <f t="shared" si="97"/>
        <v>0</v>
      </c>
      <c r="GM71">
        <f t="shared" si="98"/>
        <v>101.12</v>
      </c>
      <c r="GN71">
        <f t="shared" si="99"/>
        <v>101.12</v>
      </c>
      <c r="GO71">
        <f t="shared" si="100"/>
        <v>0</v>
      </c>
      <c r="GP71">
        <f t="shared" si="101"/>
        <v>0</v>
      </c>
      <c r="GR71">
        <v>0</v>
      </c>
      <c r="GS71">
        <v>0</v>
      </c>
      <c r="GT71">
        <v>0</v>
      </c>
      <c r="GU71" t="s">
        <v>6</v>
      </c>
      <c r="GV71">
        <f t="shared" si="102"/>
        <v>0</v>
      </c>
      <c r="GW71">
        <v>1</v>
      </c>
      <c r="GX71">
        <f t="shared" si="103"/>
        <v>0</v>
      </c>
      <c r="HA71">
        <v>0</v>
      </c>
      <c r="HB71">
        <v>0</v>
      </c>
      <c r="HC71">
        <f t="shared" si="104"/>
        <v>0</v>
      </c>
      <c r="IK71">
        <v>0</v>
      </c>
    </row>
    <row r="72" spans="1:245" x14ac:dyDescent="0.2">
      <c r="A72">
        <v>18</v>
      </c>
      <c r="B72">
        <v>1</v>
      </c>
      <c r="C72">
        <v>110</v>
      </c>
      <c r="E72" t="s">
        <v>226</v>
      </c>
      <c r="F72" t="s">
        <v>227</v>
      </c>
      <c r="G72" t="s">
        <v>228</v>
      </c>
      <c r="H72" t="s">
        <v>177</v>
      </c>
      <c r="I72">
        <f>I69*J72</f>
        <v>5.67</v>
      </c>
      <c r="J72">
        <v>105</v>
      </c>
      <c r="O72">
        <f t="shared" si="71"/>
        <v>0</v>
      </c>
      <c r="P72">
        <f t="shared" si="72"/>
        <v>0</v>
      </c>
      <c r="Q72">
        <f t="shared" si="73"/>
        <v>0</v>
      </c>
      <c r="R72">
        <f t="shared" si="74"/>
        <v>0</v>
      </c>
      <c r="S72">
        <f t="shared" si="75"/>
        <v>0</v>
      </c>
      <c r="T72">
        <f t="shared" si="76"/>
        <v>0</v>
      </c>
      <c r="U72">
        <f t="shared" si="77"/>
        <v>0</v>
      </c>
      <c r="V72">
        <f t="shared" si="78"/>
        <v>0</v>
      </c>
      <c r="W72">
        <f t="shared" si="79"/>
        <v>0</v>
      </c>
      <c r="X72">
        <f t="shared" si="80"/>
        <v>0</v>
      </c>
      <c r="Y72">
        <f t="shared" si="81"/>
        <v>0</v>
      </c>
      <c r="AA72">
        <v>16812721</v>
      </c>
      <c r="AB72">
        <f t="shared" si="82"/>
        <v>0</v>
      </c>
      <c r="AC72">
        <f t="shared" si="65"/>
        <v>0</v>
      </c>
      <c r="AD72">
        <f>ROUND((((ET72)-(EU72))+AE72),2)</f>
        <v>0</v>
      </c>
      <c r="AE72">
        <f t="shared" si="105"/>
        <v>0</v>
      </c>
      <c r="AF72">
        <f t="shared" si="105"/>
        <v>0</v>
      </c>
      <c r="AG72">
        <f t="shared" si="83"/>
        <v>0</v>
      </c>
      <c r="AH72">
        <f t="shared" si="106"/>
        <v>0</v>
      </c>
      <c r="AI72">
        <f t="shared" si="106"/>
        <v>0</v>
      </c>
      <c r="AJ72">
        <f t="shared" si="84"/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111</v>
      </c>
      <c r="AU72">
        <v>64</v>
      </c>
      <c r="AV72">
        <v>1</v>
      </c>
      <c r="AW72">
        <v>1</v>
      </c>
      <c r="AZ72">
        <v>6.71</v>
      </c>
      <c r="BA72">
        <v>1</v>
      </c>
      <c r="BB72">
        <v>1</v>
      </c>
      <c r="BC72">
        <v>6.71</v>
      </c>
      <c r="BD72" t="s">
        <v>6</v>
      </c>
      <c r="BE72" t="s">
        <v>6</v>
      </c>
      <c r="BF72" t="s">
        <v>6</v>
      </c>
      <c r="BG72" t="s">
        <v>6</v>
      </c>
      <c r="BH72">
        <v>3</v>
      </c>
      <c r="BI72">
        <v>1</v>
      </c>
      <c r="BJ72" t="s">
        <v>6</v>
      </c>
      <c r="BM72">
        <v>11001</v>
      </c>
      <c r="BN72">
        <v>0</v>
      </c>
      <c r="BO72" t="s">
        <v>6</v>
      </c>
      <c r="BP72">
        <v>0</v>
      </c>
      <c r="BQ72">
        <v>2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6</v>
      </c>
      <c r="BZ72">
        <v>123</v>
      </c>
      <c r="CA72">
        <v>75</v>
      </c>
      <c r="CE72">
        <v>0</v>
      </c>
      <c r="CF72">
        <v>0</v>
      </c>
      <c r="CG72">
        <v>0</v>
      </c>
      <c r="CM72">
        <v>0</v>
      </c>
      <c r="CN72" t="s">
        <v>6</v>
      </c>
      <c r="CO72">
        <v>0</v>
      </c>
      <c r="CP72">
        <f t="shared" si="85"/>
        <v>0</v>
      </c>
      <c r="CQ72">
        <f t="shared" si="86"/>
        <v>0</v>
      </c>
      <c r="CR72">
        <f t="shared" si="87"/>
        <v>0</v>
      </c>
      <c r="CS72">
        <f t="shared" si="88"/>
        <v>0</v>
      </c>
      <c r="CT72">
        <f t="shared" si="89"/>
        <v>0</v>
      </c>
      <c r="CU72">
        <f t="shared" si="90"/>
        <v>0</v>
      </c>
      <c r="CV72">
        <f t="shared" si="91"/>
        <v>0</v>
      </c>
      <c r="CW72">
        <f t="shared" si="92"/>
        <v>0</v>
      </c>
      <c r="CX72">
        <f t="shared" si="93"/>
        <v>0</v>
      </c>
      <c r="CY72">
        <f t="shared" si="94"/>
        <v>0</v>
      </c>
      <c r="CZ72">
        <f t="shared" si="95"/>
        <v>0</v>
      </c>
      <c r="DC72" t="s">
        <v>6</v>
      </c>
      <c r="DD72" t="s">
        <v>6</v>
      </c>
      <c r="DE72" t="s">
        <v>6</v>
      </c>
      <c r="DF72" t="s">
        <v>6</v>
      </c>
      <c r="DG72" t="s">
        <v>6</v>
      </c>
      <c r="DH72" t="s">
        <v>6</v>
      </c>
      <c r="DI72" t="s">
        <v>6</v>
      </c>
      <c r="DJ72" t="s">
        <v>6</v>
      </c>
      <c r="DK72" t="s">
        <v>6</v>
      </c>
      <c r="DL72" t="s">
        <v>6</v>
      </c>
      <c r="DM72" t="s">
        <v>6</v>
      </c>
      <c r="DN72">
        <v>0</v>
      </c>
      <c r="DO72">
        <v>0</v>
      </c>
      <c r="DP72">
        <v>1</v>
      </c>
      <c r="DQ72">
        <v>1</v>
      </c>
      <c r="DU72">
        <v>1003</v>
      </c>
      <c r="DV72" t="s">
        <v>177</v>
      </c>
      <c r="DW72" t="s">
        <v>177</v>
      </c>
      <c r="DX72">
        <v>1</v>
      </c>
      <c r="EE72">
        <v>16510488</v>
      </c>
      <c r="EF72">
        <v>2</v>
      </c>
      <c r="EG72" t="s">
        <v>20</v>
      </c>
      <c r="EH72">
        <v>0</v>
      </c>
      <c r="EI72" t="s">
        <v>6</v>
      </c>
      <c r="EJ72">
        <v>1</v>
      </c>
      <c r="EK72">
        <v>11001</v>
      </c>
      <c r="EL72" t="s">
        <v>42</v>
      </c>
      <c r="EM72" t="s">
        <v>151</v>
      </c>
      <c r="EO72" t="s">
        <v>6</v>
      </c>
      <c r="EQ72">
        <v>0</v>
      </c>
      <c r="ER72">
        <v>0</v>
      </c>
      <c r="ES72">
        <v>0</v>
      </c>
      <c r="ET72">
        <v>0</v>
      </c>
      <c r="EU72">
        <v>0</v>
      </c>
      <c r="EV72">
        <v>0</v>
      </c>
      <c r="EW72">
        <v>0</v>
      </c>
      <c r="EX72">
        <v>0</v>
      </c>
      <c r="FQ72">
        <v>0</v>
      </c>
      <c r="FR72">
        <f t="shared" si="96"/>
        <v>0</v>
      </c>
      <c r="FS72">
        <v>0</v>
      </c>
      <c r="FT72" t="s">
        <v>23</v>
      </c>
      <c r="FU72" t="s">
        <v>24</v>
      </c>
      <c r="FX72">
        <v>110.7</v>
      </c>
      <c r="FY72">
        <v>63.75</v>
      </c>
      <c r="GA72" t="s">
        <v>6</v>
      </c>
      <c r="GD72">
        <v>0</v>
      </c>
      <c r="GF72">
        <v>2101938969</v>
      </c>
      <c r="GG72">
        <v>1</v>
      </c>
      <c r="GH72">
        <v>1</v>
      </c>
      <c r="GI72">
        <v>4</v>
      </c>
      <c r="GJ72">
        <v>0</v>
      </c>
      <c r="GK72">
        <f>ROUND(R72*(R12)/100,2)</f>
        <v>0</v>
      </c>
      <c r="GL72">
        <f t="shared" si="97"/>
        <v>0</v>
      </c>
      <c r="GM72">
        <f t="shared" si="98"/>
        <v>0</v>
      </c>
      <c r="GN72">
        <f t="shared" si="99"/>
        <v>0</v>
      </c>
      <c r="GO72">
        <f t="shared" si="100"/>
        <v>0</v>
      </c>
      <c r="GP72">
        <f t="shared" si="101"/>
        <v>0</v>
      </c>
      <c r="GR72">
        <v>0</v>
      </c>
      <c r="GS72">
        <v>3</v>
      </c>
      <c r="GT72">
        <v>0</v>
      </c>
      <c r="GU72" t="s">
        <v>6</v>
      </c>
      <c r="GV72">
        <f t="shared" si="102"/>
        <v>0</v>
      </c>
      <c r="GW72">
        <v>1</v>
      </c>
      <c r="GX72">
        <f t="shared" si="103"/>
        <v>0</v>
      </c>
      <c r="HA72">
        <v>0</v>
      </c>
      <c r="HB72">
        <v>0</v>
      </c>
      <c r="HC72">
        <f t="shared" si="104"/>
        <v>0</v>
      </c>
      <c r="IK72">
        <v>0</v>
      </c>
    </row>
    <row r="73" spans="1:245" x14ac:dyDescent="0.2">
      <c r="A73">
        <v>17</v>
      </c>
      <c r="B73">
        <v>1</v>
      </c>
      <c r="C73">
        <f>ROW(SmtRes!A117)</f>
        <v>117</v>
      </c>
      <c r="D73">
        <f>ROW(EtalonRes!A120)</f>
        <v>120</v>
      </c>
      <c r="E73" t="s">
        <v>229</v>
      </c>
      <c r="F73" t="s">
        <v>230</v>
      </c>
      <c r="G73" t="s">
        <v>231</v>
      </c>
      <c r="H73" t="s">
        <v>18</v>
      </c>
      <c r="I73">
        <f>ROUND(131.9/100,9)</f>
        <v>1.319</v>
      </c>
      <c r="J73">
        <v>0</v>
      </c>
      <c r="O73">
        <f t="shared" si="71"/>
        <v>60615.94</v>
      </c>
      <c r="P73">
        <f t="shared" si="72"/>
        <v>47220.9</v>
      </c>
      <c r="Q73">
        <f t="shared" si="73"/>
        <v>3592.33</v>
      </c>
      <c r="R73">
        <f t="shared" si="74"/>
        <v>701.31</v>
      </c>
      <c r="S73">
        <f t="shared" si="75"/>
        <v>9802.7099999999991</v>
      </c>
      <c r="T73">
        <f t="shared" si="76"/>
        <v>0</v>
      </c>
      <c r="U73">
        <f t="shared" si="77"/>
        <v>155.41645099999997</v>
      </c>
      <c r="V73">
        <f t="shared" si="78"/>
        <v>8.8043249999999986</v>
      </c>
      <c r="W73">
        <f t="shared" si="79"/>
        <v>0</v>
      </c>
      <c r="X73">
        <f t="shared" si="80"/>
        <v>9978.82</v>
      </c>
      <c r="Y73">
        <f t="shared" si="81"/>
        <v>4936.8900000000003</v>
      </c>
      <c r="AA73">
        <v>16812721</v>
      </c>
      <c r="AB73">
        <f t="shared" si="82"/>
        <v>6848.88</v>
      </c>
      <c r="AC73">
        <f t="shared" si="65"/>
        <v>5335.4</v>
      </c>
      <c r="AD73">
        <f>ROUND(((((ET73*1.25))-((EU73*1.25)))+AE73),2)</f>
        <v>405.89</v>
      </c>
      <c r="AE73">
        <f>ROUND(((EU73*1.25)),2)</f>
        <v>79.239999999999995</v>
      </c>
      <c r="AF73">
        <f>ROUND(((EV73*1.15)),2)</f>
        <v>1107.5899999999999</v>
      </c>
      <c r="AG73">
        <f t="shared" si="83"/>
        <v>0</v>
      </c>
      <c r="AH73">
        <f>((EW73*1.15))</f>
        <v>117.82899999999998</v>
      </c>
      <c r="AI73">
        <f>((EX73*1.25))</f>
        <v>6.6749999999999998</v>
      </c>
      <c r="AJ73">
        <f t="shared" si="84"/>
        <v>0</v>
      </c>
      <c r="AK73">
        <v>6623.23</v>
      </c>
      <c r="AL73">
        <v>5335.4</v>
      </c>
      <c r="AM73">
        <v>324.70999999999998</v>
      </c>
      <c r="AN73">
        <v>63.39</v>
      </c>
      <c r="AO73">
        <v>963.12</v>
      </c>
      <c r="AP73">
        <v>0</v>
      </c>
      <c r="AQ73">
        <v>102.46</v>
      </c>
      <c r="AR73">
        <v>5.34</v>
      </c>
      <c r="AS73">
        <v>0</v>
      </c>
      <c r="AT73">
        <v>95</v>
      </c>
      <c r="AU73">
        <v>47</v>
      </c>
      <c r="AV73">
        <v>1</v>
      </c>
      <c r="AW73">
        <v>1</v>
      </c>
      <c r="AZ73">
        <v>6.71</v>
      </c>
      <c r="BA73">
        <v>6.71</v>
      </c>
      <c r="BB73">
        <v>6.71</v>
      </c>
      <c r="BC73">
        <v>6.71</v>
      </c>
      <c r="BD73" t="s">
        <v>6</v>
      </c>
      <c r="BE73" t="s">
        <v>6</v>
      </c>
      <c r="BF73" t="s">
        <v>6</v>
      </c>
      <c r="BG73" t="s">
        <v>6</v>
      </c>
      <c r="BH73">
        <v>0</v>
      </c>
      <c r="BI73">
        <v>1</v>
      </c>
      <c r="BJ73" t="s">
        <v>232</v>
      </c>
      <c r="BM73">
        <v>15001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6.71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105</v>
      </c>
      <c r="CA73">
        <v>55</v>
      </c>
      <c r="CE73">
        <v>0</v>
      </c>
      <c r="CF73">
        <v>0</v>
      </c>
      <c r="CG73">
        <v>0</v>
      </c>
      <c r="CM73">
        <v>0</v>
      </c>
      <c r="CN73" t="s">
        <v>1138</v>
      </c>
      <c r="CO73">
        <v>0</v>
      </c>
      <c r="CP73">
        <f t="shared" si="85"/>
        <v>60615.94</v>
      </c>
      <c r="CQ73">
        <f t="shared" si="86"/>
        <v>35800.534</v>
      </c>
      <c r="CR73">
        <f t="shared" si="87"/>
        <v>2723.5218999999997</v>
      </c>
      <c r="CS73">
        <f t="shared" si="88"/>
        <v>531.70039999999995</v>
      </c>
      <c r="CT73">
        <f t="shared" si="89"/>
        <v>7431.928899999999</v>
      </c>
      <c r="CU73">
        <f t="shared" si="90"/>
        <v>0</v>
      </c>
      <c r="CV73">
        <f t="shared" si="91"/>
        <v>117.82899999999998</v>
      </c>
      <c r="CW73">
        <f t="shared" si="92"/>
        <v>6.6749999999999998</v>
      </c>
      <c r="CX73">
        <f t="shared" si="93"/>
        <v>0</v>
      </c>
      <c r="CY73">
        <f t="shared" si="94"/>
        <v>9978.8189999999995</v>
      </c>
      <c r="CZ73">
        <f t="shared" si="95"/>
        <v>4936.8893999999991</v>
      </c>
      <c r="DC73" t="s">
        <v>6</v>
      </c>
      <c r="DD73" t="s">
        <v>6</v>
      </c>
      <c r="DE73" t="s">
        <v>103</v>
      </c>
      <c r="DF73" t="s">
        <v>103</v>
      </c>
      <c r="DG73" t="s">
        <v>104</v>
      </c>
      <c r="DH73" t="s">
        <v>6</v>
      </c>
      <c r="DI73" t="s">
        <v>104</v>
      </c>
      <c r="DJ73" t="s">
        <v>103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1005</v>
      </c>
      <c r="DV73" t="s">
        <v>18</v>
      </c>
      <c r="DW73" t="s">
        <v>18</v>
      </c>
      <c r="DX73">
        <v>100</v>
      </c>
      <c r="EE73">
        <v>16510513</v>
      </c>
      <c r="EF73">
        <v>2</v>
      </c>
      <c r="EG73" t="s">
        <v>20</v>
      </c>
      <c r="EH73">
        <v>0</v>
      </c>
      <c r="EI73" t="s">
        <v>6</v>
      </c>
      <c r="EJ73">
        <v>1</v>
      </c>
      <c r="EK73">
        <v>15001</v>
      </c>
      <c r="EL73" t="s">
        <v>84</v>
      </c>
      <c r="EM73" t="s">
        <v>85</v>
      </c>
      <c r="EO73" t="s">
        <v>105</v>
      </c>
      <c r="EQ73">
        <v>131072</v>
      </c>
      <c r="ER73">
        <v>6623.23</v>
      </c>
      <c r="ES73">
        <v>5335.4</v>
      </c>
      <c r="ET73">
        <v>324.70999999999998</v>
      </c>
      <c r="EU73">
        <v>63.39</v>
      </c>
      <c r="EV73">
        <v>963.12</v>
      </c>
      <c r="EW73">
        <v>102.46</v>
      </c>
      <c r="EX73">
        <v>5.34</v>
      </c>
      <c r="EY73">
        <v>0</v>
      </c>
      <c r="FQ73">
        <v>0</v>
      </c>
      <c r="FR73">
        <f t="shared" si="96"/>
        <v>0</v>
      </c>
      <c r="FS73">
        <v>0</v>
      </c>
      <c r="FT73" t="s">
        <v>23</v>
      </c>
      <c r="FU73" t="s">
        <v>24</v>
      </c>
      <c r="FX73">
        <v>94.5</v>
      </c>
      <c r="FY73">
        <v>46.75</v>
      </c>
      <c r="GA73" t="s">
        <v>6</v>
      </c>
      <c r="GD73">
        <v>0</v>
      </c>
      <c r="GF73">
        <v>-59192285</v>
      </c>
      <c r="GG73">
        <v>1</v>
      </c>
      <c r="GH73">
        <v>1</v>
      </c>
      <c r="GI73">
        <v>4</v>
      </c>
      <c r="GJ73">
        <v>0</v>
      </c>
      <c r="GK73">
        <f>ROUND(R73*(R12)/100,2)</f>
        <v>0</v>
      </c>
      <c r="GL73">
        <f t="shared" si="97"/>
        <v>0</v>
      </c>
      <c r="GM73">
        <f t="shared" si="98"/>
        <v>75531.649999999994</v>
      </c>
      <c r="GN73">
        <f t="shared" si="99"/>
        <v>75531.649999999994</v>
      </c>
      <c r="GO73">
        <f t="shared" si="100"/>
        <v>0</v>
      </c>
      <c r="GP73">
        <f t="shared" si="101"/>
        <v>0</v>
      </c>
      <c r="GR73">
        <v>0</v>
      </c>
      <c r="GS73">
        <v>0</v>
      </c>
      <c r="GT73">
        <v>0</v>
      </c>
      <c r="GU73" t="s">
        <v>6</v>
      </c>
      <c r="GV73">
        <f t="shared" si="102"/>
        <v>0</v>
      </c>
      <c r="GW73">
        <v>1</v>
      </c>
      <c r="GX73">
        <f t="shared" si="103"/>
        <v>0</v>
      </c>
      <c r="HA73">
        <v>0</v>
      </c>
      <c r="HB73">
        <v>0</v>
      </c>
      <c r="HC73">
        <f t="shared" si="104"/>
        <v>0</v>
      </c>
      <c r="IK73">
        <v>0</v>
      </c>
    </row>
    <row r="74" spans="1:245" x14ac:dyDescent="0.2">
      <c r="A74">
        <v>17</v>
      </c>
      <c r="B74">
        <v>1</v>
      </c>
      <c r="C74">
        <f>ROW(SmtRes!A135)</f>
        <v>135</v>
      </c>
      <c r="D74">
        <f>ROW(EtalonRes!A135)</f>
        <v>135</v>
      </c>
      <c r="E74" t="s">
        <v>233</v>
      </c>
      <c r="F74" t="s">
        <v>234</v>
      </c>
      <c r="G74" t="s">
        <v>235</v>
      </c>
      <c r="H74" t="s">
        <v>18</v>
      </c>
      <c r="I74">
        <f>ROUND(1.5/100,9)</f>
        <v>1.4999999999999999E-2</v>
      </c>
      <c r="J74">
        <v>0</v>
      </c>
      <c r="O74">
        <f t="shared" si="71"/>
        <v>201.92</v>
      </c>
      <c r="P74">
        <f t="shared" si="72"/>
        <v>96.67</v>
      </c>
      <c r="Q74">
        <f t="shared" si="73"/>
        <v>2.37</v>
      </c>
      <c r="R74">
        <f t="shared" si="74"/>
        <v>0</v>
      </c>
      <c r="S74">
        <f t="shared" si="75"/>
        <v>102.88</v>
      </c>
      <c r="T74">
        <f t="shared" si="76"/>
        <v>0</v>
      </c>
      <c r="U74">
        <f t="shared" si="77"/>
        <v>1.6904999999999997</v>
      </c>
      <c r="V74">
        <f t="shared" si="78"/>
        <v>0</v>
      </c>
      <c r="W74">
        <f t="shared" si="79"/>
        <v>0</v>
      </c>
      <c r="X74">
        <f t="shared" si="80"/>
        <v>109.05</v>
      </c>
      <c r="Y74">
        <f t="shared" si="81"/>
        <v>55.56</v>
      </c>
      <c r="AA74">
        <v>16812721</v>
      </c>
      <c r="AB74">
        <f t="shared" si="82"/>
        <v>2006.19</v>
      </c>
      <c r="AC74">
        <f t="shared" si="65"/>
        <v>960.49</v>
      </c>
      <c r="AD74">
        <f>ROUND(((((ET74*1.25))-((EU74*1.25)))+AE74),2)</f>
        <v>23.51</v>
      </c>
      <c r="AE74">
        <f>ROUND(((EU74*1.25)),2)</f>
        <v>0</v>
      </c>
      <c r="AF74">
        <f>ROUND(((EV74*1.15)),2)</f>
        <v>1022.19</v>
      </c>
      <c r="AG74">
        <f t="shared" si="83"/>
        <v>0</v>
      </c>
      <c r="AH74">
        <f>((EW74*1.15))</f>
        <v>112.69999999999999</v>
      </c>
      <c r="AI74">
        <f>((EX74*1.25))</f>
        <v>0</v>
      </c>
      <c r="AJ74">
        <f t="shared" si="84"/>
        <v>0</v>
      </c>
      <c r="AK74">
        <v>1868.16</v>
      </c>
      <c r="AL74">
        <v>960.49</v>
      </c>
      <c r="AM74">
        <v>18.809999999999999</v>
      </c>
      <c r="AN74">
        <v>0</v>
      </c>
      <c r="AO74">
        <v>888.86</v>
      </c>
      <c r="AP74">
        <v>0</v>
      </c>
      <c r="AQ74">
        <v>98</v>
      </c>
      <c r="AR74">
        <v>0</v>
      </c>
      <c r="AS74">
        <v>0</v>
      </c>
      <c r="AT74">
        <v>106</v>
      </c>
      <c r="AU74">
        <v>54</v>
      </c>
      <c r="AV74">
        <v>1</v>
      </c>
      <c r="AW74">
        <v>1</v>
      </c>
      <c r="AZ74">
        <v>6.71</v>
      </c>
      <c r="BA74">
        <v>6.71</v>
      </c>
      <c r="BB74">
        <v>6.71</v>
      </c>
      <c r="BC74">
        <v>6.71</v>
      </c>
      <c r="BD74" t="s">
        <v>6</v>
      </c>
      <c r="BE74" t="s">
        <v>6</v>
      </c>
      <c r="BF74" t="s">
        <v>6</v>
      </c>
      <c r="BG74" t="s">
        <v>6</v>
      </c>
      <c r="BH74">
        <v>0</v>
      </c>
      <c r="BI74">
        <v>1</v>
      </c>
      <c r="BJ74" t="s">
        <v>236</v>
      </c>
      <c r="BM74">
        <v>10001</v>
      </c>
      <c r="BN74">
        <v>0</v>
      </c>
      <c r="BO74" t="s">
        <v>6</v>
      </c>
      <c r="BP74">
        <v>0</v>
      </c>
      <c r="BQ74">
        <v>2</v>
      </c>
      <c r="BR74">
        <v>0</v>
      </c>
      <c r="BS74">
        <v>6.71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6</v>
      </c>
      <c r="BZ74">
        <v>118</v>
      </c>
      <c r="CA74">
        <v>63</v>
      </c>
      <c r="CE74">
        <v>0</v>
      </c>
      <c r="CF74">
        <v>0</v>
      </c>
      <c r="CG74">
        <v>0</v>
      </c>
      <c r="CM74">
        <v>0</v>
      </c>
      <c r="CN74" t="s">
        <v>1138</v>
      </c>
      <c r="CO74">
        <v>0</v>
      </c>
      <c r="CP74">
        <f t="shared" si="85"/>
        <v>201.92000000000002</v>
      </c>
      <c r="CQ74">
        <f t="shared" si="86"/>
        <v>6444.8878999999997</v>
      </c>
      <c r="CR74">
        <f t="shared" si="87"/>
        <v>157.75210000000001</v>
      </c>
      <c r="CS74">
        <f t="shared" si="88"/>
        <v>0</v>
      </c>
      <c r="CT74">
        <f t="shared" si="89"/>
        <v>6858.8949000000002</v>
      </c>
      <c r="CU74">
        <f t="shared" si="90"/>
        <v>0</v>
      </c>
      <c r="CV74">
        <f t="shared" si="91"/>
        <v>112.69999999999999</v>
      </c>
      <c r="CW74">
        <f t="shared" si="92"/>
        <v>0</v>
      </c>
      <c r="CX74">
        <f t="shared" si="93"/>
        <v>0</v>
      </c>
      <c r="CY74">
        <f t="shared" si="94"/>
        <v>109.05279999999999</v>
      </c>
      <c r="CZ74">
        <f t="shared" si="95"/>
        <v>55.555199999999992</v>
      </c>
      <c r="DC74" t="s">
        <v>6</v>
      </c>
      <c r="DD74" t="s">
        <v>6</v>
      </c>
      <c r="DE74" t="s">
        <v>103</v>
      </c>
      <c r="DF74" t="s">
        <v>103</v>
      </c>
      <c r="DG74" t="s">
        <v>104</v>
      </c>
      <c r="DH74" t="s">
        <v>6</v>
      </c>
      <c r="DI74" t="s">
        <v>104</v>
      </c>
      <c r="DJ74" t="s">
        <v>103</v>
      </c>
      <c r="DK74" t="s">
        <v>6</v>
      </c>
      <c r="DL74" t="s">
        <v>6</v>
      </c>
      <c r="DM74" t="s">
        <v>6</v>
      </c>
      <c r="DN74">
        <v>0</v>
      </c>
      <c r="DO74">
        <v>0</v>
      </c>
      <c r="DP74">
        <v>1</v>
      </c>
      <c r="DQ74">
        <v>1</v>
      </c>
      <c r="DU74">
        <v>1005</v>
      </c>
      <c r="DV74" t="s">
        <v>18</v>
      </c>
      <c r="DW74" t="s">
        <v>18</v>
      </c>
      <c r="DX74">
        <v>100</v>
      </c>
      <c r="EE74">
        <v>16510487</v>
      </c>
      <c r="EF74">
        <v>2</v>
      </c>
      <c r="EG74" t="s">
        <v>20</v>
      </c>
      <c r="EH74">
        <v>0</v>
      </c>
      <c r="EI74" t="s">
        <v>6</v>
      </c>
      <c r="EJ74">
        <v>1</v>
      </c>
      <c r="EK74">
        <v>10001</v>
      </c>
      <c r="EL74" t="s">
        <v>122</v>
      </c>
      <c r="EM74" t="s">
        <v>123</v>
      </c>
      <c r="EO74" t="s">
        <v>105</v>
      </c>
      <c r="EQ74">
        <v>0</v>
      </c>
      <c r="ER74">
        <v>1868.16</v>
      </c>
      <c r="ES74">
        <v>960.49</v>
      </c>
      <c r="ET74">
        <v>18.809999999999999</v>
      </c>
      <c r="EU74">
        <v>0</v>
      </c>
      <c r="EV74">
        <v>888.86</v>
      </c>
      <c r="EW74">
        <v>98</v>
      </c>
      <c r="EX74">
        <v>0</v>
      </c>
      <c r="EY74">
        <v>0</v>
      </c>
      <c r="FQ74">
        <v>0</v>
      </c>
      <c r="FR74">
        <f t="shared" si="96"/>
        <v>0</v>
      </c>
      <c r="FS74">
        <v>0</v>
      </c>
      <c r="FT74" t="s">
        <v>23</v>
      </c>
      <c r="FU74" t="s">
        <v>24</v>
      </c>
      <c r="FX74">
        <v>106.2</v>
      </c>
      <c r="FY74">
        <v>53.55</v>
      </c>
      <c r="GA74" t="s">
        <v>6</v>
      </c>
      <c r="GD74">
        <v>0</v>
      </c>
      <c r="GF74">
        <v>125514936</v>
      </c>
      <c r="GG74">
        <v>1</v>
      </c>
      <c r="GH74">
        <v>1</v>
      </c>
      <c r="GI74">
        <v>4</v>
      </c>
      <c r="GJ74">
        <v>0</v>
      </c>
      <c r="GK74">
        <f>ROUND(R74*(R12)/100,2)</f>
        <v>0</v>
      </c>
      <c r="GL74">
        <f t="shared" si="97"/>
        <v>0</v>
      </c>
      <c r="GM74">
        <f t="shared" si="98"/>
        <v>366.53</v>
      </c>
      <c r="GN74">
        <f t="shared" si="99"/>
        <v>366.53</v>
      </c>
      <c r="GO74">
        <f t="shared" si="100"/>
        <v>0</v>
      </c>
      <c r="GP74">
        <f t="shared" si="101"/>
        <v>0</v>
      </c>
      <c r="GR74">
        <v>0</v>
      </c>
      <c r="GS74">
        <v>3</v>
      </c>
      <c r="GT74">
        <v>0</v>
      </c>
      <c r="GU74" t="s">
        <v>6</v>
      </c>
      <c r="GV74">
        <f t="shared" si="102"/>
        <v>0</v>
      </c>
      <c r="GW74">
        <v>1</v>
      </c>
      <c r="GX74">
        <f t="shared" si="103"/>
        <v>0</v>
      </c>
      <c r="HA74">
        <v>0</v>
      </c>
      <c r="HB74">
        <v>0</v>
      </c>
      <c r="HC74">
        <f t="shared" si="104"/>
        <v>0</v>
      </c>
      <c r="IK74">
        <v>0</v>
      </c>
    </row>
    <row r="75" spans="1:245" x14ac:dyDescent="0.2">
      <c r="A75">
        <v>18</v>
      </c>
      <c r="B75">
        <v>1</v>
      </c>
      <c r="C75">
        <v>120</v>
      </c>
      <c r="E75" t="s">
        <v>237</v>
      </c>
      <c r="F75" t="s">
        <v>238</v>
      </c>
      <c r="G75" t="s">
        <v>239</v>
      </c>
      <c r="H75" t="s">
        <v>28</v>
      </c>
      <c r="I75">
        <f>I74*J75</f>
        <v>3.15</v>
      </c>
      <c r="J75">
        <v>210</v>
      </c>
      <c r="O75">
        <f t="shared" si="71"/>
        <v>0</v>
      </c>
      <c r="P75">
        <f t="shared" si="72"/>
        <v>0</v>
      </c>
      <c r="Q75">
        <f t="shared" si="73"/>
        <v>0</v>
      </c>
      <c r="R75">
        <f t="shared" si="74"/>
        <v>0</v>
      </c>
      <c r="S75">
        <f t="shared" si="75"/>
        <v>0</v>
      </c>
      <c r="T75">
        <f t="shared" si="76"/>
        <v>0</v>
      </c>
      <c r="U75">
        <f t="shared" si="77"/>
        <v>0</v>
      </c>
      <c r="V75">
        <f t="shared" si="78"/>
        <v>0</v>
      </c>
      <c r="W75">
        <f t="shared" si="79"/>
        <v>0</v>
      </c>
      <c r="X75">
        <f t="shared" si="80"/>
        <v>0</v>
      </c>
      <c r="Y75">
        <f t="shared" si="81"/>
        <v>0</v>
      </c>
      <c r="AA75">
        <v>16812721</v>
      </c>
      <c r="AB75">
        <f t="shared" si="82"/>
        <v>0</v>
      </c>
      <c r="AC75">
        <f t="shared" si="65"/>
        <v>0</v>
      </c>
      <c r="AD75">
        <f t="shared" ref="AD75:AD85" si="107">ROUND((((ET75)-(EU75))+AE75),2)</f>
        <v>0</v>
      </c>
      <c r="AE75">
        <f t="shared" ref="AE75:AE85" si="108">ROUND((EU75),2)</f>
        <v>0</v>
      </c>
      <c r="AF75">
        <f t="shared" ref="AF75:AF85" si="109">ROUND((EV75),2)</f>
        <v>0</v>
      </c>
      <c r="AG75">
        <f t="shared" si="83"/>
        <v>0</v>
      </c>
      <c r="AH75">
        <f t="shared" ref="AH75:AH85" si="110">(EW75)</f>
        <v>0</v>
      </c>
      <c r="AI75">
        <f t="shared" ref="AI75:AI85" si="111">(EX75)</f>
        <v>0</v>
      </c>
      <c r="AJ75">
        <f t="shared" si="84"/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106</v>
      </c>
      <c r="AU75">
        <v>54</v>
      </c>
      <c r="AV75">
        <v>1</v>
      </c>
      <c r="AW75">
        <v>1</v>
      </c>
      <c r="AZ75">
        <v>6.71</v>
      </c>
      <c r="BA75">
        <v>1</v>
      </c>
      <c r="BB75">
        <v>1</v>
      </c>
      <c r="BC75">
        <v>6.71</v>
      </c>
      <c r="BD75" t="s">
        <v>6</v>
      </c>
      <c r="BE75" t="s">
        <v>6</v>
      </c>
      <c r="BF75" t="s">
        <v>6</v>
      </c>
      <c r="BG75" t="s">
        <v>6</v>
      </c>
      <c r="BH75">
        <v>3</v>
      </c>
      <c r="BI75">
        <v>1</v>
      </c>
      <c r="BJ75" t="s">
        <v>6</v>
      </c>
      <c r="BM75">
        <v>10001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118</v>
      </c>
      <c r="CA75">
        <v>63</v>
      </c>
      <c r="CE75">
        <v>0</v>
      </c>
      <c r="CF75">
        <v>0</v>
      </c>
      <c r="CG75">
        <v>0</v>
      </c>
      <c r="CM75">
        <v>0</v>
      </c>
      <c r="CN75" t="s">
        <v>6</v>
      </c>
      <c r="CO75">
        <v>0</v>
      </c>
      <c r="CP75">
        <f t="shared" si="85"/>
        <v>0</v>
      </c>
      <c r="CQ75">
        <f t="shared" si="86"/>
        <v>0</v>
      </c>
      <c r="CR75">
        <f t="shared" si="87"/>
        <v>0</v>
      </c>
      <c r="CS75">
        <f t="shared" si="88"/>
        <v>0</v>
      </c>
      <c r="CT75">
        <f t="shared" si="89"/>
        <v>0</v>
      </c>
      <c r="CU75">
        <f t="shared" si="90"/>
        <v>0</v>
      </c>
      <c r="CV75">
        <f t="shared" si="91"/>
        <v>0</v>
      </c>
      <c r="CW75">
        <f t="shared" si="92"/>
        <v>0</v>
      </c>
      <c r="CX75">
        <f t="shared" si="93"/>
        <v>0</v>
      </c>
      <c r="CY75">
        <f t="shared" si="94"/>
        <v>0</v>
      </c>
      <c r="CZ75">
        <f t="shared" si="95"/>
        <v>0</v>
      </c>
      <c r="DC75" t="s">
        <v>6</v>
      </c>
      <c r="DD75" t="s">
        <v>6</v>
      </c>
      <c r="DE75" t="s">
        <v>6</v>
      </c>
      <c r="DF75" t="s">
        <v>6</v>
      </c>
      <c r="DG75" t="s">
        <v>6</v>
      </c>
      <c r="DH75" t="s">
        <v>6</v>
      </c>
      <c r="DI75" t="s">
        <v>6</v>
      </c>
      <c r="DJ75" t="s">
        <v>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1005</v>
      </c>
      <c r="DV75" t="s">
        <v>28</v>
      </c>
      <c r="DW75" t="s">
        <v>28</v>
      </c>
      <c r="DX75">
        <v>1</v>
      </c>
      <c r="EE75">
        <v>16510487</v>
      </c>
      <c r="EF75">
        <v>2</v>
      </c>
      <c r="EG75" t="s">
        <v>20</v>
      </c>
      <c r="EH75">
        <v>0</v>
      </c>
      <c r="EI75" t="s">
        <v>6</v>
      </c>
      <c r="EJ75">
        <v>1</v>
      </c>
      <c r="EK75">
        <v>10001</v>
      </c>
      <c r="EL75" t="s">
        <v>122</v>
      </c>
      <c r="EM75" t="s">
        <v>123</v>
      </c>
      <c r="EO75" t="s">
        <v>6</v>
      </c>
      <c r="EQ75">
        <v>0</v>
      </c>
      <c r="ER75">
        <v>0</v>
      </c>
      <c r="ES75">
        <v>0</v>
      </c>
      <c r="ET75">
        <v>0</v>
      </c>
      <c r="EU75">
        <v>0</v>
      </c>
      <c r="EV75">
        <v>0</v>
      </c>
      <c r="EW75">
        <v>0</v>
      </c>
      <c r="EX75">
        <v>0</v>
      </c>
      <c r="FQ75">
        <v>0</v>
      </c>
      <c r="FR75">
        <f t="shared" si="96"/>
        <v>0</v>
      </c>
      <c r="FS75">
        <v>0</v>
      </c>
      <c r="FT75" t="s">
        <v>23</v>
      </c>
      <c r="FU75" t="s">
        <v>24</v>
      </c>
      <c r="FX75">
        <v>106.2</v>
      </c>
      <c r="FY75">
        <v>53.55</v>
      </c>
      <c r="GA75" t="s">
        <v>6</v>
      </c>
      <c r="GD75">
        <v>0</v>
      </c>
      <c r="GF75">
        <v>-354280000</v>
      </c>
      <c r="GG75">
        <v>1</v>
      </c>
      <c r="GH75">
        <v>1</v>
      </c>
      <c r="GI75">
        <v>4</v>
      </c>
      <c r="GJ75">
        <v>0</v>
      </c>
      <c r="GK75">
        <f>ROUND(R75*(R12)/100,2)</f>
        <v>0</v>
      </c>
      <c r="GL75">
        <f t="shared" si="97"/>
        <v>0</v>
      </c>
      <c r="GM75">
        <f t="shared" si="98"/>
        <v>0</v>
      </c>
      <c r="GN75">
        <f t="shared" si="99"/>
        <v>0</v>
      </c>
      <c r="GO75">
        <f t="shared" si="100"/>
        <v>0</v>
      </c>
      <c r="GP75">
        <f t="shared" si="101"/>
        <v>0</v>
      </c>
      <c r="GR75">
        <v>0</v>
      </c>
      <c r="GS75">
        <v>3</v>
      </c>
      <c r="GT75">
        <v>0</v>
      </c>
      <c r="GU75" t="s">
        <v>6</v>
      </c>
      <c r="GV75">
        <f t="shared" si="102"/>
        <v>0</v>
      </c>
      <c r="GW75">
        <v>1</v>
      </c>
      <c r="GX75">
        <f t="shared" si="103"/>
        <v>0</v>
      </c>
      <c r="HA75">
        <v>0</v>
      </c>
      <c r="HB75">
        <v>0</v>
      </c>
      <c r="HC75">
        <f t="shared" si="104"/>
        <v>0</v>
      </c>
      <c r="IK75">
        <v>0</v>
      </c>
    </row>
    <row r="76" spans="1:245" x14ac:dyDescent="0.2">
      <c r="A76">
        <v>18</v>
      </c>
      <c r="B76">
        <v>1</v>
      </c>
      <c r="C76">
        <v>121</v>
      </c>
      <c r="E76" t="s">
        <v>240</v>
      </c>
      <c r="F76" t="s">
        <v>241</v>
      </c>
      <c r="G76" t="s">
        <v>242</v>
      </c>
      <c r="H76" t="s">
        <v>28</v>
      </c>
      <c r="I76">
        <f>I74*J76</f>
        <v>3.15</v>
      </c>
      <c r="J76">
        <v>210</v>
      </c>
      <c r="O76">
        <f t="shared" si="71"/>
        <v>317.05</v>
      </c>
      <c r="P76">
        <f t="shared" si="72"/>
        <v>317.05</v>
      </c>
      <c r="Q76">
        <f t="shared" si="73"/>
        <v>0</v>
      </c>
      <c r="R76">
        <f t="shared" si="74"/>
        <v>0</v>
      </c>
      <c r="S76">
        <f t="shared" si="75"/>
        <v>0</v>
      </c>
      <c r="T76">
        <f t="shared" si="76"/>
        <v>0</v>
      </c>
      <c r="U76">
        <f t="shared" si="77"/>
        <v>0</v>
      </c>
      <c r="V76">
        <f t="shared" si="78"/>
        <v>0</v>
      </c>
      <c r="W76">
        <f t="shared" si="79"/>
        <v>0</v>
      </c>
      <c r="X76">
        <f t="shared" si="80"/>
        <v>0</v>
      </c>
      <c r="Y76">
        <f t="shared" si="81"/>
        <v>0</v>
      </c>
      <c r="AA76">
        <v>16812721</v>
      </c>
      <c r="AB76">
        <f t="shared" si="82"/>
        <v>15</v>
      </c>
      <c r="AC76">
        <f t="shared" si="65"/>
        <v>15</v>
      </c>
      <c r="AD76">
        <f t="shared" si="107"/>
        <v>0</v>
      </c>
      <c r="AE76">
        <f t="shared" si="108"/>
        <v>0</v>
      </c>
      <c r="AF76">
        <f t="shared" si="109"/>
        <v>0</v>
      </c>
      <c r="AG76">
        <f t="shared" si="83"/>
        <v>0</v>
      </c>
      <c r="AH76">
        <f t="shared" si="110"/>
        <v>0</v>
      </c>
      <c r="AI76">
        <f t="shared" si="111"/>
        <v>0</v>
      </c>
      <c r="AJ76">
        <f t="shared" si="84"/>
        <v>0</v>
      </c>
      <c r="AK76">
        <v>15</v>
      </c>
      <c r="AL76">
        <v>15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106</v>
      </c>
      <c r="AU76">
        <v>54</v>
      </c>
      <c r="AV76">
        <v>1</v>
      </c>
      <c r="AW76">
        <v>1</v>
      </c>
      <c r="AZ76">
        <v>6.71</v>
      </c>
      <c r="BA76">
        <v>1</v>
      </c>
      <c r="BB76">
        <v>1</v>
      </c>
      <c r="BC76">
        <v>6.71</v>
      </c>
      <c r="BD76" t="s">
        <v>6</v>
      </c>
      <c r="BE76" t="s">
        <v>6</v>
      </c>
      <c r="BF76" t="s">
        <v>6</v>
      </c>
      <c r="BG76" t="s">
        <v>6</v>
      </c>
      <c r="BH76">
        <v>3</v>
      </c>
      <c r="BI76">
        <v>1</v>
      </c>
      <c r="BJ76" t="s">
        <v>243</v>
      </c>
      <c r="BM76">
        <v>10001</v>
      </c>
      <c r="BN76">
        <v>0</v>
      </c>
      <c r="BO76" t="s">
        <v>6</v>
      </c>
      <c r="BP76">
        <v>0</v>
      </c>
      <c r="BQ76">
        <v>2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6</v>
      </c>
      <c r="BZ76">
        <v>118</v>
      </c>
      <c r="CA76">
        <v>63</v>
      </c>
      <c r="CE76">
        <v>0</v>
      </c>
      <c r="CF76">
        <v>0</v>
      </c>
      <c r="CG76">
        <v>0</v>
      </c>
      <c r="CM76">
        <v>0</v>
      </c>
      <c r="CN76" t="s">
        <v>6</v>
      </c>
      <c r="CO76">
        <v>0</v>
      </c>
      <c r="CP76">
        <f t="shared" si="85"/>
        <v>317.05</v>
      </c>
      <c r="CQ76">
        <f t="shared" si="86"/>
        <v>100.65</v>
      </c>
      <c r="CR76">
        <f t="shared" si="87"/>
        <v>0</v>
      </c>
      <c r="CS76">
        <f t="shared" si="88"/>
        <v>0</v>
      </c>
      <c r="CT76">
        <f t="shared" si="89"/>
        <v>0</v>
      </c>
      <c r="CU76">
        <f t="shared" si="90"/>
        <v>0</v>
      </c>
      <c r="CV76">
        <f t="shared" si="91"/>
        <v>0</v>
      </c>
      <c r="CW76">
        <f t="shared" si="92"/>
        <v>0</v>
      </c>
      <c r="CX76">
        <f t="shared" si="93"/>
        <v>0</v>
      </c>
      <c r="CY76">
        <f t="shared" si="94"/>
        <v>0</v>
      </c>
      <c r="CZ76">
        <f t="shared" si="95"/>
        <v>0</v>
      </c>
      <c r="DC76" t="s">
        <v>6</v>
      </c>
      <c r="DD76" t="s">
        <v>6</v>
      </c>
      <c r="DE76" t="s">
        <v>6</v>
      </c>
      <c r="DF76" t="s">
        <v>6</v>
      </c>
      <c r="DG76" t="s">
        <v>6</v>
      </c>
      <c r="DH76" t="s">
        <v>6</v>
      </c>
      <c r="DI76" t="s">
        <v>6</v>
      </c>
      <c r="DJ76" t="s">
        <v>6</v>
      </c>
      <c r="DK76" t="s">
        <v>6</v>
      </c>
      <c r="DL76" t="s">
        <v>6</v>
      </c>
      <c r="DM76" t="s">
        <v>6</v>
      </c>
      <c r="DN76">
        <v>0</v>
      </c>
      <c r="DO76">
        <v>0</v>
      </c>
      <c r="DP76">
        <v>1</v>
      </c>
      <c r="DQ76">
        <v>1</v>
      </c>
      <c r="DU76">
        <v>1005</v>
      </c>
      <c r="DV76" t="s">
        <v>28</v>
      </c>
      <c r="DW76" t="s">
        <v>28</v>
      </c>
      <c r="DX76">
        <v>1</v>
      </c>
      <c r="EE76">
        <v>16510487</v>
      </c>
      <c r="EF76">
        <v>2</v>
      </c>
      <c r="EG76" t="s">
        <v>20</v>
      </c>
      <c r="EH76">
        <v>0</v>
      </c>
      <c r="EI76" t="s">
        <v>6</v>
      </c>
      <c r="EJ76">
        <v>1</v>
      </c>
      <c r="EK76">
        <v>10001</v>
      </c>
      <c r="EL76" t="s">
        <v>122</v>
      </c>
      <c r="EM76" t="s">
        <v>123</v>
      </c>
      <c r="EO76" t="s">
        <v>6</v>
      </c>
      <c r="EQ76">
        <v>0</v>
      </c>
      <c r="ER76">
        <v>15</v>
      </c>
      <c r="ES76">
        <v>15</v>
      </c>
      <c r="ET76">
        <v>0</v>
      </c>
      <c r="EU76">
        <v>0</v>
      </c>
      <c r="EV76">
        <v>0</v>
      </c>
      <c r="EW76">
        <v>0</v>
      </c>
      <c r="EX76">
        <v>0</v>
      </c>
      <c r="FQ76">
        <v>0</v>
      </c>
      <c r="FR76">
        <f t="shared" si="96"/>
        <v>0</v>
      </c>
      <c r="FS76">
        <v>0</v>
      </c>
      <c r="FT76" t="s">
        <v>23</v>
      </c>
      <c r="FU76" t="s">
        <v>24</v>
      </c>
      <c r="FX76">
        <v>106.2</v>
      </c>
      <c r="FY76">
        <v>53.55</v>
      </c>
      <c r="GA76" t="s">
        <v>6</v>
      </c>
      <c r="GD76">
        <v>0</v>
      </c>
      <c r="GF76">
        <v>148619590</v>
      </c>
      <c r="GG76">
        <v>1</v>
      </c>
      <c r="GH76">
        <v>1</v>
      </c>
      <c r="GI76">
        <v>4</v>
      </c>
      <c r="GJ76">
        <v>0</v>
      </c>
      <c r="GK76">
        <f>ROUND(R76*(R12)/100,2)</f>
        <v>0</v>
      </c>
      <c r="GL76">
        <f t="shared" si="97"/>
        <v>0</v>
      </c>
      <c r="GM76">
        <f t="shared" si="98"/>
        <v>317.05</v>
      </c>
      <c r="GN76">
        <f t="shared" si="99"/>
        <v>317.05</v>
      </c>
      <c r="GO76">
        <f t="shared" si="100"/>
        <v>0</v>
      </c>
      <c r="GP76">
        <f t="shared" si="101"/>
        <v>0</v>
      </c>
      <c r="GR76">
        <v>0</v>
      </c>
      <c r="GS76">
        <v>3</v>
      </c>
      <c r="GT76">
        <v>0</v>
      </c>
      <c r="GU76" t="s">
        <v>6</v>
      </c>
      <c r="GV76">
        <f t="shared" si="102"/>
        <v>0</v>
      </c>
      <c r="GW76">
        <v>1</v>
      </c>
      <c r="GX76">
        <f t="shared" si="103"/>
        <v>0</v>
      </c>
      <c r="HA76">
        <v>0</v>
      </c>
      <c r="HB76">
        <v>0</v>
      </c>
      <c r="HC76">
        <f t="shared" si="104"/>
        <v>0</v>
      </c>
      <c r="IK76">
        <v>0</v>
      </c>
    </row>
    <row r="77" spans="1:245" x14ac:dyDescent="0.2">
      <c r="A77">
        <v>18</v>
      </c>
      <c r="B77">
        <v>1</v>
      </c>
      <c r="C77">
        <v>123</v>
      </c>
      <c r="E77" t="s">
        <v>244</v>
      </c>
      <c r="F77" t="s">
        <v>245</v>
      </c>
      <c r="G77" t="s">
        <v>246</v>
      </c>
      <c r="H77" t="s">
        <v>177</v>
      </c>
      <c r="I77">
        <f>I74*J77</f>
        <v>1.89</v>
      </c>
      <c r="J77">
        <v>126</v>
      </c>
      <c r="O77">
        <f t="shared" si="71"/>
        <v>4.6900000000000004</v>
      </c>
      <c r="P77">
        <f t="shared" si="72"/>
        <v>4.6900000000000004</v>
      </c>
      <c r="Q77">
        <f t="shared" si="73"/>
        <v>0</v>
      </c>
      <c r="R77">
        <f t="shared" si="74"/>
        <v>0</v>
      </c>
      <c r="S77">
        <f t="shared" si="75"/>
        <v>0</v>
      </c>
      <c r="T77">
        <f t="shared" si="76"/>
        <v>0</v>
      </c>
      <c r="U77">
        <f t="shared" si="77"/>
        <v>0</v>
      </c>
      <c r="V77">
        <f t="shared" si="78"/>
        <v>0</v>
      </c>
      <c r="W77">
        <f t="shared" si="79"/>
        <v>0</v>
      </c>
      <c r="X77">
        <f t="shared" si="80"/>
        <v>0</v>
      </c>
      <c r="Y77">
        <f t="shared" si="81"/>
        <v>0</v>
      </c>
      <c r="AA77">
        <v>16812721</v>
      </c>
      <c r="AB77">
        <f t="shared" si="82"/>
        <v>0.37</v>
      </c>
      <c r="AC77">
        <f t="shared" si="65"/>
        <v>0.37</v>
      </c>
      <c r="AD77">
        <f t="shared" si="107"/>
        <v>0</v>
      </c>
      <c r="AE77">
        <f t="shared" si="108"/>
        <v>0</v>
      </c>
      <c r="AF77">
        <f t="shared" si="109"/>
        <v>0</v>
      </c>
      <c r="AG77">
        <f t="shared" si="83"/>
        <v>0</v>
      </c>
      <c r="AH77">
        <f t="shared" si="110"/>
        <v>0</v>
      </c>
      <c r="AI77">
        <f t="shared" si="111"/>
        <v>0</v>
      </c>
      <c r="AJ77">
        <f t="shared" si="84"/>
        <v>0</v>
      </c>
      <c r="AK77">
        <v>0.37</v>
      </c>
      <c r="AL77">
        <v>0.37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106</v>
      </c>
      <c r="AU77">
        <v>54</v>
      </c>
      <c r="AV77">
        <v>1</v>
      </c>
      <c r="AW77">
        <v>1</v>
      </c>
      <c r="AZ77">
        <v>6.71</v>
      </c>
      <c r="BA77">
        <v>1</v>
      </c>
      <c r="BB77">
        <v>1</v>
      </c>
      <c r="BC77">
        <v>6.71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247</v>
      </c>
      <c r="BM77">
        <v>10001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118</v>
      </c>
      <c r="CA77">
        <v>63</v>
      </c>
      <c r="CE77">
        <v>0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5"/>
        <v>4.6900000000000004</v>
      </c>
      <c r="CQ77">
        <f t="shared" si="86"/>
        <v>2.4826999999999999</v>
      </c>
      <c r="CR77">
        <f t="shared" si="87"/>
        <v>0</v>
      </c>
      <c r="CS77">
        <f t="shared" si="88"/>
        <v>0</v>
      </c>
      <c r="CT77">
        <f t="shared" si="89"/>
        <v>0</v>
      </c>
      <c r="CU77">
        <f t="shared" si="90"/>
        <v>0</v>
      </c>
      <c r="CV77">
        <f t="shared" si="91"/>
        <v>0</v>
      </c>
      <c r="CW77">
        <f t="shared" si="92"/>
        <v>0</v>
      </c>
      <c r="CX77">
        <f t="shared" si="93"/>
        <v>0</v>
      </c>
      <c r="CY77">
        <f t="shared" si="94"/>
        <v>0</v>
      </c>
      <c r="CZ77">
        <f t="shared" si="95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1003</v>
      </c>
      <c r="DV77" t="s">
        <v>177</v>
      </c>
      <c r="DW77" t="s">
        <v>177</v>
      </c>
      <c r="DX77">
        <v>1</v>
      </c>
      <c r="EE77">
        <v>16510487</v>
      </c>
      <c r="EF77">
        <v>2</v>
      </c>
      <c r="EG77" t="s">
        <v>20</v>
      </c>
      <c r="EH77">
        <v>0</v>
      </c>
      <c r="EI77" t="s">
        <v>6</v>
      </c>
      <c r="EJ77">
        <v>1</v>
      </c>
      <c r="EK77">
        <v>10001</v>
      </c>
      <c r="EL77" t="s">
        <v>122</v>
      </c>
      <c r="EM77" t="s">
        <v>123</v>
      </c>
      <c r="EO77" t="s">
        <v>6</v>
      </c>
      <c r="EQ77">
        <v>0</v>
      </c>
      <c r="ER77">
        <v>0.37</v>
      </c>
      <c r="ES77">
        <v>0.37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6"/>
        <v>0</v>
      </c>
      <c r="FS77">
        <v>0</v>
      </c>
      <c r="FT77" t="s">
        <v>23</v>
      </c>
      <c r="FU77" t="s">
        <v>24</v>
      </c>
      <c r="FX77">
        <v>106.2</v>
      </c>
      <c r="FY77">
        <v>53.55</v>
      </c>
      <c r="GA77" t="s">
        <v>6</v>
      </c>
      <c r="GD77">
        <v>0</v>
      </c>
      <c r="GF77">
        <v>1872950600</v>
      </c>
      <c r="GG77">
        <v>1</v>
      </c>
      <c r="GH77">
        <v>1</v>
      </c>
      <c r="GI77">
        <v>4</v>
      </c>
      <c r="GJ77">
        <v>0</v>
      </c>
      <c r="GK77">
        <f>ROUND(R77*(R12)/100,2)</f>
        <v>0</v>
      </c>
      <c r="GL77">
        <f t="shared" si="97"/>
        <v>0</v>
      </c>
      <c r="GM77">
        <f t="shared" si="98"/>
        <v>4.6900000000000004</v>
      </c>
      <c r="GN77">
        <f t="shared" si="99"/>
        <v>4.6900000000000004</v>
      </c>
      <c r="GO77">
        <f t="shared" si="100"/>
        <v>0</v>
      </c>
      <c r="GP77">
        <f t="shared" si="101"/>
        <v>0</v>
      </c>
      <c r="GR77">
        <v>0</v>
      </c>
      <c r="GS77">
        <v>3</v>
      </c>
      <c r="GT77">
        <v>0</v>
      </c>
      <c r="GU77" t="s">
        <v>6</v>
      </c>
      <c r="GV77">
        <f t="shared" si="102"/>
        <v>0</v>
      </c>
      <c r="GW77">
        <v>1</v>
      </c>
      <c r="GX77">
        <f t="shared" si="103"/>
        <v>0</v>
      </c>
      <c r="HA77">
        <v>0</v>
      </c>
      <c r="HB77">
        <v>0</v>
      </c>
      <c r="HC77">
        <f t="shared" si="104"/>
        <v>0</v>
      </c>
      <c r="IK77">
        <v>0</v>
      </c>
    </row>
    <row r="78" spans="1:245" x14ac:dyDescent="0.2">
      <c r="A78">
        <v>18</v>
      </c>
      <c r="B78">
        <v>1</v>
      </c>
      <c r="C78">
        <v>126</v>
      </c>
      <c r="E78" t="s">
        <v>248</v>
      </c>
      <c r="F78" t="s">
        <v>249</v>
      </c>
      <c r="G78" t="s">
        <v>250</v>
      </c>
      <c r="H78" t="s">
        <v>177</v>
      </c>
      <c r="I78">
        <f>I74*J78</f>
        <v>1.89</v>
      </c>
      <c r="J78">
        <v>126</v>
      </c>
      <c r="O78">
        <f t="shared" si="71"/>
        <v>0</v>
      </c>
      <c r="P78">
        <f t="shared" si="72"/>
        <v>0</v>
      </c>
      <c r="Q78">
        <f t="shared" si="73"/>
        <v>0</v>
      </c>
      <c r="R78">
        <f t="shared" si="74"/>
        <v>0</v>
      </c>
      <c r="S78">
        <f t="shared" si="75"/>
        <v>0</v>
      </c>
      <c r="T78">
        <f t="shared" si="76"/>
        <v>0</v>
      </c>
      <c r="U78">
        <f t="shared" si="77"/>
        <v>0</v>
      </c>
      <c r="V78">
        <f t="shared" si="78"/>
        <v>0</v>
      </c>
      <c r="W78">
        <f t="shared" si="79"/>
        <v>0</v>
      </c>
      <c r="X78">
        <f t="shared" si="80"/>
        <v>0</v>
      </c>
      <c r="Y78">
        <f t="shared" si="81"/>
        <v>0</v>
      </c>
      <c r="AA78">
        <v>16812721</v>
      </c>
      <c r="AB78">
        <f t="shared" si="82"/>
        <v>0</v>
      </c>
      <c r="AC78">
        <f t="shared" si="65"/>
        <v>0</v>
      </c>
      <c r="AD78">
        <f t="shared" si="107"/>
        <v>0</v>
      </c>
      <c r="AE78">
        <f t="shared" si="108"/>
        <v>0</v>
      </c>
      <c r="AF78">
        <f t="shared" si="109"/>
        <v>0</v>
      </c>
      <c r="AG78">
        <f t="shared" si="83"/>
        <v>0</v>
      </c>
      <c r="AH78">
        <f t="shared" si="110"/>
        <v>0</v>
      </c>
      <c r="AI78">
        <f t="shared" si="111"/>
        <v>0</v>
      </c>
      <c r="AJ78">
        <f t="shared" si="84"/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106</v>
      </c>
      <c r="AU78">
        <v>54</v>
      </c>
      <c r="AV78">
        <v>1</v>
      </c>
      <c r="AW78">
        <v>1</v>
      </c>
      <c r="AZ78">
        <v>6.71</v>
      </c>
      <c r="BA78">
        <v>1</v>
      </c>
      <c r="BB78">
        <v>1</v>
      </c>
      <c r="BC78">
        <v>6.71</v>
      </c>
      <c r="BD78" t="s">
        <v>6</v>
      </c>
      <c r="BE78" t="s">
        <v>6</v>
      </c>
      <c r="BF78" t="s">
        <v>6</v>
      </c>
      <c r="BG78" t="s">
        <v>6</v>
      </c>
      <c r="BH78">
        <v>3</v>
      </c>
      <c r="BI78">
        <v>1</v>
      </c>
      <c r="BJ78" t="s">
        <v>6</v>
      </c>
      <c r="BM78">
        <v>10001</v>
      </c>
      <c r="BN78">
        <v>0</v>
      </c>
      <c r="BO78" t="s">
        <v>6</v>
      </c>
      <c r="BP78">
        <v>0</v>
      </c>
      <c r="BQ78">
        <v>2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6</v>
      </c>
      <c r="BZ78">
        <v>118</v>
      </c>
      <c r="CA78">
        <v>63</v>
      </c>
      <c r="CE78">
        <v>0</v>
      </c>
      <c r="CF78">
        <v>0</v>
      </c>
      <c r="CG78">
        <v>0</v>
      </c>
      <c r="CM78">
        <v>0</v>
      </c>
      <c r="CN78" t="s">
        <v>6</v>
      </c>
      <c r="CO78">
        <v>0</v>
      </c>
      <c r="CP78">
        <f t="shared" si="85"/>
        <v>0</v>
      </c>
      <c r="CQ78">
        <f t="shared" si="86"/>
        <v>0</v>
      </c>
      <c r="CR78">
        <f t="shared" si="87"/>
        <v>0</v>
      </c>
      <c r="CS78">
        <f t="shared" si="88"/>
        <v>0</v>
      </c>
      <c r="CT78">
        <f t="shared" si="89"/>
        <v>0</v>
      </c>
      <c r="CU78">
        <f t="shared" si="90"/>
        <v>0</v>
      </c>
      <c r="CV78">
        <f t="shared" si="91"/>
        <v>0</v>
      </c>
      <c r="CW78">
        <f t="shared" si="92"/>
        <v>0</v>
      </c>
      <c r="CX78">
        <f t="shared" si="93"/>
        <v>0</v>
      </c>
      <c r="CY78">
        <f t="shared" si="94"/>
        <v>0</v>
      </c>
      <c r="CZ78">
        <f t="shared" si="95"/>
        <v>0</v>
      </c>
      <c r="DC78" t="s">
        <v>6</v>
      </c>
      <c r="DD78" t="s">
        <v>6</v>
      </c>
      <c r="DE78" t="s">
        <v>6</v>
      </c>
      <c r="DF78" t="s">
        <v>6</v>
      </c>
      <c r="DG78" t="s">
        <v>6</v>
      </c>
      <c r="DH78" t="s">
        <v>6</v>
      </c>
      <c r="DI78" t="s">
        <v>6</v>
      </c>
      <c r="DJ78" t="s">
        <v>6</v>
      </c>
      <c r="DK78" t="s">
        <v>6</v>
      </c>
      <c r="DL78" t="s">
        <v>6</v>
      </c>
      <c r="DM78" t="s">
        <v>6</v>
      </c>
      <c r="DN78">
        <v>0</v>
      </c>
      <c r="DO78">
        <v>0</v>
      </c>
      <c r="DP78">
        <v>1</v>
      </c>
      <c r="DQ78">
        <v>1</v>
      </c>
      <c r="DU78">
        <v>1003</v>
      </c>
      <c r="DV78" t="s">
        <v>177</v>
      </c>
      <c r="DW78" t="s">
        <v>177</v>
      </c>
      <c r="DX78">
        <v>1</v>
      </c>
      <c r="EE78">
        <v>16510487</v>
      </c>
      <c r="EF78">
        <v>2</v>
      </c>
      <c r="EG78" t="s">
        <v>20</v>
      </c>
      <c r="EH78">
        <v>0</v>
      </c>
      <c r="EI78" t="s">
        <v>6</v>
      </c>
      <c r="EJ78">
        <v>1</v>
      </c>
      <c r="EK78">
        <v>10001</v>
      </c>
      <c r="EL78" t="s">
        <v>122</v>
      </c>
      <c r="EM78" t="s">
        <v>123</v>
      </c>
      <c r="EO78" t="s">
        <v>6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FQ78">
        <v>0</v>
      </c>
      <c r="FR78">
        <f t="shared" si="96"/>
        <v>0</v>
      </c>
      <c r="FS78">
        <v>0</v>
      </c>
      <c r="FT78" t="s">
        <v>23</v>
      </c>
      <c r="FU78" t="s">
        <v>24</v>
      </c>
      <c r="FX78">
        <v>106.2</v>
      </c>
      <c r="FY78">
        <v>53.55</v>
      </c>
      <c r="GA78" t="s">
        <v>6</v>
      </c>
      <c r="GD78">
        <v>0</v>
      </c>
      <c r="GF78">
        <v>-1225318320</v>
      </c>
      <c r="GG78">
        <v>1</v>
      </c>
      <c r="GH78">
        <v>1</v>
      </c>
      <c r="GI78">
        <v>4</v>
      </c>
      <c r="GJ78">
        <v>0</v>
      </c>
      <c r="GK78">
        <f>ROUND(R78*(R12)/100,2)</f>
        <v>0</v>
      </c>
      <c r="GL78">
        <f t="shared" si="97"/>
        <v>0</v>
      </c>
      <c r="GM78">
        <f t="shared" si="98"/>
        <v>0</v>
      </c>
      <c r="GN78">
        <f t="shared" si="99"/>
        <v>0</v>
      </c>
      <c r="GO78">
        <f t="shared" si="100"/>
        <v>0</v>
      </c>
      <c r="GP78">
        <f t="shared" si="101"/>
        <v>0</v>
      </c>
      <c r="GR78">
        <v>0</v>
      </c>
      <c r="GS78">
        <v>3</v>
      </c>
      <c r="GT78">
        <v>0</v>
      </c>
      <c r="GU78" t="s">
        <v>6</v>
      </c>
      <c r="GV78">
        <f t="shared" si="102"/>
        <v>0</v>
      </c>
      <c r="GW78">
        <v>1</v>
      </c>
      <c r="GX78">
        <f t="shared" si="103"/>
        <v>0</v>
      </c>
      <c r="HA78">
        <v>0</v>
      </c>
      <c r="HB78">
        <v>0</v>
      </c>
      <c r="HC78">
        <f t="shared" si="104"/>
        <v>0</v>
      </c>
      <c r="IK78">
        <v>0</v>
      </c>
    </row>
    <row r="79" spans="1:245" x14ac:dyDescent="0.2">
      <c r="A79">
        <v>18</v>
      </c>
      <c r="B79">
        <v>1</v>
      </c>
      <c r="C79">
        <v>129</v>
      </c>
      <c r="E79" t="s">
        <v>251</v>
      </c>
      <c r="F79" t="s">
        <v>252</v>
      </c>
      <c r="G79" t="s">
        <v>253</v>
      </c>
      <c r="H79" t="s">
        <v>177</v>
      </c>
      <c r="I79">
        <f>I74*J79</f>
        <v>2.2650000000000001</v>
      </c>
      <c r="J79">
        <v>151</v>
      </c>
      <c r="O79">
        <f t="shared" si="71"/>
        <v>0</v>
      </c>
      <c r="P79">
        <f t="shared" si="72"/>
        <v>0</v>
      </c>
      <c r="Q79">
        <f t="shared" si="73"/>
        <v>0</v>
      </c>
      <c r="R79">
        <f t="shared" si="74"/>
        <v>0</v>
      </c>
      <c r="S79">
        <f t="shared" si="75"/>
        <v>0</v>
      </c>
      <c r="T79">
        <f t="shared" si="76"/>
        <v>0</v>
      </c>
      <c r="U79">
        <f t="shared" si="77"/>
        <v>0</v>
      </c>
      <c r="V79">
        <f t="shared" si="78"/>
        <v>0</v>
      </c>
      <c r="W79">
        <f t="shared" si="79"/>
        <v>0</v>
      </c>
      <c r="X79">
        <f t="shared" si="80"/>
        <v>0</v>
      </c>
      <c r="Y79">
        <f t="shared" si="81"/>
        <v>0</v>
      </c>
      <c r="AA79">
        <v>16812721</v>
      </c>
      <c r="AB79">
        <f t="shared" si="82"/>
        <v>0</v>
      </c>
      <c r="AC79">
        <f t="shared" si="65"/>
        <v>0</v>
      </c>
      <c r="AD79">
        <f t="shared" si="107"/>
        <v>0</v>
      </c>
      <c r="AE79">
        <f t="shared" si="108"/>
        <v>0</v>
      </c>
      <c r="AF79">
        <f t="shared" si="109"/>
        <v>0</v>
      </c>
      <c r="AG79">
        <f t="shared" si="83"/>
        <v>0</v>
      </c>
      <c r="AH79">
        <f t="shared" si="110"/>
        <v>0</v>
      </c>
      <c r="AI79">
        <f t="shared" si="111"/>
        <v>0</v>
      </c>
      <c r="AJ79">
        <f t="shared" si="84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106</v>
      </c>
      <c r="AU79">
        <v>54</v>
      </c>
      <c r="AV79">
        <v>1</v>
      </c>
      <c r="AW79">
        <v>1</v>
      </c>
      <c r="AZ79">
        <v>6.71</v>
      </c>
      <c r="BA79">
        <v>1</v>
      </c>
      <c r="BB79">
        <v>1</v>
      </c>
      <c r="BC79">
        <v>6.71</v>
      </c>
      <c r="BD79" t="s">
        <v>6</v>
      </c>
      <c r="BE79" t="s">
        <v>6</v>
      </c>
      <c r="BF79" t="s">
        <v>6</v>
      </c>
      <c r="BG79" t="s">
        <v>6</v>
      </c>
      <c r="BH79">
        <v>3</v>
      </c>
      <c r="BI79">
        <v>1</v>
      </c>
      <c r="BJ79" t="s">
        <v>6</v>
      </c>
      <c r="BM79">
        <v>10001</v>
      </c>
      <c r="BN79">
        <v>0</v>
      </c>
      <c r="BO79" t="s">
        <v>6</v>
      </c>
      <c r="BP79">
        <v>0</v>
      </c>
      <c r="BQ79">
        <v>2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118</v>
      </c>
      <c r="CA79">
        <v>63</v>
      </c>
      <c r="CE79">
        <v>0</v>
      </c>
      <c r="CF79">
        <v>0</v>
      </c>
      <c r="CG79">
        <v>0</v>
      </c>
      <c r="CM79">
        <v>0</v>
      </c>
      <c r="CN79" t="s">
        <v>6</v>
      </c>
      <c r="CO79">
        <v>0</v>
      </c>
      <c r="CP79">
        <f t="shared" si="85"/>
        <v>0</v>
      </c>
      <c r="CQ79">
        <f t="shared" si="86"/>
        <v>0</v>
      </c>
      <c r="CR79">
        <f t="shared" si="87"/>
        <v>0</v>
      </c>
      <c r="CS79">
        <f t="shared" si="88"/>
        <v>0</v>
      </c>
      <c r="CT79">
        <f t="shared" si="89"/>
        <v>0</v>
      </c>
      <c r="CU79">
        <f t="shared" si="90"/>
        <v>0</v>
      </c>
      <c r="CV79">
        <f t="shared" si="91"/>
        <v>0</v>
      </c>
      <c r="CW79">
        <f t="shared" si="92"/>
        <v>0</v>
      </c>
      <c r="CX79">
        <f t="shared" si="93"/>
        <v>0</v>
      </c>
      <c r="CY79">
        <f t="shared" si="94"/>
        <v>0</v>
      </c>
      <c r="CZ79">
        <f t="shared" si="95"/>
        <v>0</v>
      </c>
      <c r="DC79" t="s">
        <v>6</v>
      </c>
      <c r="DD79" t="s">
        <v>6</v>
      </c>
      <c r="DE79" t="s">
        <v>6</v>
      </c>
      <c r="DF79" t="s">
        <v>6</v>
      </c>
      <c r="DG79" t="s">
        <v>6</v>
      </c>
      <c r="DH79" t="s">
        <v>6</v>
      </c>
      <c r="DI79" t="s">
        <v>6</v>
      </c>
      <c r="DJ79" t="s">
        <v>6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1003</v>
      </c>
      <c r="DV79" t="s">
        <v>177</v>
      </c>
      <c r="DW79" t="s">
        <v>177</v>
      </c>
      <c r="DX79">
        <v>1</v>
      </c>
      <c r="EE79">
        <v>16510487</v>
      </c>
      <c r="EF79">
        <v>2</v>
      </c>
      <c r="EG79" t="s">
        <v>20</v>
      </c>
      <c r="EH79">
        <v>0</v>
      </c>
      <c r="EI79" t="s">
        <v>6</v>
      </c>
      <c r="EJ79">
        <v>1</v>
      </c>
      <c r="EK79">
        <v>10001</v>
      </c>
      <c r="EL79" t="s">
        <v>122</v>
      </c>
      <c r="EM79" t="s">
        <v>123</v>
      </c>
      <c r="EO79" t="s">
        <v>6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FQ79">
        <v>0</v>
      </c>
      <c r="FR79">
        <f t="shared" si="96"/>
        <v>0</v>
      </c>
      <c r="FS79">
        <v>0</v>
      </c>
      <c r="FT79" t="s">
        <v>23</v>
      </c>
      <c r="FU79" t="s">
        <v>24</v>
      </c>
      <c r="FX79">
        <v>106.2</v>
      </c>
      <c r="FY79">
        <v>53.55</v>
      </c>
      <c r="GA79" t="s">
        <v>6</v>
      </c>
      <c r="GD79">
        <v>0</v>
      </c>
      <c r="GF79">
        <v>-543280927</v>
      </c>
      <c r="GG79">
        <v>1</v>
      </c>
      <c r="GH79">
        <v>1</v>
      </c>
      <c r="GI79">
        <v>4</v>
      </c>
      <c r="GJ79">
        <v>0</v>
      </c>
      <c r="GK79">
        <f>ROUND(R79*(R12)/100,2)</f>
        <v>0</v>
      </c>
      <c r="GL79">
        <f t="shared" si="97"/>
        <v>0</v>
      </c>
      <c r="GM79">
        <f t="shared" si="98"/>
        <v>0</v>
      </c>
      <c r="GN79">
        <f t="shared" si="99"/>
        <v>0</v>
      </c>
      <c r="GO79">
        <f t="shared" si="100"/>
        <v>0</v>
      </c>
      <c r="GP79">
        <f t="shared" si="101"/>
        <v>0</v>
      </c>
      <c r="GR79">
        <v>0</v>
      </c>
      <c r="GS79">
        <v>3</v>
      </c>
      <c r="GT79">
        <v>0</v>
      </c>
      <c r="GU79" t="s">
        <v>6</v>
      </c>
      <c r="GV79">
        <f t="shared" si="102"/>
        <v>0</v>
      </c>
      <c r="GW79">
        <v>1</v>
      </c>
      <c r="GX79">
        <f t="shared" si="103"/>
        <v>0</v>
      </c>
      <c r="HA79">
        <v>0</v>
      </c>
      <c r="HB79">
        <v>0</v>
      </c>
      <c r="HC79">
        <f t="shared" si="104"/>
        <v>0</v>
      </c>
      <c r="IK79">
        <v>0</v>
      </c>
    </row>
    <row r="80" spans="1:245" x14ac:dyDescent="0.2">
      <c r="A80">
        <v>18</v>
      </c>
      <c r="B80">
        <v>1</v>
      </c>
      <c r="C80">
        <v>131</v>
      </c>
      <c r="E80" t="s">
        <v>254</v>
      </c>
      <c r="F80" t="s">
        <v>255</v>
      </c>
      <c r="G80" t="s">
        <v>256</v>
      </c>
      <c r="H80" t="s">
        <v>177</v>
      </c>
      <c r="I80">
        <f>I74*J80</f>
        <v>2.2650000000000001</v>
      </c>
      <c r="J80">
        <v>151</v>
      </c>
      <c r="O80">
        <f t="shared" si="71"/>
        <v>85.11</v>
      </c>
      <c r="P80">
        <f t="shared" si="72"/>
        <v>85.11</v>
      </c>
      <c r="Q80">
        <f t="shared" si="73"/>
        <v>0</v>
      </c>
      <c r="R80">
        <f t="shared" si="74"/>
        <v>0</v>
      </c>
      <c r="S80">
        <f t="shared" si="75"/>
        <v>0</v>
      </c>
      <c r="T80">
        <f t="shared" si="76"/>
        <v>0</v>
      </c>
      <c r="U80">
        <f t="shared" si="77"/>
        <v>0</v>
      </c>
      <c r="V80">
        <f t="shared" si="78"/>
        <v>0</v>
      </c>
      <c r="W80">
        <f t="shared" si="79"/>
        <v>0</v>
      </c>
      <c r="X80">
        <f t="shared" si="80"/>
        <v>0</v>
      </c>
      <c r="Y80">
        <f t="shared" si="81"/>
        <v>0</v>
      </c>
      <c r="AA80">
        <v>16812721</v>
      </c>
      <c r="AB80">
        <f t="shared" si="82"/>
        <v>5.6</v>
      </c>
      <c r="AC80">
        <f t="shared" si="65"/>
        <v>5.6</v>
      </c>
      <c r="AD80">
        <f t="shared" si="107"/>
        <v>0</v>
      </c>
      <c r="AE80">
        <f t="shared" si="108"/>
        <v>0</v>
      </c>
      <c r="AF80">
        <f t="shared" si="109"/>
        <v>0</v>
      </c>
      <c r="AG80">
        <f t="shared" si="83"/>
        <v>0</v>
      </c>
      <c r="AH80">
        <f t="shared" si="110"/>
        <v>0</v>
      </c>
      <c r="AI80">
        <f t="shared" si="111"/>
        <v>0</v>
      </c>
      <c r="AJ80">
        <f t="shared" si="84"/>
        <v>0</v>
      </c>
      <c r="AK80">
        <v>5.6</v>
      </c>
      <c r="AL80">
        <v>5.6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106</v>
      </c>
      <c r="AU80">
        <v>54</v>
      </c>
      <c r="AV80">
        <v>1</v>
      </c>
      <c r="AW80">
        <v>1</v>
      </c>
      <c r="AZ80">
        <v>6.71</v>
      </c>
      <c r="BA80">
        <v>1</v>
      </c>
      <c r="BB80">
        <v>1</v>
      </c>
      <c r="BC80">
        <v>6.71</v>
      </c>
      <c r="BD80" t="s">
        <v>6</v>
      </c>
      <c r="BE80" t="s">
        <v>6</v>
      </c>
      <c r="BF80" t="s">
        <v>6</v>
      </c>
      <c r="BG80" t="s">
        <v>6</v>
      </c>
      <c r="BH80">
        <v>3</v>
      </c>
      <c r="BI80">
        <v>1</v>
      </c>
      <c r="BJ80" t="s">
        <v>257</v>
      </c>
      <c r="BM80">
        <v>10001</v>
      </c>
      <c r="BN80">
        <v>0</v>
      </c>
      <c r="BO80" t="s">
        <v>6</v>
      </c>
      <c r="BP80">
        <v>0</v>
      </c>
      <c r="BQ80">
        <v>2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6</v>
      </c>
      <c r="BZ80">
        <v>118</v>
      </c>
      <c r="CA80">
        <v>63</v>
      </c>
      <c r="CE80">
        <v>0</v>
      </c>
      <c r="CF80">
        <v>0</v>
      </c>
      <c r="CG80">
        <v>0</v>
      </c>
      <c r="CM80">
        <v>0</v>
      </c>
      <c r="CN80" t="s">
        <v>6</v>
      </c>
      <c r="CO80">
        <v>0</v>
      </c>
      <c r="CP80">
        <f t="shared" si="85"/>
        <v>85.11</v>
      </c>
      <c r="CQ80">
        <f t="shared" si="86"/>
        <v>37.576000000000001</v>
      </c>
      <c r="CR80">
        <f t="shared" si="87"/>
        <v>0</v>
      </c>
      <c r="CS80">
        <f t="shared" si="88"/>
        <v>0</v>
      </c>
      <c r="CT80">
        <f t="shared" si="89"/>
        <v>0</v>
      </c>
      <c r="CU80">
        <f t="shared" si="90"/>
        <v>0</v>
      </c>
      <c r="CV80">
        <f t="shared" si="91"/>
        <v>0</v>
      </c>
      <c r="CW80">
        <f t="shared" si="92"/>
        <v>0</v>
      </c>
      <c r="CX80">
        <f t="shared" si="93"/>
        <v>0</v>
      </c>
      <c r="CY80">
        <f t="shared" si="94"/>
        <v>0</v>
      </c>
      <c r="CZ80">
        <f t="shared" si="95"/>
        <v>0</v>
      </c>
      <c r="DC80" t="s">
        <v>6</v>
      </c>
      <c r="DD80" t="s">
        <v>6</v>
      </c>
      <c r="DE80" t="s">
        <v>6</v>
      </c>
      <c r="DF80" t="s">
        <v>6</v>
      </c>
      <c r="DG80" t="s">
        <v>6</v>
      </c>
      <c r="DH80" t="s">
        <v>6</v>
      </c>
      <c r="DI80" t="s">
        <v>6</v>
      </c>
      <c r="DJ80" t="s">
        <v>6</v>
      </c>
      <c r="DK80" t="s">
        <v>6</v>
      </c>
      <c r="DL80" t="s">
        <v>6</v>
      </c>
      <c r="DM80" t="s">
        <v>6</v>
      </c>
      <c r="DN80">
        <v>0</v>
      </c>
      <c r="DO80">
        <v>0</v>
      </c>
      <c r="DP80">
        <v>1</v>
      </c>
      <c r="DQ80">
        <v>1</v>
      </c>
      <c r="DU80">
        <v>1003</v>
      </c>
      <c r="DV80" t="s">
        <v>177</v>
      </c>
      <c r="DW80" t="s">
        <v>177</v>
      </c>
      <c r="DX80">
        <v>1</v>
      </c>
      <c r="EE80">
        <v>16510487</v>
      </c>
      <c r="EF80">
        <v>2</v>
      </c>
      <c r="EG80" t="s">
        <v>20</v>
      </c>
      <c r="EH80">
        <v>0</v>
      </c>
      <c r="EI80" t="s">
        <v>6</v>
      </c>
      <c r="EJ80">
        <v>1</v>
      </c>
      <c r="EK80">
        <v>10001</v>
      </c>
      <c r="EL80" t="s">
        <v>122</v>
      </c>
      <c r="EM80" t="s">
        <v>123</v>
      </c>
      <c r="EO80" t="s">
        <v>6</v>
      </c>
      <c r="EQ80">
        <v>0</v>
      </c>
      <c r="ER80">
        <v>5.6</v>
      </c>
      <c r="ES80">
        <v>5.6</v>
      </c>
      <c r="ET80">
        <v>0</v>
      </c>
      <c r="EU80">
        <v>0</v>
      </c>
      <c r="EV80">
        <v>0</v>
      </c>
      <c r="EW80">
        <v>0</v>
      </c>
      <c r="EX80">
        <v>0</v>
      </c>
      <c r="FQ80">
        <v>0</v>
      </c>
      <c r="FR80">
        <f t="shared" si="96"/>
        <v>0</v>
      </c>
      <c r="FS80">
        <v>0</v>
      </c>
      <c r="FT80" t="s">
        <v>23</v>
      </c>
      <c r="FU80" t="s">
        <v>24</v>
      </c>
      <c r="FX80">
        <v>106.2</v>
      </c>
      <c r="FY80">
        <v>53.55</v>
      </c>
      <c r="GA80" t="s">
        <v>6</v>
      </c>
      <c r="GD80">
        <v>0</v>
      </c>
      <c r="GF80">
        <v>-177089874</v>
      </c>
      <c r="GG80">
        <v>1</v>
      </c>
      <c r="GH80">
        <v>1</v>
      </c>
      <c r="GI80">
        <v>4</v>
      </c>
      <c r="GJ80">
        <v>0</v>
      </c>
      <c r="GK80">
        <f>ROUND(R80*(R12)/100,2)</f>
        <v>0</v>
      </c>
      <c r="GL80">
        <f t="shared" si="97"/>
        <v>0</v>
      </c>
      <c r="GM80">
        <f t="shared" si="98"/>
        <v>85.11</v>
      </c>
      <c r="GN80">
        <f t="shared" si="99"/>
        <v>85.11</v>
      </c>
      <c r="GO80">
        <f t="shared" si="100"/>
        <v>0</v>
      </c>
      <c r="GP80">
        <f t="shared" si="101"/>
        <v>0</v>
      </c>
      <c r="GR80">
        <v>0</v>
      </c>
      <c r="GS80">
        <v>3</v>
      </c>
      <c r="GT80">
        <v>0</v>
      </c>
      <c r="GU80" t="s">
        <v>6</v>
      </c>
      <c r="GV80">
        <f t="shared" si="102"/>
        <v>0</v>
      </c>
      <c r="GW80">
        <v>1</v>
      </c>
      <c r="GX80">
        <f t="shared" si="103"/>
        <v>0</v>
      </c>
      <c r="HA80">
        <v>0</v>
      </c>
      <c r="HB80">
        <v>0</v>
      </c>
      <c r="HC80">
        <f t="shared" si="104"/>
        <v>0</v>
      </c>
      <c r="IK80">
        <v>0</v>
      </c>
    </row>
    <row r="81" spans="1:245" x14ac:dyDescent="0.2">
      <c r="A81">
        <v>18</v>
      </c>
      <c r="B81">
        <v>1</v>
      </c>
      <c r="C81">
        <v>132</v>
      </c>
      <c r="E81" t="s">
        <v>258</v>
      </c>
      <c r="F81" t="s">
        <v>259</v>
      </c>
      <c r="G81" t="s">
        <v>260</v>
      </c>
      <c r="H81" t="s">
        <v>177</v>
      </c>
      <c r="I81">
        <f>I74*J81</f>
        <v>3.06</v>
      </c>
      <c r="J81">
        <v>204</v>
      </c>
      <c r="O81">
        <f t="shared" si="71"/>
        <v>95.89</v>
      </c>
      <c r="P81">
        <f t="shared" si="72"/>
        <v>95.89</v>
      </c>
      <c r="Q81">
        <f t="shared" si="73"/>
        <v>0</v>
      </c>
      <c r="R81">
        <f t="shared" si="74"/>
        <v>0</v>
      </c>
      <c r="S81">
        <f t="shared" si="75"/>
        <v>0</v>
      </c>
      <c r="T81">
        <f t="shared" si="76"/>
        <v>0</v>
      </c>
      <c r="U81">
        <f t="shared" si="77"/>
        <v>0</v>
      </c>
      <c r="V81">
        <f t="shared" si="78"/>
        <v>0</v>
      </c>
      <c r="W81">
        <f t="shared" si="79"/>
        <v>0</v>
      </c>
      <c r="X81">
        <f t="shared" si="80"/>
        <v>0</v>
      </c>
      <c r="Y81">
        <f t="shared" si="81"/>
        <v>0</v>
      </c>
      <c r="AA81">
        <v>16812721</v>
      </c>
      <c r="AB81">
        <f t="shared" si="82"/>
        <v>4.67</v>
      </c>
      <c r="AC81">
        <f t="shared" si="65"/>
        <v>4.67</v>
      </c>
      <c r="AD81">
        <f t="shared" si="107"/>
        <v>0</v>
      </c>
      <c r="AE81">
        <f t="shared" si="108"/>
        <v>0</v>
      </c>
      <c r="AF81">
        <f t="shared" si="109"/>
        <v>0</v>
      </c>
      <c r="AG81">
        <f t="shared" si="83"/>
        <v>0</v>
      </c>
      <c r="AH81">
        <f t="shared" si="110"/>
        <v>0</v>
      </c>
      <c r="AI81">
        <f t="shared" si="111"/>
        <v>0</v>
      </c>
      <c r="AJ81">
        <f t="shared" si="84"/>
        <v>0</v>
      </c>
      <c r="AK81">
        <v>4.67</v>
      </c>
      <c r="AL81">
        <v>4.67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106</v>
      </c>
      <c r="AU81">
        <v>54</v>
      </c>
      <c r="AV81">
        <v>1</v>
      </c>
      <c r="AW81">
        <v>1</v>
      </c>
      <c r="AZ81">
        <v>6.71</v>
      </c>
      <c r="BA81">
        <v>1</v>
      </c>
      <c r="BB81">
        <v>1</v>
      </c>
      <c r="BC81">
        <v>6.71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261</v>
      </c>
      <c r="BM81">
        <v>10001</v>
      </c>
      <c r="BN81">
        <v>0</v>
      </c>
      <c r="BO81" t="s">
        <v>6</v>
      </c>
      <c r="BP81">
        <v>0</v>
      </c>
      <c r="BQ81">
        <v>2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118</v>
      </c>
      <c r="CA81">
        <v>63</v>
      </c>
      <c r="CE81">
        <v>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85"/>
        <v>95.89</v>
      </c>
      <c r="CQ81">
        <f t="shared" si="86"/>
        <v>31.335699999999999</v>
      </c>
      <c r="CR81">
        <f t="shared" si="87"/>
        <v>0</v>
      </c>
      <c r="CS81">
        <f t="shared" si="88"/>
        <v>0</v>
      </c>
      <c r="CT81">
        <f t="shared" si="89"/>
        <v>0</v>
      </c>
      <c r="CU81">
        <f t="shared" si="90"/>
        <v>0</v>
      </c>
      <c r="CV81">
        <f t="shared" si="91"/>
        <v>0</v>
      </c>
      <c r="CW81">
        <f t="shared" si="92"/>
        <v>0</v>
      </c>
      <c r="CX81">
        <f t="shared" si="93"/>
        <v>0</v>
      </c>
      <c r="CY81">
        <f t="shared" si="94"/>
        <v>0</v>
      </c>
      <c r="CZ81">
        <f t="shared" si="95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1003</v>
      </c>
      <c r="DV81" t="s">
        <v>177</v>
      </c>
      <c r="DW81" t="s">
        <v>177</v>
      </c>
      <c r="DX81">
        <v>1</v>
      </c>
      <c r="EE81">
        <v>16510487</v>
      </c>
      <c r="EF81">
        <v>2</v>
      </c>
      <c r="EG81" t="s">
        <v>20</v>
      </c>
      <c r="EH81">
        <v>0</v>
      </c>
      <c r="EI81" t="s">
        <v>6</v>
      </c>
      <c r="EJ81">
        <v>1</v>
      </c>
      <c r="EK81">
        <v>10001</v>
      </c>
      <c r="EL81" t="s">
        <v>122</v>
      </c>
      <c r="EM81" t="s">
        <v>123</v>
      </c>
      <c r="EO81" t="s">
        <v>6</v>
      </c>
      <c r="EQ81">
        <v>0</v>
      </c>
      <c r="ER81">
        <v>4.67</v>
      </c>
      <c r="ES81">
        <v>4.67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6"/>
        <v>0</v>
      </c>
      <c r="FS81">
        <v>0</v>
      </c>
      <c r="FT81" t="s">
        <v>23</v>
      </c>
      <c r="FU81" t="s">
        <v>24</v>
      </c>
      <c r="FX81">
        <v>106.2</v>
      </c>
      <c r="FY81">
        <v>53.55</v>
      </c>
      <c r="GA81" t="s">
        <v>6</v>
      </c>
      <c r="GD81">
        <v>0</v>
      </c>
      <c r="GF81">
        <v>1234013250</v>
      </c>
      <c r="GG81">
        <v>1</v>
      </c>
      <c r="GH81">
        <v>1</v>
      </c>
      <c r="GI81">
        <v>4</v>
      </c>
      <c r="GJ81">
        <v>0</v>
      </c>
      <c r="GK81">
        <f>ROUND(R81*(R12)/100,2)</f>
        <v>0</v>
      </c>
      <c r="GL81">
        <f t="shared" si="97"/>
        <v>0</v>
      </c>
      <c r="GM81">
        <f t="shared" si="98"/>
        <v>95.89</v>
      </c>
      <c r="GN81">
        <f t="shared" si="99"/>
        <v>95.89</v>
      </c>
      <c r="GO81">
        <f t="shared" si="100"/>
        <v>0</v>
      </c>
      <c r="GP81">
        <f t="shared" si="101"/>
        <v>0</v>
      </c>
      <c r="GR81">
        <v>0</v>
      </c>
      <c r="GS81">
        <v>3</v>
      </c>
      <c r="GT81">
        <v>0</v>
      </c>
      <c r="GU81" t="s">
        <v>6</v>
      </c>
      <c r="GV81">
        <f t="shared" si="102"/>
        <v>0</v>
      </c>
      <c r="GW81">
        <v>1</v>
      </c>
      <c r="GX81">
        <f t="shared" si="103"/>
        <v>0</v>
      </c>
      <c r="HA81">
        <v>0</v>
      </c>
      <c r="HB81">
        <v>0</v>
      </c>
      <c r="HC81">
        <f t="shared" si="104"/>
        <v>0</v>
      </c>
      <c r="IK81">
        <v>0</v>
      </c>
    </row>
    <row r="82" spans="1:245" x14ac:dyDescent="0.2">
      <c r="A82">
        <v>18</v>
      </c>
      <c r="B82">
        <v>1</v>
      </c>
      <c r="C82">
        <v>130</v>
      </c>
      <c r="E82" t="s">
        <v>262</v>
      </c>
      <c r="F82" t="s">
        <v>252</v>
      </c>
      <c r="G82" t="s">
        <v>263</v>
      </c>
      <c r="H82" t="s">
        <v>177</v>
      </c>
      <c r="I82">
        <f>I74*J82</f>
        <v>3.06</v>
      </c>
      <c r="J82">
        <v>204</v>
      </c>
      <c r="O82">
        <f t="shared" si="71"/>
        <v>0</v>
      </c>
      <c r="P82">
        <f t="shared" si="72"/>
        <v>0</v>
      </c>
      <c r="Q82">
        <f t="shared" si="73"/>
        <v>0</v>
      </c>
      <c r="R82">
        <f t="shared" si="74"/>
        <v>0</v>
      </c>
      <c r="S82">
        <f t="shared" si="75"/>
        <v>0</v>
      </c>
      <c r="T82">
        <f t="shared" si="76"/>
        <v>0</v>
      </c>
      <c r="U82">
        <f t="shared" si="77"/>
        <v>0</v>
      </c>
      <c r="V82">
        <f t="shared" si="78"/>
        <v>0</v>
      </c>
      <c r="W82">
        <f t="shared" si="79"/>
        <v>0</v>
      </c>
      <c r="X82">
        <f t="shared" si="80"/>
        <v>0</v>
      </c>
      <c r="Y82">
        <f t="shared" si="81"/>
        <v>0</v>
      </c>
      <c r="AA82">
        <v>16812721</v>
      </c>
      <c r="AB82">
        <f t="shared" si="82"/>
        <v>0</v>
      </c>
      <c r="AC82">
        <f t="shared" si="65"/>
        <v>0</v>
      </c>
      <c r="AD82">
        <f t="shared" si="107"/>
        <v>0</v>
      </c>
      <c r="AE82">
        <f t="shared" si="108"/>
        <v>0</v>
      </c>
      <c r="AF82">
        <f t="shared" si="109"/>
        <v>0</v>
      </c>
      <c r="AG82">
        <f t="shared" si="83"/>
        <v>0</v>
      </c>
      <c r="AH82">
        <f t="shared" si="110"/>
        <v>0</v>
      </c>
      <c r="AI82">
        <f t="shared" si="111"/>
        <v>0</v>
      </c>
      <c r="AJ82">
        <f t="shared" si="84"/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106</v>
      </c>
      <c r="AU82">
        <v>54</v>
      </c>
      <c r="AV82">
        <v>1</v>
      </c>
      <c r="AW82">
        <v>1</v>
      </c>
      <c r="AZ82">
        <v>6.71</v>
      </c>
      <c r="BA82">
        <v>1</v>
      </c>
      <c r="BB82">
        <v>1</v>
      </c>
      <c r="BC82">
        <v>6.71</v>
      </c>
      <c r="BD82" t="s">
        <v>6</v>
      </c>
      <c r="BE82" t="s">
        <v>6</v>
      </c>
      <c r="BF82" t="s">
        <v>6</v>
      </c>
      <c r="BG82" t="s">
        <v>6</v>
      </c>
      <c r="BH82">
        <v>3</v>
      </c>
      <c r="BI82">
        <v>1</v>
      </c>
      <c r="BJ82" t="s">
        <v>6</v>
      </c>
      <c r="BM82">
        <v>10001</v>
      </c>
      <c r="BN82">
        <v>0</v>
      </c>
      <c r="BO82" t="s">
        <v>6</v>
      </c>
      <c r="BP82">
        <v>0</v>
      </c>
      <c r="BQ82">
        <v>2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6</v>
      </c>
      <c r="BZ82">
        <v>118</v>
      </c>
      <c r="CA82">
        <v>63</v>
      </c>
      <c r="CE82">
        <v>0</v>
      </c>
      <c r="CF82">
        <v>0</v>
      </c>
      <c r="CG82">
        <v>0</v>
      </c>
      <c r="CM82">
        <v>0</v>
      </c>
      <c r="CN82" t="s">
        <v>6</v>
      </c>
      <c r="CO82">
        <v>0</v>
      </c>
      <c r="CP82">
        <f t="shared" si="85"/>
        <v>0</v>
      </c>
      <c r="CQ82">
        <f t="shared" si="86"/>
        <v>0</v>
      </c>
      <c r="CR82">
        <f t="shared" si="87"/>
        <v>0</v>
      </c>
      <c r="CS82">
        <f t="shared" si="88"/>
        <v>0</v>
      </c>
      <c r="CT82">
        <f t="shared" si="89"/>
        <v>0</v>
      </c>
      <c r="CU82">
        <f t="shared" si="90"/>
        <v>0</v>
      </c>
      <c r="CV82">
        <f t="shared" si="91"/>
        <v>0</v>
      </c>
      <c r="CW82">
        <f t="shared" si="92"/>
        <v>0</v>
      </c>
      <c r="CX82">
        <f t="shared" si="93"/>
        <v>0</v>
      </c>
      <c r="CY82">
        <f t="shared" si="94"/>
        <v>0</v>
      </c>
      <c r="CZ82">
        <f t="shared" si="95"/>
        <v>0</v>
      </c>
      <c r="DC82" t="s">
        <v>6</v>
      </c>
      <c r="DD82" t="s">
        <v>6</v>
      </c>
      <c r="DE82" t="s">
        <v>6</v>
      </c>
      <c r="DF82" t="s">
        <v>6</v>
      </c>
      <c r="DG82" t="s">
        <v>6</v>
      </c>
      <c r="DH82" t="s">
        <v>6</v>
      </c>
      <c r="DI82" t="s">
        <v>6</v>
      </c>
      <c r="DJ82" t="s">
        <v>6</v>
      </c>
      <c r="DK82" t="s">
        <v>6</v>
      </c>
      <c r="DL82" t="s">
        <v>6</v>
      </c>
      <c r="DM82" t="s">
        <v>6</v>
      </c>
      <c r="DN82">
        <v>0</v>
      </c>
      <c r="DO82">
        <v>0</v>
      </c>
      <c r="DP82">
        <v>1</v>
      </c>
      <c r="DQ82">
        <v>1</v>
      </c>
      <c r="DU82">
        <v>1003</v>
      </c>
      <c r="DV82" t="s">
        <v>177</v>
      </c>
      <c r="DW82" t="s">
        <v>177</v>
      </c>
      <c r="DX82">
        <v>1</v>
      </c>
      <c r="EE82">
        <v>16510487</v>
      </c>
      <c r="EF82">
        <v>2</v>
      </c>
      <c r="EG82" t="s">
        <v>20</v>
      </c>
      <c r="EH82">
        <v>0</v>
      </c>
      <c r="EI82" t="s">
        <v>6</v>
      </c>
      <c r="EJ82">
        <v>1</v>
      </c>
      <c r="EK82">
        <v>10001</v>
      </c>
      <c r="EL82" t="s">
        <v>122</v>
      </c>
      <c r="EM82" t="s">
        <v>123</v>
      </c>
      <c r="EO82" t="s">
        <v>6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FQ82">
        <v>0</v>
      </c>
      <c r="FR82">
        <f t="shared" si="96"/>
        <v>0</v>
      </c>
      <c r="FS82">
        <v>0</v>
      </c>
      <c r="FT82" t="s">
        <v>23</v>
      </c>
      <c r="FU82" t="s">
        <v>24</v>
      </c>
      <c r="FX82">
        <v>106.2</v>
      </c>
      <c r="FY82">
        <v>53.55</v>
      </c>
      <c r="GA82" t="s">
        <v>6</v>
      </c>
      <c r="GD82">
        <v>0</v>
      </c>
      <c r="GF82">
        <v>-200649644</v>
      </c>
      <c r="GG82">
        <v>1</v>
      </c>
      <c r="GH82">
        <v>1</v>
      </c>
      <c r="GI82">
        <v>4</v>
      </c>
      <c r="GJ82">
        <v>0</v>
      </c>
      <c r="GK82">
        <f>ROUND(R82*(R12)/100,2)</f>
        <v>0</v>
      </c>
      <c r="GL82">
        <f t="shared" si="97"/>
        <v>0</v>
      </c>
      <c r="GM82">
        <f t="shared" si="98"/>
        <v>0</v>
      </c>
      <c r="GN82">
        <f t="shared" si="99"/>
        <v>0</v>
      </c>
      <c r="GO82">
        <f t="shared" si="100"/>
        <v>0</v>
      </c>
      <c r="GP82">
        <f t="shared" si="101"/>
        <v>0</v>
      </c>
      <c r="GR82">
        <v>0</v>
      </c>
      <c r="GS82">
        <v>3</v>
      </c>
      <c r="GT82">
        <v>0</v>
      </c>
      <c r="GU82" t="s">
        <v>6</v>
      </c>
      <c r="GV82">
        <f t="shared" si="102"/>
        <v>0</v>
      </c>
      <c r="GW82">
        <v>1</v>
      </c>
      <c r="GX82">
        <f t="shared" si="103"/>
        <v>0</v>
      </c>
      <c r="HA82">
        <v>0</v>
      </c>
      <c r="HB82">
        <v>0</v>
      </c>
      <c r="HC82">
        <f t="shared" si="104"/>
        <v>0</v>
      </c>
      <c r="IK82">
        <v>0</v>
      </c>
    </row>
    <row r="83" spans="1:245" x14ac:dyDescent="0.2">
      <c r="A83">
        <v>17</v>
      </c>
      <c r="B83">
        <v>1</v>
      </c>
      <c r="C83">
        <f>ROW(SmtRes!A141)</f>
        <v>141</v>
      </c>
      <c r="D83">
        <f>ROW(EtalonRes!A140)</f>
        <v>140</v>
      </c>
      <c r="E83" t="s">
        <v>264</v>
      </c>
      <c r="F83" t="s">
        <v>265</v>
      </c>
      <c r="G83" t="s">
        <v>266</v>
      </c>
      <c r="H83" t="s">
        <v>18</v>
      </c>
      <c r="I83">
        <f>ROUND(268/100,9)</f>
        <v>2.68</v>
      </c>
      <c r="J83">
        <v>0</v>
      </c>
      <c r="O83">
        <f t="shared" si="71"/>
        <v>16578.88</v>
      </c>
      <c r="P83">
        <f t="shared" si="72"/>
        <v>9887.48</v>
      </c>
      <c r="Q83">
        <f t="shared" si="73"/>
        <v>359.84</v>
      </c>
      <c r="R83">
        <f t="shared" si="74"/>
        <v>155.37</v>
      </c>
      <c r="S83">
        <f t="shared" si="75"/>
        <v>6331.56</v>
      </c>
      <c r="T83">
        <f t="shared" si="76"/>
        <v>0</v>
      </c>
      <c r="U83">
        <f t="shared" si="77"/>
        <v>113.55159999999999</v>
      </c>
      <c r="V83">
        <f t="shared" si="78"/>
        <v>1.7152000000000001</v>
      </c>
      <c r="W83">
        <f t="shared" si="79"/>
        <v>0</v>
      </c>
      <c r="X83">
        <f t="shared" si="80"/>
        <v>5124.67</v>
      </c>
      <c r="Y83">
        <f t="shared" si="81"/>
        <v>3243.47</v>
      </c>
      <c r="AA83">
        <v>16812721</v>
      </c>
      <c r="AB83">
        <f t="shared" si="82"/>
        <v>921.93</v>
      </c>
      <c r="AC83">
        <f t="shared" si="65"/>
        <v>549.83000000000004</v>
      </c>
      <c r="AD83">
        <f t="shared" si="107"/>
        <v>20.010000000000002</v>
      </c>
      <c r="AE83">
        <f t="shared" si="108"/>
        <v>8.64</v>
      </c>
      <c r="AF83">
        <f t="shared" si="109"/>
        <v>352.09</v>
      </c>
      <c r="AG83">
        <f t="shared" si="83"/>
        <v>0</v>
      </c>
      <c r="AH83">
        <f t="shared" si="110"/>
        <v>42.37</v>
      </c>
      <c r="AI83">
        <f t="shared" si="111"/>
        <v>0.64</v>
      </c>
      <c r="AJ83">
        <f t="shared" si="84"/>
        <v>0</v>
      </c>
      <c r="AK83">
        <v>921.93</v>
      </c>
      <c r="AL83">
        <v>549.83000000000004</v>
      </c>
      <c r="AM83">
        <v>20.010000000000002</v>
      </c>
      <c r="AN83">
        <v>8.64</v>
      </c>
      <c r="AO83">
        <v>352.09</v>
      </c>
      <c r="AP83">
        <v>0</v>
      </c>
      <c r="AQ83">
        <v>42.37</v>
      </c>
      <c r="AR83">
        <v>0.64</v>
      </c>
      <c r="AS83">
        <v>0</v>
      </c>
      <c r="AT83">
        <v>79</v>
      </c>
      <c r="AU83">
        <v>50</v>
      </c>
      <c r="AV83">
        <v>1</v>
      </c>
      <c r="AW83">
        <v>1</v>
      </c>
      <c r="AZ83">
        <v>6.71</v>
      </c>
      <c r="BA83">
        <v>6.71</v>
      </c>
      <c r="BB83">
        <v>6.71</v>
      </c>
      <c r="BC83">
        <v>6.71</v>
      </c>
      <c r="BD83" t="s">
        <v>6</v>
      </c>
      <c r="BE83" t="s">
        <v>6</v>
      </c>
      <c r="BF83" t="s">
        <v>6</v>
      </c>
      <c r="BG83" t="s">
        <v>6</v>
      </c>
      <c r="BH83">
        <v>0</v>
      </c>
      <c r="BI83">
        <v>1</v>
      </c>
      <c r="BJ83" t="s">
        <v>267</v>
      </c>
      <c r="BM83">
        <v>61001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6.71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79</v>
      </c>
      <c r="CA83">
        <v>50</v>
      </c>
      <c r="CE83">
        <v>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5"/>
        <v>16578.88</v>
      </c>
      <c r="CQ83">
        <f t="shared" si="86"/>
        <v>3689.3593000000001</v>
      </c>
      <c r="CR83">
        <f t="shared" si="87"/>
        <v>134.2671</v>
      </c>
      <c r="CS83">
        <f t="shared" si="88"/>
        <v>57.974400000000003</v>
      </c>
      <c r="CT83">
        <f t="shared" si="89"/>
        <v>2362.5238999999997</v>
      </c>
      <c r="CU83">
        <f t="shared" si="90"/>
        <v>0</v>
      </c>
      <c r="CV83">
        <f t="shared" si="91"/>
        <v>42.37</v>
      </c>
      <c r="CW83">
        <f t="shared" si="92"/>
        <v>0.64</v>
      </c>
      <c r="CX83">
        <f t="shared" si="93"/>
        <v>0</v>
      </c>
      <c r="CY83">
        <f t="shared" si="94"/>
        <v>5124.6747000000005</v>
      </c>
      <c r="CZ83">
        <f t="shared" si="95"/>
        <v>3243.4650000000001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1005</v>
      </c>
      <c r="DV83" t="s">
        <v>18</v>
      </c>
      <c r="DW83" t="s">
        <v>18</v>
      </c>
      <c r="DX83">
        <v>100</v>
      </c>
      <c r="EE83">
        <v>16510570</v>
      </c>
      <c r="EF83">
        <v>6</v>
      </c>
      <c r="EG83" t="s">
        <v>41</v>
      </c>
      <c r="EH83">
        <v>0</v>
      </c>
      <c r="EI83" t="s">
        <v>6</v>
      </c>
      <c r="EJ83">
        <v>1</v>
      </c>
      <c r="EK83">
        <v>61001</v>
      </c>
      <c r="EL83" t="s">
        <v>268</v>
      </c>
      <c r="EM83" t="s">
        <v>269</v>
      </c>
      <c r="EO83" t="s">
        <v>6</v>
      </c>
      <c r="EQ83">
        <v>131072</v>
      </c>
      <c r="ER83">
        <v>921.93</v>
      </c>
      <c r="ES83">
        <v>549.83000000000004</v>
      </c>
      <c r="ET83">
        <v>20.010000000000002</v>
      </c>
      <c r="EU83">
        <v>8.64</v>
      </c>
      <c r="EV83">
        <v>352.09</v>
      </c>
      <c r="EW83">
        <v>42.37</v>
      </c>
      <c r="EX83">
        <v>0.64</v>
      </c>
      <c r="EY83">
        <v>0</v>
      </c>
      <c r="FQ83">
        <v>0</v>
      </c>
      <c r="FR83">
        <f t="shared" si="96"/>
        <v>0</v>
      </c>
      <c r="FS83">
        <v>0</v>
      </c>
      <c r="FX83">
        <v>79</v>
      </c>
      <c r="FY83">
        <v>50</v>
      </c>
      <c r="GA83" t="s">
        <v>6</v>
      </c>
      <c r="GD83">
        <v>0</v>
      </c>
      <c r="GF83">
        <v>651283125</v>
      </c>
      <c r="GG83">
        <v>1</v>
      </c>
      <c r="GH83">
        <v>1</v>
      </c>
      <c r="GI83">
        <v>4</v>
      </c>
      <c r="GJ83">
        <v>0</v>
      </c>
      <c r="GK83">
        <f>ROUND(R83*(R12)/100,2)</f>
        <v>0</v>
      </c>
      <c r="GL83">
        <f t="shared" si="97"/>
        <v>0</v>
      </c>
      <c r="GM83">
        <f t="shared" si="98"/>
        <v>24947.02</v>
      </c>
      <c r="GN83">
        <f t="shared" si="99"/>
        <v>24947.02</v>
      </c>
      <c r="GO83">
        <f t="shared" si="100"/>
        <v>0</v>
      </c>
      <c r="GP83">
        <f t="shared" si="101"/>
        <v>0</v>
      </c>
      <c r="GR83">
        <v>0</v>
      </c>
      <c r="GS83">
        <v>0</v>
      </c>
      <c r="GT83">
        <v>0</v>
      </c>
      <c r="GU83" t="s">
        <v>6</v>
      </c>
      <c r="GV83">
        <f t="shared" si="102"/>
        <v>0</v>
      </c>
      <c r="GW83">
        <v>1</v>
      </c>
      <c r="GX83">
        <f t="shared" si="103"/>
        <v>0</v>
      </c>
      <c r="HA83">
        <v>0</v>
      </c>
      <c r="HB83">
        <v>0</v>
      </c>
      <c r="HC83">
        <f t="shared" si="104"/>
        <v>0</v>
      </c>
      <c r="IK83">
        <v>0</v>
      </c>
    </row>
    <row r="84" spans="1:245" x14ac:dyDescent="0.2">
      <c r="A84">
        <v>18</v>
      </c>
      <c r="B84">
        <v>1</v>
      </c>
      <c r="C84">
        <v>140</v>
      </c>
      <c r="E84" t="s">
        <v>270</v>
      </c>
      <c r="F84" t="s">
        <v>271</v>
      </c>
      <c r="G84" t="s">
        <v>272</v>
      </c>
      <c r="H84" t="s">
        <v>141</v>
      </c>
      <c r="I84">
        <f>I83*J84</f>
        <v>-2.8408000000000002</v>
      </c>
      <c r="J84">
        <v>-1.06</v>
      </c>
      <c r="O84">
        <f t="shared" si="71"/>
        <v>-9872.2800000000007</v>
      </c>
      <c r="P84">
        <f t="shared" si="72"/>
        <v>-9872.2800000000007</v>
      </c>
      <c r="Q84">
        <f t="shared" si="73"/>
        <v>0</v>
      </c>
      <c r="R84">
        <f t="shared" si="74"/>
        <v>0</v>
      </c>
      <c r="S84">
        <f t="shared" si="75"/>
        <v>0</v>
      </c>
      <c r="T84">
        <f t="shared" si="76"/>
        <v>0</v>
      </c>
      <c r="U84">
        <f t="shared" si="77"/>
        <v>0</v>
      </c>
      <c r="V84">
        <f t="shared" si="78"/>
        <v>0</v>
      </c>
      <c r="W84">
        <f t="shared" si="79"/>
        <v>0</v>
      </c>
      <c r="X84">
        <f t="shared" si="80"/>
        <v>0</v>
      </c>
      <c r="Y84">
        <f t="shared" si="81"/>
        <v>0</v>
      </c>
      <c r="AA84">
        <v>16812721</v>
      </c>
      <c r="AB84">
        <f t="shared" si="82"/>
        <v>517.91</v>
      </c>
      <c r="AC84">
        <f t="shared" si="65"/>
        <v>517.91</v>
      </c>
      <c r="AD84">
        <f t="shared" si="107"/>
        <v>0</v>
      </c>
      <c r="AE84">
        <f t="shared" si="108"/>
        <v>0</v>
      </c>
      <c r="AF84">
        <f t="shared" si="109"/>
        <v>0</v>
      </c>
      <c r="AG84">
        <f t="shared" si="83"/>
        <v>0</v>
      </c>
      <c r="AH84">
        <f t="shared" si="110"/>
        <v>0</v>
      </c>
      <c r="AI84">
        <f t="shared" si="111"/>
        <v>0</v>
      </c>
      <c r="AJ84">
        <f t="shared" si="84"/>
        <v>0</v>
      </c>
      <c r="AK84">
        <v>517.91</v>
      </c>
      <c r="AL84">
        <v>517.91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79</v>
      </c>
      <c r="AU84">
        <v>50</v>
      </c>
      <c r="AV84">
        <v>1</v>
      </c>
      <c r="AW84">
        <v>1</v>
      </c>
      <c r="AZ84">
        <v>6.71</v>
      </c>
      <c r="BA84">
        <v>1</v>
      </c>
      <c r="BB84">
        <v>1</v>
      </c>
      <c r="BC84">
        <v>6.71</v>
      </c>
      <c r="BD84" t="s">
        <v>6</v>
      </c>
      <c r="BE84" t="s">
        <v>6</v>
      </c>
      <c r="BF84" t="s">
        <v>6</v>
      </c>
      <c r="BG84" t="s">
        <v>6</v>
      </c>
      <c r="BH84">
        <v>3</v>
      </c>
      <c r="BI84">
        <v>1</v>
      </c>
      <c r="BJ84" t="s">
        <v>273</v>
      </c>
      <c r="BM84">
        <v>61001</v>
      </c>
      <c r="BN84">
        <v>0</v>
      </c>
      <c r="BO84" t="s">
        <v>6</v>
      </c>
      <c r="BP84">
        <v>0</v>
      </c>
      <c r="BQ84">
        <v>6</v>
      </c>
      <c r="BR84">
        <v>1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6</v>
      </c>
      <c r="BZ84">
        <v>79</v>
      </c>
      <c r="CA84">
        <v>50</v>
      </c>
      <c r="CE84">
        <v>0</v>
      </c>
      <c r="CF84">
        <v>0</v>
      </c>
      <c r="CG84">
        <v>0</v>
      </c>
      <c r="CM84">
        <v>0</v>
      </c>
      <c r="CN84" t="s">
        <v>6</v>
      </c>
      <c r="CO84">
        <v>0</v>
      </c>
      <c r="CP84">
        <f t="shared" si="85"/>
        <v>-9872.2800000000007</v>
      </c>
      <c r="CQ84">
        <f t="shared" si="86"/>
        <v>3475.1760999999997</v>
      </c>
      <c r="CR84">
        <f t="shared" si="87"/>
        <v>0</v>
      </c>
      <c r="CS84">
        <f t="shared" si="88"/>
        <v>0</v>
      </c>
      <c r="CT84">
        <f t="shared" si="89"/>
        <v>0</v>
      </c>
      <c r="CU84">
        <f t="shared" si="90"/>
        <v>0</v>
      </c>
      <c r="CV84">
        <f t="shared" si="91"/>
        <v>0</v>
      </c>
      <c r="CW84">
        <f t="shared" si="92"/>
        <v>0</v>
      </c>
      <c r="CX84">
        <f t="shared" si="93"/>
        <v>0</v>
      </c>
      <c r="CY84">
        <f t="shared" si="94"/>
        <v>0</v>
      </c>
      <c r="CZ84">
        <f t="shared" si="95"/>
        <v>0</v>
      </c>
      <c r="DC84" t="s">
        <v>6</v>
      </c>
      <c r="DD84" t="s">
        <v>6</v>
      </c>
      <c r="DE84" t="s">
        <v>6</v>
      </c>
      <c r="DF84" t="s">
        <v>6</v>
      </c>
      <c r="DG84" t="s">
        <v>6</v>
      </c>
      <c r="DH84" t="s">
        <v>6</v>
      </c>
      <c r="DI84" t="s">
        <v>6</v>
      </c>
      <c r="DJ84" t="s">
        <v>6</v>
      </c>
      <c r="DK84" t="s">
        <v>6</v>
      </c>
      <c r="DL84" t="s">
        <v>6</v>
      </c>
      <c r="DM84" t="s">
        <v>6</v>
      </c>
      <c r="DN84">
        <v>0</v>
      </c>
      <c r="DO84">
        <v>0</v>
      </c>
      <c r="DP84">
        <v>1</v>
      </c>
      <c r="DQ84">
        <v>1</v>
      </c>
      <c r="DU84">
        <v>1007</v>
      </c>
      <c r="DV84" t="s">
        <v>141</v>
      </c>
      <c r="DW84" t="s">
        <v>141</v>
      </c>
      <c r="DX84">
        <v>1</v>
      </c>
      <c r="EE84">
        <v>16510570</v>
      </c>
      <c r="EF84">
        <v>6</v>
      </c>
      <c r="EG84" t="s">
        <v>41</v>
      </c>
      <c r="EH84">
        <v>0</v>
      </c>
      <c r="EI84" t="s">
        <v>6</v>
      </c>
      <c r="EJ84">
        <v>1</v>
      </c>
      <c r="EK84">
        <v>61001</v>
      </c>
      <c r="EL84" t="s">
        <v>268</v>
      </c>
      <c r="EM84" t="s">
        <v>269</v>
      </c>
      <c r="EO84" t="s">
        <v>6</v>
      </c>
      <c r="EQ84">
        <v>32768</v>
      </c>
      <c r="ER84">
        <v>517.91</v>
      </c>
      <c r="ES84">
        <v>517.91</v>
      </c>
      <c r="ET84">
        <v>0</v>
      </c>
      <c r="EU84">
        <v>0</v>
      </c>
      <c r="EV84">
        <v>0</v>
      </c>
      <c r="EW84">
        <v>0</v>
      </c>
      <c r="EX84">
        <v>0</v>
      </c>
      <c r="FQ84">
        <v>0</v>
      </c>
      <c r="FR84">
        <f t="shared" si="96"/>
        <v>0</v>
      </c>
      <c r="FS84">
        <v>0</v>
      </c>
      <c r="FX84">
        <v>79</v>
      </c>
      <c r="FY84">
        <v>50</v>
      </c>
      <c r="GA84" t="s">
        <v>6</v>
      </c>
      <c r="GD84">
        <v>0</v>
      </c>
      <c r="GF84">
        <v>-1001479081</v>
      </c>
      <c r="GG84">
        <v>1</v>
      </c>
      <c r="GH84">
        <v>1</v>
      </c>
      <c r="GI84">
        <v>4</v>
      </c>
      <c r="GJ84">
        <v>0</v>
      </c>
      <c r="GK84">
        <f>ROUND(R84*(R12)/100,2)</f>
        <v>0</v>
      </c>
      <c r="GL84">
        <f t="shared" si="97"/>
        <v>0</v>
      </c>
      <c r="GM84">
        <f t="shared" si="98"/>
        <v>-9872.2800000000007</v>
      </c>
      <c r="GN84">
        <f t="shared" si="99"/>
        <v>-9872.2800000000007</v>
      </c>
      <c r="GO84">
        <f t="shared" si="100"/>
        <v>0</v>
      </c>
      <c r="GP84">
        <f t="shared" si="101"/>
        <v>0</v>
      </c>
      <c r="GR84">
        <v>0</v>
      </c>
      <c r="GS84">
        <v>0</v>
      </c>
      <c r="GT84">
        <v>0</v>
      </c>
      <c r="GU84" t="s">
        <v>6</v>
      </c>
      <c r="GV84">
        <f t="shared" si="102"/>
        <v>0</v>
      </c>
      <c r="GW84">
        <v>1</v>
      </c>
      <c r="GX84">
        <f t="shared" si="103"/>
        <v>0</v>
      </c>
      <c r="HA84">
        <v>0</v>
      </c>
      <c r="HB84">
        <v>0</v>
      </c>
      <c r="HC84">
        <f t="shared" si="104"/>
        <v>0</v>
      </c>
      <c r="IK84">
        <v>0</v>
      </c>
    </row>
    <row r="85" spans="1:245" x14ac:dyDescent="0.2">
      <c r="A85">
        <v>18</v>
      </c>
      <c r="B85">
        <v>1</v>
      </c>
      <c r="C85">
        <v>141</v>
      </c>
      <c r="E85" t="s">
        <v>274</v>
      </c>
      <c r="F85" t="s">
        <v>275</v>
      </c>
      <c r="G85" t="s">
        <v>276</v>
      </c>
      <c r="H85" t="s">
        <v>277</v>
      </c>
      <c r="I85">
        <f>I83*J85</f>
        <v>4260.9523730000001</v>
      </c>
      <c r="J85">
        <v>1589.9076018656715</v>
      </c>
      <c r="O85">
        <f t="shared" si="71"/>
        <v>59183.35</v>
      </c>
      <c r="P85">
        <f t="shared" si="72"/>
        <v>59183.35</v>
      </c>
      <c r="Q85">
        <f t="shared" si="73"/>
        <v>0</v>
      </c>
      <c r="R85">
        <f t="shared" si="74"/>
        <v>0</v>
      </c>
      <c r="S85">
        <f t="shared" si="75"/>
        <v>0</v>
      </c>
      <c r="T85">
        <f t="shared" si="76"/>
        <v>0</v>
      </c>
      <c r="U85">
        <f t="shared" si="77"/>
        <v>0</v>
      </c>
      <c r="V85">
        <f t="shared" si="78"/>
        <v>0</v>
      </c>
      <c r="W85">
        <f t="shared" si="79"/>
        <v>0</v>
      </c>
      <c r="X85">
        <f t="shared" si="80"/>
        <v>0</v>
      </c>
      <c r="Y85">
        <f t="shared" si="81"/>
        <v>0</v>
      </c>
      <c r="AA85">
        <v>16812721</v>
      </c>
      <c r="AB85">
        <f t="shared" si="82"/>
        <v>2.0699999999999998</v>
      </c>
      <c r="AC85">
        <f t="shared" ref="AC85:AC104" si="112">ROUND((ES85),2)</f>
        <v>2.0699999999999998</v>
      </c>
      <c r="AD85">
        <f t="shared" si="107"/>
        <v>0</v>
      </c>
      <c r="AE85">
        <f t="shared" si="108"/>
        <v>0</v>
      </c>
      <c r="AF85">
        <f t="shared" si="109"/>
        <v>0</v>
      </c>
      <c r="AG85">
        <f t="shared" si="83"/>
        <v>0</v>
      </c>
      <c r="AH85">
        <f t="shared" si="110"/>
        <v>0</v>
      </c>
      <c r="AI85">
        <f t="shared" si="111"/>
        <v>0</v>
      </c>
      <c r="AJ85">
        <f t="shared" si="84"/>
        <v>0</v>
      </c>
      <c r="AK85">
        <v>2.0699999999999998</v>
      </c>
      <c r="AL85">
        <v>2.0699999999999998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79</v>
      </c>
      <c r="AU85">
        <v>50</v>
      </c>
      <c r="AV85">
        <v>1</v>
      </c>
      <c r="AW85">
        <v>1</v>
      </c>
      <c r="AZ85">
        <v>6.71</v>
      </c>
      <c r="BA85">
        <v>1</v>
      </c>
      <c r="BB85">
        <v>1</v>
      </c>
      <c r="BC85">
        <v>6.71</v>
      </c>
      <c r="BD85" t="s">
        <v>6</v>
      </c>
      <c r="BE85" t="s">
        <v>6</v>
      </c>
      <c r="BF85" t="s">
        <v>6</v>
      </c>
      <c r="BG85" t="s">
        <v>6</v>
      </c>
      <c r="BH85">
        <v>3</v>
      </c>
      <c r="BI85">
        <v>1</v>
      </c>
      <c r="BJ85" t="s">
        <v>278</v>
      </c>
      <c r="BM85">
        <v>61001</v>
      </c>
      <c r="BN85">
        <v>0</v>
      </c>
      <c r="BO85" t="s">
        <v>6</v>
      </c>
      <c r="BP85">
        <v>0</v>
      </c>
      <c r="BQ85">
        <v>6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79</v>
      </c>
      <c r="CA85">
        <v>50</v>
      </c>
      <c r="CE85">
        <v>0</v>
      </c>
      <c r="CF85">
        <v>0</v>
      </c>
      <c r="CG85">
        <v>0</v>
      </c>
      <c r="CM85">
        <v>0</v>
      </c>
      <c r="CN85" t="s">
        <v>6</v>
      </c>
      <c r="CO85">
        <v>0</v>
      </c>
      <c r="CP85">
        <f t="shared" si="85"/>
        <v>59183.35</v>
      </c>
      <c r="CQ85">
        <f t="shared" si="86"/>
        <v>13.889699999999999</v>
      </c>
      <c r="CR85">
        <f t="shared" si="87"/>
        <v>0</v>
      </c>
      <c r="CS85">
        <f t="shared" si="88"/>
        <v>0</v>
      </c>
      <c r="CT85">
        <f t="shared" si="89"/>
        <v>0</v>
      </c>
      <c r="CU85">
        <f t="shared" si="90"/>
        <v>0</v>
      </c>
      <c r="CV85">
        <f t="shared" si="91"/>
        <v>0</v>
      </c>
      <c r="CW85">
        <f t="shared" si="92"/>
        <v>0</v>
      </c>
      <c r="CX85">
        <f t="shared" si="93"/>
        <v>0</v>
      </c>
      <c r="CY85">
        <f t="shared" si="94"/>
        <v>0</v>
      </c>
      <c r="CZ85">
        <f t="shared" si="95"/>
        <v>0</v>
      </c>
      <c r="DC85" t="s">
        <v>6</v>
      </c>
      <c r="DD85" t="s">
        <v>6</v>
      </c>
      <c r="DE85" t="s">
        <v>6</v>
      </c>
      <c r="DF85" t="s">
        <v>6</v>
      </c>
      <c r="DG85" t="s">
        <v>6</v>
      </c>
      <c r="DH85" t="s">
        <v>6</v>
      </c>
      <c r="DI85" t="s">
        <v>6</v>
      </c>
      <c r="DJ85" t="s">
        <v>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1009</v>
      </c>
      <c r="DV85" t="s">
        <v>277</v>
      </c>
      <c r="DW85" t="s">
        <v>277</v>
      </c>
      <c r="DX85">
        <v>1</v>
      </c>
      <c r="EE85">
        <v>16510570</v>
      </c>
      <c r="EF85">
        <v>6</v>
      </c>
      <c r="EG85" t="s">
        <v>41</v>
      </c>
      <c r="EH85">
        <v>0</v>
      </c>
      <c r="EI85" t="s">
        <v>6</v>
      </c>
      <c r="EJ85">
        <v>1</v>
      </c>
      <c r="EK85">
        <v>61001</v>
      </c>
      <c r="EL85" t="s">
        <v>268</v>
      </c>
      <c r="EM85" t="s">
        <v>269</v>
      </c>
      <c r="EO85" t="s">
        <v>6</v>
      </c>
      <c r="EQ85">
        <v>0</v>
      </c>
      <c r="ER85">
        <v>2.0699999999999998</v>
      </c>
      <c r="ES85">
        <v>2.0699999999999998</v>
      </c>
      <c r="ET85">
        <v>0</v>
      </c>
      <c r="EU85">
        <v>0</v>
      </c>
      <c r="EV85">
        <v>0</v>
      </c>
      <c r="EW85">
        <v>0</v>
      </c>
      <c r="EX85">
        <v>0</v>
      </c>
      <c r="FQ85">
        <v>0</v>
      </c>
      <c r="FR85">
        <f t="shared" si="96"/>
        <v>0</v>
      </c>
      <c r="FS85">
        <v>0</v>
      </c>
      <c r="FX85">
        <v>79</v>
      </c>
      <c r="FY85">
        <v>50</v>
      </c>
      <c r="GA85" t="s">
        <v>6</v>
      </c>
      <c r="GD85">
        <v>0</v>
      </c>
      <c r="GF85">
        <v>-60067644</v>
      </c>
      <c r="GG85">
        <v>1</v>
      </c>
      <c r="GH85">
        <v>1</v>
      </c>
      <c r="GI85">
        <v>4</v>
      </c>
      <c r="GJ85">
        <v>0</v>
      </c>
      <c r="GK85">
        <f>ROUND(R85*(R12)/100,2)</f>
        <v>0</v>
      </c>
      <c r="GL85">
        <f t="shared" si="97"/>
        <v>0</v>
      </c>
      <c r="GM85">
        <f t="shared" si="98"/>
        <v>59183.35</v>
      </c>
      <c r="GN85">
        <f t="shared" si="99"/>
        <v>59183.35</v>
      </c>
      <c r="GO85">
        <f t="shared" si="100"/>
        <v>0</v>
      </c>
      <c r="GP85">
        <f t="shared" si="101"/>
        <v>0</v>
      </c>
      <c r="GR85">
        <v>0</v>
      </c>
      <c r="GS85">
        <v>0</v>
      </c>
      <c r="GT85">
        <v>0</v>
      </c>
      <c r="GU85" t="s">
        <v>6</v>
      </c>
      <c r="GV85">
        <f t="shared" si="102"/>
        <v>0</v>
      </c>
      <c r="GW85">
        <v>1</v>
      </c>
      <c r="GX85">
        <f t="shared" si="103"/>
        <v>0</v>
      </c>
      <c r="HA85">
        <v>0</v>
      </c>
      <c r="HB85">
        <v>0</v>
      </c>
      <c r="HC85">
        <f t="shared" si="104"/>
        <v>0</v>
      </c>
      <c r="IK85">
        <v>0</v>
      </c>
    </row>
    <row r="86" spans="1:245" x14ac:dyDescent="0.2">
      <c r="A86">
        <v>17</v>
      </c>
      <c r="B86">
        <v>1</v>
      </c>
      <c r="C86">
        <f>ROW(SmtRes!A148)</f>
        <v>148</v>
      </c>
      <c r="D86">
        <f>ROW(EtalonRes!A146)</f>
        <v>146</v>
      </c>
      <c r="E86" t="s">
        <v>279</v>
      </c>
      <c r="F86" t="s">
        <v>280</v>
      </c>
      <c r="G86" t="s">
        <v>281</v>
      </c>
      <c r="H86" t="s">
        <v>18</v>
      </c>
      <c r="I86">
        <f>ROUND(268/100,9)</f>
        <v>2.68</v>
      </c>
      <c r="J86">
        <v>0</v>
      </c>
      <c r="O86">
        <f t="shared" si="71"/>
        <v>3289.59</v>
      </c>
      <c r="P86">
        <f t="shared" si="72"/>
        <v>6.47</v>
      </c>
      <c r="Q86">
        <f t="shared" si="73"/>
        <v>36.33</v>
      </c>
      <c r="R86">
        <f t="shared" si="74"/>
        <v>8.27</v>
      </c>
      <c r="S86">
        <f t="shared" si="75"/>
        <v>3246.79</v>
      </c>
      <c r="T86">
        <f t="shared" si="76"/>
        <v>0</v>
      </c>
      <c r="U86">
        <f t="shared" si="77"/>
        <v>50.298239999999993</v>
      </c>
      <c r="V86">
        <f t="shared" si="78"/>
        <v>0.10050000000000001</v>
      </c>
      <c r="W86">
        <f t="shared" si="79"/>
        <v>0</v>
      </c>
      <c r="X86">
        <f t="shared" si="80"/>
        <v>3092.31</v>
      </c>
      <c r="Y86">
        <f t="shared" si="81"/>
        <v>1529.88</v>
      </c>
      <c r="AA86">
        <v>16812721</v>
      </c>
      <c r="AB86">
        <f t="shared" si="82"/>
        <v>182.93</v>
      </c>
      <c r="AC86">
        <f t="shared" si="112"/>
        <v>0.36</v>
      </c>
      <c r="AD86">
        <f>ROUND(((((ET86*1.25))-((EU86*1.25)))+AE86),2)</f>
        <v>2.02</v>
      </c>
      <c r="AE86">
        <f>ROUND(((EU86*1.25)),2)</f>
        <v>0.46</v>
      </c>
      <c r="AF86">
        <f>ROUND(((EV86*1.15)),2)</f>
        <v>180.55</v>
      </c>
      <c r="AG86">
        <f t="shared" si="83"/>
        <v>0</v>
      </c>
      <c r="AH86">
        <f>((EW86*1.15))</f>
        <v>18.767999999999997</v>
      </c>
      <c r="AI86">
        <f>((EX86*1.25))</f>
        <v>3.7499999999999999E-2</v>
      </c>
      <c r="AJ86">
        <f t="shared" si="84"/>
        <v>0</v>
      </c>
      <c r="AK86">
        <v>158.97999999999999</v>
      </c>
      <c r="AL86">
        <v>0.36</v>
      </c>
      <c r="AM86">
        <v>1.62</v>
      </c>
      <c r="AN86">
        <v>0.37</v>
      </c>
      <c r="AO86">
        <v>157</v>
      </c>
      <c r="AP86">
        <v>0</v>
      </c>
      <c r="AQ86">
        <v>16.32</v>
      </c>
      <c r="AR86">
        <v>0.03</v>
      </c>
      <c r="AS86">
        <v>0</v>
      </c>
      <c r="AT86">
        <v>95</v>
      </c>
      <c r="AU86">
        <v>47</v>
      </c>
      <c r="AV86">
        <v>1</v>
      </c>
      <c r="AW86">
        <v>1</v>
      </c>
      <c r="AZ86">
        <v>6.71</v>
      </c>
      <c r="BA86">
        <v>6.71</v>
      </c>
      <c r="BB86">
        <v>6.71</v>
      </c>
      <c r="BC86">
        <v>6.71</v>
      </c>
      <c r="BD86" t="s">
        <v>6</v>
      </c>
      <c r="BE86" t="s">
        <v>6</v>
      </c>
      <c r="BF86" t="s">
        <v>6</v>
      </c>
      <c r="BG86" t="s">
        <v>6</v>
      </c>
      <c r="BH86">
        <v>0</v>
      </c>
      <c r="BI86">
        <v>1</v>
      </c>
      <c r="BJ86" t="s">
        <v>282</v>
      </c>
      <c r="BM86">
        <v>15001</v>
      </c>
      <c r="BN86">
        <v>0</v>
      </c>
      <c r="BO86" t="s">
        <v>6</v>
      </c>
      <c r="BP86">
        <v>0</v>
      </c>
      <c r="BQ86">
        <v>2</v>
      </c>
      <c r="BR86">
        <v>0</v>
      </c>
      <c r="BS86">
        <v>6.71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6</v>
      </c>
      <c r="BZ86">
        <v>105</v>
      </c>
      <c r="CA86">
        <v>55</v>
      </c>
      <c r="CE86">
        <v>0</v>
      </c>
      <c r="CF86">
        <v>0</v>
      </c>
      <c r="CG86">
        <v>0</v>
      </c>
      <c r="CM86">
        <v>0</v>
      </c>
      <c r="CN86" t="s">
        <v>1138</v>
      </c>
      <c r="CO86">
        <v>0</v>
      </c>
      <c r="CP86">
        <f t="shared" si="85"/>
        <v>3289.59</v>
      </c>
      <c r="CQ86">
        <f t="shared" si="86"/>
        <v>2.4156</v>
      </c>
      <c r="CR86">
        <f t="shared" si="87"/>
        <v>13.5542</v>
      </c>
      <c r="CS86">
        <f t="shared" si="88"/>
        <v>3.0866000000000002</v>
      </c>
      <c r="CT86">
        <f t="shared" si="89"/>
        <v>1211.4905000000001</v>
      </c>
      <c r="CU86">
        <f t="shared" si="90"/>
        <v>0</v>
      </c>
      <c r="CV86">
        <f t="shared" si="91"/>
        <v>18.767999999999997</v>
      </c>
      <c r="CW86">
        <f t="shared" si="92"/>
        <v>3.7499999999999999E-2</v>
      </c>
      <c r="CX86">
        <f t="shared" si="93"/>
        <v>0</v>
      </c>
      <c r="CY86">
        <f t="shared" si="94"/>
        <v>3092.3070000000002</v>
      </c>
      <c r="CZ86">
        <f t="shared" si="95"/>
        <v>1529.8782000000001</v>
      </c>
      <c r="DC86" t="s">
        <v>6</v>
      </c>
      <c r="DD86" t="s">
        <v>6</v>
      </c>
      <c r="DE86" t="s">
        <v>103</v>
      </c>
      <c r="DF86" t="s">
        <v>103</v>
      </c>
      <c r="DG86" t="s">
        <v>104</v>
      </c>
      <c r="DH86" t="s">
        <v>6</v>
      </c>
      <c r="DI86" t="s">
        <v>104</v>
      </c>
      <c r="DJ86" t="s">
        <v>103</v>
      </c>
      <c r="DK86" t="s">
        <v>6</v>
      </c>
      <c r="DL86" t="s">
        <v>6</v>
      </c>
      <c r="DM86" t="s">
        <v>6</v>
      </c>
      <c r="DN86">
        <v>0</v>
      </c>
      <c r="DO86">
        <v>0</v>
      </c>
      <c r="DP86">
        <v>1</v>
      </c>
      <c r="DQ86">
        <v>1</v>
      </c>
      <c r="DU86">
        <v>1005</v>
      </c>
      <c r="DV86" t="s">
        <v>18</v>
      </c>
      <c r="DW86" t="s">
        <v>18</v>
      </c>
      <c r="DX86">
        <v>100</v>
      </c>
      <c r="EE86">
        <v>16510513</v>
      </c>
      <c r="EF86">
        <v>2</v>
      </c>
      <c r="EG86" t="s">
        <v>20</v>
      </c>
      <c r="EH86">
        <v>0</v>
      </c>
      <c r="EI86" t="s">
        <v>6</v>
      </c>
      <c r="EJ86">
        <v>1</v>
      </c>
      <c r="EK86">
        <v>15001</v>
      </c>
      <c r="EL86" t="s">
        <v>84</v>
      </c>
      <c r="EM86" t="s">
        <v>85</v>
      </c>
      <c r="EO86" t="s">
        <v>105</v>
      </c>
      <c r="EQ86">
        <v>131072</v>
      </c>
      <c r="ER86">
        <v>158.97999999999999</v>
      </c>
      <c r="ES86">
        <v>0.36</v>
      </c>
      <c r="ET86">
        <v>1.62</v>
      </c>
      <c r="EU86">
        <v>0.37</v>
      </c>
      <c r="EV86">
        <v>157</v>
      </c>
      <c r="EW86">
        <v>16.32</v>
      </c>
      <c r="EX86">
        <v>0.03</v>
      </c>
      <c r="EY86">
        <v>0</v>
      </c>
      <c r="FQ86">
        <v>0</v>
      </c>
      <c r="FR86">
        <f t="shared" si="96"/>
        <v>0</v>
      </c>
      <c r="FS86">
        <v>0</v>
      </c>
      <c r="FT86" t="s">
        <v>23</v>
      </c>
      <c r="FU86" t="s">
        <v>24</v>
      </c>
      <c r="FX86">
        <v>94.5</v>
      </c>
      <c r="FY86">
        <v>46.75</v>
      </c>
      <c r="GA86" t="s">
        <v>6</v>
      </c>
      <c r="GD86">
        <v>0</v>
      </c>
      <c r="GF86">
        <v>-816382651</v>
      </c>
      <c r="GG86">
        <v>1</v>
      </c>
      <c r="GH86">
        <v>1</v>
      </c>
      <c r="GI86">
        <v>4</v>
      </c>
      <c r="GJ86">
        <v>0</v>
      </c>
      <c r="GK86">
        <f>ROUND(R86*(R12)/100,2)</f>
        <v>0</v>
      </c>
      <c r="GL86">
        <f t="shared" si="97"/>
        <v>0</v>
      </c>
      <c r="GM86">
        <f t="shared" si="98"/>
        <v>7911.78</v>
      </c>
      <c r="GN86">
        <f t="shared" si="99"/>
        <v>7911.78</v>
      </c>
      <c r="GO86">
        <f t="shared" si="100"/>
        <v>0</v>
      </c>
      <c r="GP86">
        <f t="shared" si="101"/>
        <v>0</v>
      </c>
      <c r="GR86">
        <v>0</v>
      </c>
      <c r="GS86">
        <v>0</v>
      </c>
      <c r="GT86">
        <v>0</v>
      </c>
      <c r="GU86" t="s">
        <v>6</v>
      </c>
      <c r="GV86">
        <f t="shared" si="102"/>
        <v>0</v>
      </c>
      <c r="GW86">
        <v>1</v>
      </c>
      <c r="GX86">
        <f t="shared" si="103"/>
        <v>0</v>
      </c>
      <c r="HA86">
        <v>0</v>
      </c>
      <c r="HB86">
        <v>0</v>
      </c>
      <c r="HC86">
        <f t="shared" si="104"/>
        <v>0</v>
      </c>
      <c r="IK86">
        <v>0</v>
      </c>
    </row>
    <row r="87" spans="1:245" x14ac:dyDescent="0.2">
      <c r="A87">
        <v>18</v>
      </c>
      <c r="B87">
        <v>1</v>
      </c>
      <c r="C87">
        <v>148</v>
      </c>
      <c r="E87" t="s">
        <v>283</v>
      </c>
      <c r="F87" t="s">
        <v>284</v>
      </c>
      <c r="G87" t="s">
        <v>285</v>
      </c>
      <c r="H87" t="s">
        <v>145</v>
      </c>
      <c r="I87">
        <f>I86*J87</f>
        <v>5.3600000000000002E-2</v>
      </c>
      <c r="J87">
        <v>0.02</v>
      </c>
      <c r="O87">
        <f t="shared" si="71"/>
        <v>0</v>
      </c>
      <c r="P87">
        <f t="shared" si="72"/>
        <v>0</v>
      </c>
      <c r="Q87">
        <f t="shared" si="73"/>
        <v>0</v>
      </c>
      <c r="R87">
        <f t="shared" si="74"/>
        <v>0</v>
      </c>
      <c r="S87">
        <f t="shared" si="75"/>
        <v>0</v>
      </c>
      <c r="T87">
        <f t="shared" si="76"/>
        <v>0</v>
      </c>
      <c r="U87">
        <f t="shared" si="77"/>
        <v>0</v>
      </c>
      <c r="V87">
        <f t="shared" si="78"/>
        <v>0</v>
      </c>
      <c r="W87">
        <f t="shared" si="79"/>
        <v>0</v>
      </c>
      <c r="X87">
        <f t="shared" si="80"/>
        <v>0</v>
      </c>
      <c r="Y87">
        <f t="shared" si="81"/>
        <v>0</v>
      </c>
      <c r="AA87">
        <v>16812721</v>
      </c>
      <c r="AB87">
        <f t="shared" si="82"/>
        <v>0</v>
      </c>
      <c r="AC87">
        <f t="shared" si="112"/>
        <v>0</v>
      </c>
      <c r="AD87">
        <f>ROUND((((ET87)-(EU87))+AE87),2)</f>
        <v>0</v>
      </c>
      <c r="AE87">
        <f>ROUND((EU87),2)</f>
        <v>0</v>
      </c>
      <c r="AF87">
        <f>ROUND((EV87),2)</f>
        <v>0</v>
      </c>
      <c r="AG87">
        <f t="shared" si="83"/>
        <v>0</v>
      </c>
      <c r="AH87">
        <f>(EW87)</f>
        <v>0</v>
      </c>
      <c r="AI87">
        <f>(EX87)</f>
        <v>0</v>
      </c>
      <c r="AJ87">
        <f t="shared" si="84"/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95</v>
      </c>
      <c r="AU87">
        <v>47</v>
      </c>
      <c r="AV87">
        <v>1</v>
      </c>
      <c r="AW87">
        <v>1</v>
      </c>
      <c r="AZ87">
        <v>6.71</v>
      </c>
      <c r="BA87">
        <v>1</v>
      </c>
      <c r="BB87">
        <v>1</v>
      </c>
      <c r="BC87">
        <v>6.71</v>
      </c>
      <c r="BD87" t="s">
        <v>6</v>
      </c>
      <c r="BE87" t="s">
        <v>6</v>
      </c>
      <c r="BF87" t="s">
        <v>6</v>
      </c>
      <c r="BG87" t="s">
        <v>6</v>
      </c>
      <c r="BH87">
        <v>3</v>
      </c>
      <c r="BI87">
        <v>1</v>
      </c>
      <c r="BJ87" t="s">
        <v>6</v>
      </c>
      <c r="BM87">
        <v>15001</v>
      </c>
      <c r="BN87">
        <v>0</v>
      </c>
      <c r="BO87" t="s">
        <v>6</v>
      </c>
      <c r="BP87">
        <v>0</v>
      </c>
      <c r="BQ87">
        <v>2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105</v>
      </c>
      <c r="CA87">
        <v>55</v>
      </c>
      <c r="CE87">
        <v>0</v>
      </c>
      <c r="CF87">
        <v>0</v>
      </c>
      <c r="CG87">
        <v>0</v>
      </c>
      <c r="CM87">
        <v>0</v>
      </c>
      <c r="CN87" t="s">
        <v>6</v>
      </c>
      <c r="CO87">
        <v>0</v>
      </c>
      <c r="CP87">
        <f t="shared" si="85"/>
        <v>0</v>
      </c>
      <c r="CQ87">
        <f t="shared" si="86"/>
        <v>0</v>
      </c>
      <c r="CR87">
        <f t="shared" si="87"/>
        <v>0</v>
      </c>
      <c r="CS87">
        <f t="shared" si="88"/>
        <v>0</v>
      </c>
      <c r="CT87">
        <f t="shared" si="89"/>
        <v>0</v>
      </c>
      <c r="CU87">
        <f t="shared" si="90"/>
        <v>0</v>
      </c>
      <c r="CV87">
        <f t="shared" si="91"/>
        <v>0</v>
      </c>
      <c r="CW87">
        <f t="shared" si="92"/>
        <v>0</v>
      </c>
      <c r="CX87">
        <f t="shared" si="93"/>
        <v>0</v>
      </c>
      <c r="CY87">
        <f t="shared" si="94"/>
        <v>0</v>
      </c>
      <c r="CZ87">
        <f t="shared" si="95"/>
        <v>0</v>
      </c>
      <c r="DC87" t="s">
        <v>6</v>
      </c>
      <c r="DD87" t="s">
        <v>6</v>
      </c>
      <c r="DE87" t="s">
        <v>6</v>
      </c>
      <c r="DF87" t="s">
        <v>6</v>
      </c>
      <c r="DG87" t="s">
        <v>6</v>
      </c>
      <c r="DH87" t="s">
        <v>6</v>
      </c>
      <c r="DI87" t="s">
        <v>6</v>
      </c>
      <c r="DJ87" t="s">
        <v>6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1009</v>
      </c>
      <c r="DV87" t="s">
        <v>145</v>
      </c>
      <c r="DW87" t="s">
        <v>145</v>
      </c>
      <c r="DX87">
        <v>1000</v>
      </c>
      <c r="EE87">
        <v>16510513</v>
      </c>
      <c r="EF87">
        <v>2</v>
      </c>
      <c r="EG87" t="s">
        <v>20</v>
      </c>
      <c r="EH87">
        <v>0</v>
      </c>
      <c r="EI87" t="s">
        <v>6</v>
      </c>
      <c r="EJ87">
        <v>1</v>
      </c>
      <c r="EK87">
        <v>15001</v>
      </c>
      <c r="EL87" t="s">
        <v>84</v>
      </c>
      <c r="EM87" t="s">
        <v>85</v>
      </c>
      <c r="EO87" t="s">
        <v>6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FQ87">
        <v>0</v>
      </c>
      <c r="FR87">
        <f t="shared" si="96"/>
        <v>0</v>
      </c>
      <c r="FS87">
        <v>0</v>
      </c>
      <c r="FT87" t="s">
        <v>23</v>
      </c>
      <c r="FU87" t="s">
        <v>24</v>
      </c>
      <c r="FX87">
        <v>94.5</v>
      </c>
      <c r="FY87">
        <v>46.75</v>
      </c>
      <c r="GA87" t="s">
        <v>6</v>
      </c>
      <c r="GD87">
        <v>0</v>
      </c>
      <c r="GF87">
        <v>-1212923053</v>
      </c>
      <c r="GG87">
        <v>1</v>
      </c>
      <c r="GH87">
        <v>1</v>
      </c>
      <c r="GI87">
        <v>4</v>
      </c>
      <c r="GJ87">
        <v>0</v>
      </c>
      <c r="GK87">
        <f>ROUND(R87*(R12)/100,2)</f>
        <v>0</v>
      </c>
      <c r="GL87">
        <f t="shared" si="97"/>
        <v>0</v>
      </c>
      <c r="GM87">
        <f t="shared" si="98"/>
        <v>0</v>
      </c>
      <c r="GN87">
        <f t="shared" si="99"/>
        <v>0</v>
      </c>
      <c r="GO87">
        <f t="shared" si="100"/>
        <v>0</v>
      </c>
      <c r="GP87">
        <f t="shared" si="101"/>
        <v>0</v>
      </c>
      <c r="GR87">
        <v>0</v>
      </c>
      <c r="GS87">
        <v>3</v>
      </c>
      <c r="GT87">
        <v>0</v>
      </c>
      <c r="GU87" t="s">
        <v>6</v>
      </c>
      <c r="GV87">
        <f t="shared" si="102"/>
        <v>0</v>
      </c>
      <c r="GW87">
        <v>1</v>
      </c>
      <c r="GX87">
        <f t="shared" si="103"/>
        <v>0</v>
      </c>
      <c r="HA87">
        <v>0</v>
      </c>
      <c r="HB87">
        <v>0</v>
      </c>
      <c r="HC87">
        <f t="shared" si="104"/>
        <v>0</v>
      </c>
      <c r="IK87">
        <v>0</v>
      </c>
    </row>
    <row r="88" spans="1:245" x14ac:dyDescent="0.2">
      <c r="A88">
        <v>18</v>
      </c>
      <c r="B88">
        <v>1</v>
      </c>
      <c r="C88">
        <v>147</v>
      </c>
      <c r="E88" t="s">
        <v>286</v>
      </c>
      <c r="F88" t="s">
        <v>287</v>
      </c>
      <c r="G88" t="s">
        <v>288</v>
      </c>
      <c r="H88" t="s">
        <v>277</v>
      </c>
      <c r="I88">
        <f>I86*J88</f>
        <v>53.6</v>
      </c>
      <c r="J88">
        <v>20</v>
      </c>
      <c r="O88">
        <f t="shared" si="71"/>
        <v>5427.21</v>
      </c>
      <c r="P88">
        <f t="shared" si="72"/>
        <v>5427.21</v>
      </c>
      <c r="Q88">
        <f t="shared" si="73"/>
        <v>0</v>
      </c>
      <c r="R88">
        <f t="shared" si="74"/>
        <v>0</v>
      </c>
      <c r="S88">
        <f t="shared" si="75"/>
        <v>0</v>
      </c>
      <c r="T88">
        <f t="shared" si="76"/>
        <v>0</v>
      </c>
      <c r="U88">
        <f t="shared" si="77"/>
        <v>0</v>
      </c>
      <c r="V88">
        <f t="shared" si="78"/>
        <v>0</v>
      </c>
      <c r="W88">
        <f t="shared" si="79"/>
        <v>0</v>
      </c>
      <c r="X88">
        <f t="shared" si="80"/>
        <v>0</v>
      </c>
      <c r="Y88">
        <f t="shared" si="81"/>
        <v>0</v>
      </c>
      <c r="AA88">
        <v>16812721</v>
      </c>
      <c r="AB88">
        <f t="shared" si="82"/>
        <v>15.09</v>
      </c>
      <c r="AC88">
        <f t="shared" si="112"/>
        <v>15.09</v>
      </c>
      <c r="AD88">
        <f>ROUND((((ET88)-(EU88))+AE88),2)</f>
        <v>0</v>
      </c>
      <c r="AE88">
        <f>ROUND((EU88),2)</f>
        <v>0</v>
      </c>
      <c r="AF88">
        <f>ROUND((EV88),2)</f>
        <v>0</v>
      </c>
      <c r="AG88">
        <f t="shared" si="83"/>
        <v>0</v>
      </c>
      <c r="AH88">
        <f>(EW88)</f>
        <v>0</v>
      </c>
      <c r="AI88">
        <f>(EX88)</f>
        <v>0</v>
      </c>
      <c r="AJ88">
        <f t="shared" si="84"/>
        <v>0</v>
      </c>
      <c r="AK88">
        <v>15.09</v>
      </c>
      <c r="AL88">
        <v>15.09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95</v>
      </c>
      <c r="AU88">
        <v>47</v>
      </c>
      <c r="AV88">
        <v>1</v>
      </c>
      <c r="AW88">
        <v>1</v>
      </c>
      <c r="AZ88">
        <v>6.71</v>
      </c>
      <c r="BA88">
        <v>1</v>
      </c>
      <c r="BB88">
        <v>1</v>
      </c>
      <c r="BC88">
        <v>6.71</v>
      </c>
      <c r="BD88" t="s">
        <v>6</v>
      </c>
      <c r="BE88" t="s">
        <v>6</v>
      </c>
      <c r="BF88" t="s">
        <v>6</v>
      </c>
      <c r="BG88" t="s">
        <v>6</v>
      </c>
      <c r="BH88">
        <v>3</v>
      </c>
      <c r="BI88">
        <v>1</v>
      </c>
      <c r="BJ88" t="s">
        <v>289</v>
      </c>
      <c r="BM88">
        <v>15001</v>
      </c>
      <c r="BN88">
        <v>0</v>
      </c>
      <c r="BO88" t="s">
        <v>6</v>
      </c>
      <c r="BP88">
        <v>0</v>
      </c>
      <c r="BQ88">
        <v>2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6</v>
      </c>
      <c r="BZ88">
        <v>105</v>
      </c>
      <c r="CA88">
        <v>55</v>
      </c>
      <c r="CE88">
        <v>0</v>
      </c>
      <c r="CF88">
        <v>0</v>
      </c>
      <c r="CG88">
        <v>0</v>
      </c>
      <c r="CM88">
        <v>0</v>
      </c>
      <c r="CN88" t="s">
        <v>6</v>
      </c>
      <c r="CO88">
        <v>0</v>
      </c>
      <c r="CP88">
        <f t="shared" si="85"/>
        <v>5427.21</v>
      </c>
      <c r="CQ88">
        <f t="shared" si="86"/>
        <v>101.2539</v>
      </c>
      <c r="CR88">
        <f t="shared" si="87"/>
        <v>0</v>
      </c>
      <c r="CS88">
        <f t="shared" si="88"/>
        <v>0</v>
      </c>
      <c r="CT88">
        <f t="shared" si="89"/>
        <v>0</v>
      </c>
      <c r="CU88">
        <f t="shared" si="90"/>
        <v>0</v>
      </c>
      <c r="CV88">
        <f t="shared" si="91"/>
        <v>0</v>
      </c>
      <c r="CW88">
        <f t="shared" si="92"/>
        <v>0</v>
      </c>
      <c r="CX88">
        <f t="shared" si="93"/>
        <v>0</v>
      </c>
      <c r="CY88">
        <f t="shared" si="94"/>
        <v>0</v>
      </c>
      <c r="CZ88">
        <f t="shared" si="95"/>
        <v>0</v>
      </c>
      <c r="DC88" t="s">
        <v>6</v>
      </c>
      <c r="DD88" t="s">
        <v>6</v>
      </c>
      <c r="DE88" t="s">
        <v>6</v>
      </c>
      <c r="DF88" t="s">
        <v>6</v>
      </c>
      <c r="DG88" t="s">
        <v>6</v>
      </c>
      <c r="DH88" t="s">
        <v>6</v>
      </c>
      <c r="DI88" t="s">
        <v>6</v>
      </c>
      <c r="DJ88" t="s">
        <v>6</v>
      </c>
      <c r="DK88" t="s">
        <v>6</v>
      </c>
      <c r="DL88" t="s">
        <v>6</v>
      </c>
      <c r="DM88" t="s">
        <v>6</v>
      </c>
      <c r="DN88">
        <v>0</v>
      </c>
      <c r="DO88">
        <v>0</v>
      </c>
      <c r="DP88">
        <v>1</v>
      </c>
      <c r="DQ88">
        <v>1</v>
      </c>
      <c r="DU88">
        <v>1009</v>
      </c>
      <c r="DV88" t="s">
        <v>277</v>
      </c>
      <c r="DW88" t="s">
        <v>277</v>
      </c>
      <c r="DX88">
        <v>1</v>
      </c>
      <c r="EE88">
        <v>16510513</v>
      </c>
      <c r="EF88">
        <v>2</v>
      </c>
      <c r="EG88" t="s">
        <v>20</v>
      </c>
      <c r="EH88">
        <v>0</v>
      </c>
      <c r="EI88" t="s">
        <v>6</v>
      </c>
      <c r="EJ88">
        <v>1</v>
      </c>
      <c r="EK88">
        <v>15001</v>
      </c>
      <c r="EL88" t="s">
        <v>84</v>
      </c>
      <c r="EM88" t="s">
        <v>85</v>
      </c>
      <c r="EO88" t="s">
        <v>6</v>
      </c>
      <c r="EQ88">
        <v>0</v>
      </c>
      <c r="ER88">
        <v>15.09</v>
      </c>
      <c r="ES88">
        <v>15.09</v>
      </c>
      <c r="ET88">
        <v>0</v>
      </c>
      <c r="EU88">
        <v>0</v>
      </c>
      <c r="EV88">
        <v>0</v>
      </c>
      <c r="EW88">
        <v>0</v>
      </c>
      <c r="EX88">
        <v>0</v>
      </c>
      <c r="FQ88">
        <v>0</v>
      </c>
      <c r="FR88">
        <f t="shared" si="96"/>
        <v>0</v>
      </c>
      <c r="FS88">
        <v>0</v>
      </c>
      <c r="FT88" t="s">
        <v>23</v>
      </c>
      <c r="FU88" t="s">
        <v>24</v>
      </c>
      <c r="FX88">
        <v>94.5</v>
      </c>
      <c r="FY88">
        <v>46.75</v>
      </c>
      <c r="GA88" t="s">
        <v>6</v>
      </c>
      <c r="GD88">
        <v>0</v>
      </c>
      <c r="GF88">
        <v>1453462043</v>
      </c>
      <c r="GG88">
        <v>1</v>
      </c>
      <c r="GH88">
        <v>1</v>
      </c>
      <c r="GI88">
        <v>4</v>
      </c>
      <c r="GJ88">
        <v>0</v>
      </c>
      <c r="GK88">
        <f>ROUND(R88*(R12)/100,2)</f>
        <v>0</v>
      </c>
      <c r="GL88">
        <f t="shared" si="97"/>
        <v>0</v>
      </c>
      <c r="GM88">
        <f t="shared" si="98"/>
        <v>5427.21</v>
      </c>
      <c r="GN88">
        <f t="shared" si="99"/>
        <v>5427.21</v>
      </c>
      <c r="GO88">
        <f t="shared" si="100"/>
        <v>0</v>
      </c>
      <c r="GP88">
        <f t="shared" si="101"/>
        <v>0</v>
      </c>
      <c r="GR88">
        <v>0</v>
      </c>
      <c r="GS88">
        <v>3</v>
      </c>
      <c r="GT88">
        <v>0</v>
      </c>
      <c r="GU88" t="s">
        <v>6</v>
      </c>
      <c r="GV88">
        <f t="shared" si="102"/>
        <v>0</v>
      </c>
      <c r="GW88">
        <v>1</v>
      </c>
      <c r="GX88">
        <f t="shared" si="103"/>
        <v>0</v>
      </c>
      <c r="HA88">
        <v>0</v>
      </c>
      <c r="HB88">
        <v>0</v>
      </c>
      <c r="HC88">
        <f t="shared" si="104"/>
        <v>0</v>
      </c>
      <c r="IK88">
        <v>0</v>
      </c>
    </row>
    <row r="89" spans="1:245" x14ac:dyDescent="0.2">
      <c r="A89">
        <v>17</v>
      </c>
      <c r="B89">
        <v>1</v>
      </c>
      <c r="C89">
        <f>ROW(SmtRes!A160)</f>
        <v>160</v>
      </c>
      <c r="D89">
        <f>ROW(EtalonRes!A157)</f>
        <v>157</v>
      </c>
      <c r="E89" t="s">
        <v>290</v>
      </c>
      <c r="F89" t="s">
        <v>291</v>
      </c>
      <c r="G89" t="s">
        <v>292</v>
      </c>
      <c r="H89" t="s">
        <v>18</v>
      </c>
      <c r="I89">
        <f>ROUND(268/100,9)</f>
        <v>2.68</v>
      </c>
      <c r="J89">
        <v>0</v>
      </c>
      <c r="O89">
        <f t="shared" si="71"/>
        <v>8358.59</v>
      </c>
      <c r="P89">
        <f t="shared" si="72"/>
        <v>2174.84</v>
      </c>
      <c r="Q89">
        <f t="shared" si="73"/>
        <v>21.94</v>
      </c>
      <c r="R89">
        <f t="shared" si="74"/>
        <v>5.93</v>
      </c>
      <c r="S89">
        <f t="shared" si="75"/>
        <v>6161.81</v>
      </c>
      <c r="T89">
        <f t="shared" si="76"/>
        <v>0</v>
      </c>
      <c r="U89">
        <f t="shared" si="77"/>
        <v>103.64766000000002</v>
      </c>
      <c r="V89">
        <f t="shared" si="78"/>
        <v>6.7000000000000004E-2</v>
      </c>
      <c r="W89">
        <f t="shared" si="79"/>
        <v>0</v>
      </c>
      <c r="X89">
        <f t="shared" si="80"/>
        <v>5859.35</v>
      </c>
      <c r="Y89">
        <f t="shared" si="81"/>
        <v>2898.84</v>
      </c>
      <c r="AA89">
        <v>16812721</v>
      </c>
      <c r="AB89">
        <f t="shared" si="82"/>
        <v>464.81</v>
      </c>
      <c r="AC89">
        <f t="shared" si="112"/>
        <v>120.94</v>
      </c>
      <c r="AD89">
        <f>ROUND(((((ET89*1.25))-((EU89*1.25)))+AE89),2)</f>
        <v>1.22</v>
      </c>
      <c r="AE89">
        <f>ROUND(((EU89*1.25)),2)</f>
        <v>0.33</v>
      </c>
      <c r="AF89">
        <f>ROUND(((EV89*1.15)),2)</f>
        <v>342.65</v>
      </c>
      <c r="AG89">
        <f t="shared" si="83"/>
        <v>0</v>
      </c>
      <c r="AH89">
        <f>((EW89*1.15))</f>
        <v>38.674500000000002</v>
      </c>
      <c r="AI89">
        <f>((EX89*1.25))</f>
        <v>2.5000000000000001E-2</v>
      </c>
      <c r="AJ89">
        <f t="shared" si="84"/>
        <v>0</v>
      </c>
      <c r="AK89">
        <v>419.87</v>
      </c>
      <c r="AL89">
        <v>120.94</v>
      </c>
      <c r="AM89">
        <v>0.97</v>
      </c>
      <c r="AN89">
        <v>0.26</v>
      </c>
      <c r="AO89">
        <v>297.95999999999998</v>
      </c>
      <c r="AP89">
        <v>0</v>
      </c>
      <c r="AQ89">
        <v>33.630000000000003</v>
      </c>
      <c r="AR89">
        <v>0.02</v>
      </c>
      <c r="AS89">
        <v>0</v>
      </c>
      <c r="AT89">
        <v>95</v>
      </c>
      <c r="AU89">
        <v>47</v>
      </c>
      <c r="AV89">
        <v>1</v>
      </c>
      <c r="AW89">
        <v>1</v>
      </c>
      <c r="AZ89">
        <v>6.71</v>
      </c>
      <c r="BA89">
        <v>6.71</v>
      </c>
      <c r="BB89">
        <v>6.71</v>
      </c>
      <c r="BC89">
        <v>6.71</v>
      </c>
      <c r="BD89" t="s">
        <v>6</v>
      </c>
      <c r="BE89" t="s">
        <v>6</v>
      </c>
      <c r="BF89" t="s">
        <v>6</v>
      </c>
      <c r="BG89" t="s">
        <v>6</v>
      </c>
      <c r="BH89">
        <v>0</v>
      </c>
      <c r="BI89">
        <v>1</v>
      </c>
      <c r="BJ89" t="s">
        <v>293</v>
      </c>
      <c r="BM89">
        <v>15001</v>
      </c>
      <c r="BN89">
        <v>0</v>
      </c>
      <c r="BO89" t="s">
        <v>6</v>
      </c>
      <c r="BP89">
        <v>0</v>
      </c>
      <c r="BQ89">
        <v>2</v>
      </c>
      <c r="BR89">
        <v>0</v>
      </c>
      <c r="BS89">
        <v>6.71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105</v>
      </c>
      <c r="CA89">
        <v>55</v>
      </c>
      <c r="CE89">
        <v>0</v>
      </c>
      <c r="CF89">
        <v>0</v>
      </c>
      <c r="CG89">
        <v>0</v>
      </c>
      <c r="CM89">
        <v>0</v>
      </c>
      <c r="CN89" t="s">
        <v>1138</v>
      </c>
      <c r="CO89">
        <v>0</v>
      </c>
      <c r="CP89">
        <f t="shared" si="85"/>
        <v>8358.59</v>
      </c>
      <c r="CQ89">
        <f t="shared" si="86"/>
        <v>811.50739999999996</v>
      </c>
      <c r="CR89">
        <f t="shared" si="87"/>
        <v>8.1861999999999995</v>
      </c>
      <c r="CS89">
        <f t="shared" si="88"/>
        <v>2.2143000000000002</v>
      </c>
      <c r="CT89">
        <f t="shared" si="89"/>
        <v>2299.1814999999997</v>
      </c>
      <c r="CU89">
        <f t="shared" si="90"/>
        <v>0</v>
      </c>
      <c r="CV89">
        <f t="shared" si="91"/>
        <v>38.674500000000002</v>
      </c>
      <c r="CW89">
        <f t="shared" si="92"/>
        <v>2.5000000000000001E-2</v>
      </c>
      <c r="CX89">
        <f t="shared" si="93"/>
        <v>0</v>
      </c>
      <c r="CY89">
        <f t="shared" si="94"/>
        <v>5859.3530000000001</v>
      </c>
      <c r="CZ89">
        <f t="shared" si="95"/>
        <v>2898.8378000000002</v>
      </c>
      <c r="DC89" t="s">
        <v>6</v>
      </c>
      <c r="DD89" t="s">
        <v>6</v>
      </c>
      <c r="DE89" t="s">
        <v>103</v>
      </c>
      <c r="DF89" t="s">
        <v>103</v>
      </c>
      <c r="DG89" t="s">
        <v>104</v>
      </c>
      <c r="DH89" t="s">
        <v>6</v>
      </c>
      <c r="DI89" t="s">
        <v>104</v>
      </c>
      <c r="DJ89" t="s">
        <v>103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1005</v>
      </c>
      <c r="DV89" t="s">
        <v>18</v>
      </c>
      <c r="DW89" t="s">
        <v>18</v>
      </c>
      <c r="DX89">
        <v>100</v>
      </c>
      <c r="EE89">
        <v>16510513</v>
      </c>
      <c r="EF89">
        <v>2</v>
      </c>
      <c r="EG89" t="s">
        <v>20</v>
      </c>
      <c r="EH89">
        <v>0</v>
      </c>
      <c r="EI89" t="s">
        <v>6</v>
      </c>
      <c r="EJ89">
        <v>1</v>
      </c>
      <c r="EK89">
        <v>15001</v>
      </c>
      <c r="EL89" t="s">
        <v>84</v>
      </c>
      <c r="EM89" t="s">
        <v>85</v>
      </c>
      <c r="EO89" t="s">
        <v>105</v>
      </c>
      <c r="EQ89">
        <v>0</v>
      </c>
      <c r="ER89">
        <v>419.87</v>
      </c>
      <c r="ES89">
        <v>120.94</v>
      </c>
      <c r="ET89">
        <v>0.97</v>
      </c>
      <c r="EU89">
        <v>0.26</v>
      </c>
      <c r="EV89">
        <v>297.95999999999998</v>
      </c>
      <c r="EW89">
        <v>33.630000000000003</v>
      </c>
      <c r="EX89">
        <v>0.02</v>
      </c>
      <c r="EY89">
        <v>0</v>
      </c>
      <c r="FQ89">
        <v>0</v>
      </c>
      <c r="FR89">
        <f t="shared" si="96"/>
        <v>0</v>
      </c>
      <c r="FS89">
        <v>0</v>
      </c>
      <c r="FT89" t="s">
        <v>23</v>
      </c>
      <c r="FU89" t="s">
        <v>24</v>
      </c>
      <c r="FX89">
        <v>94.5</v>
      </c>
      <c r="FY89">
        <v>46.75</v>
      </c>
      <c r="GA89" t="s">
        <v>6</v>
      </c>
      <c r="GD89">
        <v>0</v>
      </c>
      <c r="GF89">
        <v>33197345</v>
      </c>
      <c r="GG89">
        <v>1</v>
      </c>
      <c r="GH89">
        <v>1</v>
      </c>
      <c r="GI89">
        <v>4</v>
      </c>
      <c r="GJ89">
        <v>0</v>
      </c>
      <c r="GK89">
        <f>ROUND(R89*(R12)/100,2)</f>
        <v>0</v>
      </c>
      <c r="GL89">
        <f t="shared" si="97"/>
        <v>0</v>
      </c>
      <c r="GM89">
        <f t="shared" si="98"/>
        <v>17116.78</v>
      </c>
      <c r="GN89">
        <f t="shared" si="99"/>
        <v>17116.78</v>
      </c>
      <c r="GO89">
        <f t="shared" si="100"/>
        <v>0</v>
      </c>
      <c r="GP89">
        <f t="shared" si="101"/>
        <v>0</v>
      </c>
      <c r="GR89">
        <v>0</v>
      </c>
      <c r="GS89">
        <v>3</v>
      </c>
      <c r="GT89">
        <v>0</v>
      </c>
      <c r="GU89" t="s">
        <v>6</v>
      </c>
      <c r="GV89">
        <f t="shared" si="102"/>
        <v>0</v>
      </c>
      <c r="GW89">
        <v>1</v>
      </c>
      <c r="GX89">
        <f t="shared" si="103"/>
        <v>0</v>
      </c>
      <c r="HA89">
        <v>0</v>
      </c>
      <c r="HB89">
        <v>0</v>
      </c>
      <c r="HC89">
        <f t="shared" si="104"/>
        <v>0</v>
      </c>
      <c r="IK89">
        <v>0</v>
      </c>
    </row>
    <row r="90" spans="1:245" x14ac:dyDescent="0.2">
      <c r="A90">
        <v>18</v>
      </c>
      <c r="B90">
        <v>1</v>
      </c>
      <c r="C90">
        <v>153</v>
      </c>
      <c r="E90" t="s">
        <v>294</v>
      </c>
      <c r="F90" t="s">
        <v>295</v>
      </c>
      <c r="G90" t="s">
        <v>296</v>
      </c>
      <c r="H90" t="s">
        <v>18</v>
      </c>
      <c r="I90">
        <f>I89*J90</f>
        <v>3.0284</v>
      </c>
      <c r="J90">
        <v>1.1299999999999999</v>
      </c>
      <c r="O90">
        <f t="shared" si="71"/>
        <v>0</v>
      </c>
      <c r="P90">
        <f t="shared" si="72"/>
        <v>0</v>
      </c>
      <c r="Q90">
        <f t="shared" si="73"/>
        <v>0</v>
      </c>
      <c r="R90">
        <f t="shared" si="74"/>
        <v>0</v>
      </c>
      <c r="S90">
        <f t="shared" si="75"/>
        <v>0</v>
      </c>
      <c r="T90">
        <f t="shared" si="76"/>
        <v>0</v>
      </c>
      <c r="U90">
        <f t="shared" si="77"/>
        <v>0</v>
      </c>
      <c r="V90">
        <f t="shared" si="78"/>
        <v>0</v>
      </c>
      <c r="W90">
        <f t="shared" si="79"/>
        <v>0</v>
      </c>
      <c r="X90">
        <f t="shared" si="80"/>
        <v>0</v>
      </c>
      <c r="Y90">
        <f t="shared" si="81"/>
        <v>0</v>
      </c>
      <c r="AA90">
        <v>16812721</v>
      </c>
      <c r="AB90">
        <f t="shared" si="82"/>
        <v>0</v>
      </c>
      <c r="AC90">
        <f t="shared" si="112"/>
        <v>0</v>
      </c>
      <c r="AD90">
        <f t="shared" ref="AD90:AD97" si="113">ROUND((((ET90)-(EU90))+AE90),2)</f>
        <v>0</v>
      </c>
      <c r="AE90">
        <f t="shared" ref="AE90:AF97" si="114">ROUND((EU90),2)</f>
        <v>0</v>
      </c>
      <c r="AF90">
        <f t="shared" si="114"/>
        <v>0</v>
      </c>
      <c r="AG90">
        <f t="shared" si="83"/>
        <v>0</v>
      </c>
      <c r="AH90">
        <f t="shared" ref="AH90:AI97" si="115">(EW90)</f>
        <v>0</v>
      </c>
      <c r="AI90">
        <f t="shared" si="115"/>
        <v>0</v>
      </c>
      <c r="AJ90">
        <f t="shared" si="84"/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95</v>
      </c>
      <c r="AU90">
        <v>47</v>
      </c>
      <c r="AV90">
        <v>1</v>
      </c>
      <c r="AW90">
        <v>1</v>
      </c>
      <c r="AZ90">
        <v>6.71</v>
      </c>
      <c r="BA90">
        <v>1</v>
      </c>
      <c r="BB90">
        <v>1</v>
      </c>
      <c r="BC90">
        <v>6.71</v>
      </c>
      <c r="BD90" t="s">
        <v>6</v>
      </c>
      <c r="BE90" t="s">
        <v>6</v>
      </c>
      <c r="BF90" t="s">
        <v>6</v>
      </c>
      <c r="BG90" t="s">
        <v>6</v>
      </c>
      <c r="BH90">
        <v>3</v>
      </c>
      <c r="BI90">
        <v>1</v>
      </c>
      <c r="BJ90" t="s">
        <v>6</v>
      </c>
      <c r="BM90">
        <v>15001</v>
      </c>
      <c r="BN90">
        <v>0</v>
      </c>
      <c r="BO90" t="s">
        <v>6</v>
      </c>
      <c r="BP90">
        <v>0</v>
      </c>
      <c r="BQ90">
        <v>2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6</v>
      </c>
      <c r="BZ90">
        <v>105</v>
      </c>
      <c r="CA90">
        <v>55</v>
      </c>
      <c r="CE90">
        <v>0</v>
      </c>
      <c r="CF90">
        <v>0</v>
      </c>
      <c r="CG90">
        <v>0</v>
      </c>
      <c r="CM90">
        <v>0</v>
      </c>
      <c r="CN90" t="s">
        <v>6</v>
      </c>
      <c r="CO90">
        <v>0</v>
      </c>
      <c r="CP90">
        <f t="shared" si="85"/>
        <v>0</v>
      </c>
      <c r="CQ90">
        <f t="shared" si="86"/>
        <v>0</v>
      </c>
      <c r="CR90">
        <f t="shared" si="87"/>
        <v>0</v>
      </c>
      <c r="CS90">
        <f t="shared" si="88"/>
        <v>0</v>
      </c>
      <c r="CT90">
        <f t="shared" si="89"/>
        <v>0</v>
      </c>
      <c r="CU90">
        <f t="shared" si="90"/>
        <v>0</v>
      </c>
      <c r="CV90">
        <f t="shared" si="91"/>
        <v>0</v>
      </c>
      <c r="CW90">
        <f t="shared" si="92"/>
        <v>0</v>
      </c>
      <c r="CX90">
        <f t="shared" si="93"/>
        <v>0</v>
      </c>
      <c r="CY90">
        <f t="shared" si="94"/>
        <v>0</v>
      </c>
      <c r="CZ90">
        <f t="shared" si="95"/>
        <v>0</v>
      </c>
      <c r="DC90" t="s">
        <v>6</v>
      </c>
      <c r="DD90" t="s">
        <v>6</v>
      </c>
      <c r="DE90" t="s">
        <v>6</v>
      </c>
      <c r="DF90" t="s">
        <v>6</v>
      </c>
      <c r="DG90" t="s">
        <v>6</v>
      </c>
      <c r="DH90" t="s">
        <v>6</v>
      </c>
      <c r="DI90" t="s">
        <v>6</v>
      </c>
      <c r="DJ90" t="s">
        <v>6</v>
      </c>
      <c r="DK90" t="s">
        <v>6</v>
      </c>
      <c r="DL90" t="s">
        <v>6</v>
      </c>
      <c r="DM90" t="s">
        <v>6</v>
      </c>
      <c r="DN90">
        <v>0</v>
      </c>
      <c r="DO90">
        <v>0</v>
      </c>
      <c r="DP90">
        <v>1</v>
      </c>
      <c r="DQ90">
        <v>1</v>
      </c>
      <c r="DU90">
        <v>1005</v>
      </c>
      <c r="DV90" t="s">
        <v>18</v>
      </c>
      <c r="DW90" t="s">
        <v>18</v>
      </c>
      <c r="DX90">
        <v>100</v>
      </c>
      <c r="EE90">
        <v>16510513</v>
      </c>
      <c r="EF90">
        <v>2</v>
      </c>
      <c r="EG90" t="s">
        <v>20</v>
      </c>
      <c r="EH90">
        <v>0</v>
      </c>
      <c r="EI90" t="s">
        <v>6</v>
      </c>
      <c r="EJ90">
        <v>1</v>
      </c>
      <c r="EK90">
        <v>15001</v>
      </c>
      <c r="EL90" t="s">
        <v>84</v>
      </c>
      <c r="EM90" t="s">
        <v>85</v>
      </c>
      <c r="EO90" t="s">
        <v>6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0</v>
      </c>
      <c r="EW90">
        <v>0</v>
      </c>
      <c r="EX90">
        <v>0</v>
      </c>
      <c r="FQ90">
        <v>0</v>
      </c>
      <c r="FR90">
        <f t="shared" si="96"/>
        <v>0</v>
      </c>
      <c r="FS90">
        <v>0</v>
      </c>
      <c r="FT90" t="s">
        <v>23</v>
      </c>
      <c r="FU90" t="s">
        <v>24</v>
      </c>
      <c r="FX90">
        <v>94.5</v>
      </c>
      <c r="FY90">
        <v>46.75</v>
      </c>
      <c r="GA90" t="s">
        <v>6</v>
      </c>
      <c r="GD90">
        <v>0</v>
      </c>
      <c r="GF90">
        <v>-93777278</v>
      </c>
      <c r="GG90">
        <v>1</v>
      </c>
      <c r="GH90">
        <v>1</v>
      </c>
      <c r="GI90">
        <v>4</v>
      </c>
      <c r="GJ90">
        <v>0</v>
      </c>
      <c r="GK90">
        <f>ROUND(R90*(R12)/100,2)</f>
        <v>0</v>
      </c>
      <c r="GL90">
        <f t="shared" si="97"/>
        <v>0</v>
      </c>
      <c r="GM90">
        <f t="shared" si="98"/>
        <v>0</v>
      </c>
      <c r="GN90">
        <f t="shared" si="99"/>
        <v>0</v>
      </c>
      <c r="GO90">
        <f t="shared" si="100"/>
        <v>0</v>
      </c>
      <c r="GP90">
        <f t="shared" si="101"/>
        <v>0</v>
      </c>
      <c r="GR90">
        <v>0</v>
      </c>
      <c r="GS90">
        <v>3</v>
      </c>
      <c r="GT90">
        <v>0</v>
      </c>
      <c r="GU90" t="s">
        <v>6</v>
      </c>
      <c r="GV90">
        <f t="shared" si="102"/>
        <v>0</v>
      </c>
      <c r="GW90">
        <v>1</v>
      </c>
      <c r="GX90">
        <f t="shared" si="103"/>
        <v>0</v>
      </c>
      <c r="HA90">
        <v>0</v>
      </c>
      <c r="HB90">
        <v>0</v>
      </c>
      <c r="HC90">
        <f t="shared" si="104"/>
        <v>0</v>
      </c>
      <c r="IK90">
        <v>0</v>
      </c>
    </row>
    <row r="91" spans="1:245" x14ac:dyDescent="0.2">
      <c r="A91">
        <v>18</v>
      </c>
      <c r="B91">
        <v>1</v>
      </c>
      <c r="C91">
        <v>154</v>
      </c>
      <c r="E91" t="s">
        <v>297</v>
      </c>
      <c r="F91" t="s">
        <v>298</v>
      </c>
      <c r="G91" t="s">
        <v>299</v>
      </c>
      <c r="H91" t="s">
        <v>300</v>
      </c>
      <c r="I91">
        <f>I89*J91</f>
        <v>30.283999999999999</v>
      </c>
      <c r="J91">
        <v>11.299999999999999</v>
      </c>
      <c r="O91">
        <f t="shared" si="71"/>
        <v>22423.74</v>
      </c>
      <c r="P91">
        <f t="shared" si="72"/>
        <v>22423.74</v>
      </c>
      <c r="Q91">
        <f t="shared" si="73"/>
        <v>0</v>
      </c>
      <c r="R91">
        <f t="shared" si="74"/>
        <v>0</v>
      </c>
      <c r="S91">
        <f t="shared" si="75"/>
        <v>0</v>
      </c>
      <c r="T91">
        <f t="shared" si="76"/>
        <v>0</v>
      </c>
      <c r="U91">
        <f t="shared" si="77"/>
        <v>0</v>
      </c>
      <c r="V91">
        <f t="shared" si="78"/>
        <v>0</v>
      </c>
      <c r="W91">
        <f t="shared" si="79"/>
        <v>0</v>
      </c>
      <c r="X91">
        <f t="shared" si="80"/>
        <v>0</v>
      </c>
      <c r="Y91">
        <f t="shared" si="81"/>
        <v>0</v>
      </c>
      <c r="AA91">
        <v>16812721</v>
      </c>
      <c r="AB91">
        <f t="shared" si="82"/>
        <v>110.35</v>
      </c>
      <c r="AC91">
        <f t="shared" si="112"/>
        <v>110.35</v>
      </c>
      <c r="AD91">
        <f t="shared" si="113"/>
        <v>0</v>
      </c>
      <c r="AE91">
        <f t="shared" si="114"/>
        <v>0</v>
      </c>
      <c r="AF91">
        <f t="shared" si="114"/>
        <v>0</v>
      </c>
      <c r="AG91">
        <f t="shared" si="83"/>
        <v>0</v>
      </c>
      <c r="AH91">
        <f t="shared" si="115"/>
        <v>0</v>
      </c>
      <c r="AI91">
        <f t="shared" si="115"/>
        <v>0</v>
      </c>
      <c r="AJ91">
        <f t="shared" si="84"/>
        <v>0</v>
      </c>
      <c r="AK91">
        <v>110.35</v>
      </c>
      <c r="AL91">
        <v>110.35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95</v>
      </c>
      <c r="AU91">
        <v>47</v>
      </c>
      <c r="AV91">
        <v>1</v>
      </c>
      <c r="AW91">
        <v>1</v>
      </c>
      <c r="AZ91">
        <v>6.71</v>
      </c>
      <c r="BA91">
        <v>1</v>
      </c>
      <c r="BB91">
        <v>1</v>
      </c>
      <c r="BC91">
        <v>6.71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301</v>
      </c>
      <c r="BM91">
        <v>15001</v>
      </c>
      <c r="BN91">
        <v>0</v>
      </c>
      <c r="BO91" t="s">
        <v>6</v>
      </c>
      <c r="BP91">
        <v>0</v>
      </c>
      <c r="BQ91">
        <v>2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105</v>
      </c>
      <c r="CA91">
        <v>55</v>
      </c>
      <c r="CE91">
        <v>0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5"/>
        <v>22423.74</v>
      </c>
      <c r="CQ91">
        <f t="shared" si="86"/>
        <v>740.44849999999997</v>
      </c>
      <c r="CR91">
        <f t="shared" si="87"/>
        <v>0</v>
      </c>
      <c r="CS91">
        <f t="shared" si="88"/>
        <v>0</v>
      </c>
      <c r="CT91">
        <f t="shared" si="89"/>
        <v>0</v>
      </c>
      <c r="CU91">
        <f t="shared" si="90"/>
        <v>0</v>
      </c>
      <c r="CV91">
        <f t="shared" si="91"/>
        <v>0</v>
      </c>
      <c r="CW91">
        <f t="shared" si="92"/>
        <v>0</v>
      </c>
      <c r="CX91">
        <f t="shared" si="93"/>
        <v>0</v>
      </c>
      <c r="CY91">
        <f t="shared" si="94"/>
        <v>0</v>
      </c>
      <c r="CZ91">
        <f t="shared" si="95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1005</v>
      </c>
      <c r="DV91" t="s">
        <v>300</v>
      </c>
      <c r="DW91" t="s">
        <v>300</v>
      </c>
      <c r="DX91">
        <v>10</v>
      </c>
      <c r="EE91">
        <v>16510513</v>
      </c>
      <c r="EF91">
        <v>2</v>
      </c>
      <c r="EG91" t="s">
        <v>20</v>
      </c>
      <c r="EH91">
        <v>0</v>
      </c>
      <c r="EI91" t="s">
        <v>6</v>
      </c>
      <c r="EJ91">
        <v>1</v>
      </c>
      <c r="EK91">
        <v>15001</v>
      </c>
      <c r="EL91" t="s">
        <v>84</v>
      </c>
      <c r="EM91" t="s">
        <v>85</v>
      </c>
      <c r="EO91" t="s">
        <v>6</v>
      </c>
      <c r="EQ91">
        <v>0</v>
      </c>
      <c r="ER91">
        <v>110.35</v>
      </c>
      <c r="ES91">
        <v>110.35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6"/>
        <v>0</v>
      </c>
      <c r="FS91">
        <v>0</v>
      </c>
      <c r="FT91" t="s">
        <v>23</v>
      </c>
      <c r="FU91" t="s">
        <v>24</v>
      </c>
      <c r="FX91">
        <v>94.5</v>
      </c>
      <c r="FY91">
        <v>46.75</v>
      </c>
      <c r="GA91" t="s">
        <v>6</v>
      </c>
      <c r="GD91">
        <v>0</v>
      </c>
      <c r="GF91">
        <v>-1663288052</v>
      </c>
      <c r="GG91">
        <v>1</v>
      </c>
      <c r="GH91">
        <v>1</v>
      </c>
      <c r="GI91">
        <v>4</v>
      </c>
      <c r="GJ91">
        <v>0</v>
      </c>
      <c r="GK91">
        <f>ROUND(R91*(R12)/100,2)</f>
        <v>0</v>
      </c>
      <c r="GL91">
        <f t="shared" si="97"/>
        <v>0</v>
      </c>
      <c r="GM91">
        <f t="shared" si="98"/>
        <v>22423.74</v>
      </c>
      <c r="GN91">
        <f t="shared" si="99"/>
        <v>22423.74</v>
      </c>
      <c r="GO91">
        <f t="shared" si="100"/>
        <v>0</v>
      </c>
      <c r="GP91">
        <f t="shared" si="101"/>
        <v>0</v>
      </c>
      <c r="GR91">
        <v>0</v>
      </c>
      <c r="GS91">
        <v>3</v>
      </c>
      <c r="GT91">
        <v>0</v>
      </c>
      <c r="GU91" t="s">
        <v>6</v>
      </c>
      <c r="GV91">
        <f t="shared" si="102"/>
        <v>0</v>
      </c>
      <c r="GW91">
        <v>1</v>
      </c>
      <c r="GX91">
        <f t="shared" si="103"/>
        <v>0</v>
      </c>
      <c r="HA91">
        <v>0</v>
      </c>
      <c r="HB91">
        <v>0</v>
      </c>
      <c r="HC91">
        <f t="shared" si="104"/>
        <v>0</v>
      </c>
      <c r="IK91">
        <v>0</v>
      </c>
    </row>
    <row r="92" spans="1:245" x14ac:dyDescent="0.2">
      <c r="A92">
        <v>17</v>
      </c>
      <c r="B92">
        <v>1</v>
      </c>
      <c r="C92">
        <f>ROW(SmtRes!A169)</f>
        <v>169</v>
      </c>
      <c r="D92">
        <f>ROW(EtalonRes!A165)</f>
        <v>165</v>
      </c>
      <c r="E92" t="s">
        <v>302</v>
      </c>
      <c r="F92" t="s">
        <v>303</v>
      </c>
      <c r="G92" t="s">
        <v>304</v>
      </c>
      <c r="H92" t="s">
        <v>18</v>
      </c>
      <c r="I92">
        <f>ROUND(268/100,9)</f>
        <v>2.68</v>
      </c>
      <c r="J92">
        <v>0</v>
      </c>
      <c r="O92">
        <f t="shared" ref="O92:O104" si="116">ROUND(CP92,2)</f>
        <v>5711.16</v>
      </c>
      <c r="P92">
        <f t="shared" ref="P92:P104" si="117">ROUND(CQ92*I92,2)</f>
        <v>1488.62</v>
      </c>
      <c r="Q92">
        <f t="shared" ref="Q92:Q104" si="118">ROUND(CR92*I92,2)</f>
        <v>123.72</v>
      </c>
      <c r="R92">
        <f t="shared" ref="R92:R104" si="119">ROUND(CS92*I92,2)</f>
        <v>23.38</v>
      </c>
      <c r="S92">
        <f t="shared" ref="S92:S104" si="120">ROUND(CT92*I92,2)</f>
        <v>4098.82</v>
      </c>
      <c r="T92">
        <f t="shared" ref="T92:T104" si="121">ROUND(CU92*I92,2)</f>
        <v>0</v>
      </c>
      <c r="U92">
        <f t="shared" ref="U92:U104" si="122">CV92*I92</f>
        <v>68.098800000000011</v>
      </c>
      <c r="V92">
        <f t="shared" ref="V92:V104" si="123">CW92*I92</f>
        <v>0.29480000000000001</v>
      </c>
      <c r="W92">
        <f t="shared" ref="W92:W104" si="124">ROUND(CX92*I92,2)</f>
        <v>0</v>
      </c>
      <c r="X92">
        <f t="shared" ref="X92:X104" si="125">ROUND(CY92,2)</f>
        <v>3916.09</v>
      </c>
      <c r="Y92">
        <f t="shared" ref="Y92:Y104" si="126">ROUND(CZ92,2)</f>
        <v>1937.43</v>
      </c>
      <c r="AA92">
        <v>16812721</v>
      </c>
      <c r="AB92">
        <f t="shared" ref="AB92:AB104" si="127">ROUND((AC92+AD92+AF92),2)</f>
        <v>317.58999999999997</v>
      </c>
      <c r="AC92">
        <f t="shared" si="112"/>
        <v>82.78</v>
      </c>
      <c r="AD92">
        <f t="shared" si="113"/>
        <v>6.88</v>
      </c>
      <c r="AE92">
        <f t="shared" si="114"/>
        <v>1.3</v>
      </c>
      <c r="AF92">
        <f t="shared" si="114"/>
        <v>227.93</v>
      </c>
      <c r="AG92">
        <f t="shared" ref="AG92:AG104" si="128">ROUND((AP92),2)</f>
        <v>0</v>
      </c>
      <c r="AH92">
        <f t="shared" si="115"/>
        <v>25.41</v>
      </c>
      <c r="AI92">
        <f t="shared" si="115"/>
        <v>0.11</v>
      </c>
      <c r="AJ92">
        <f t="shared" ref="AJ92:AJ104" si="129">(AS92)</f>
        <v>0</v>
      </c>
      <c r="AK92">
        <v>317.58999999999997</v>
      </c>
      <c r="AL92">
        <v>82.78</v>
      </c>
      <c r="AM92">
        <v>6.88</v>
      </c>
      <c r="AN92">
        <v>1.3</v>
      </c>
      <c r="AO92">
        <v>227.93</v>
      </c>
      <c r="AP92">
        <v>0</v>
      </c>
      <c r="AQ92">
        <v>25.41</v>
      </c>
      <c r="AR92">
        <v>0.11</v>
      </c>
      <c r="AS92">
        <v>0</v>
      </c>
      <c r="AT92">
        <v>95</v>
      </c>
      <c r="AU92">
        <v>47</v>
      </c>
      <c r="AV92">
        <v>1</v>
      </c>
      <c r="AW92">
        <v>1</v>
      </c>
      <c r="AZ92">
        <v>6.71</v>
      </c>
      <c r="BA92">
        <v>6.71</v>
      </c>
      <c r="BB92">
        <v>6.71</v>
      </c>
      <c r="BC92">
        <v>6.71</v>
      </c>
      <c r="BD92" t="s">
        <v>6</v>
      </c>
      <c r="BE92" t="s">
        <v>6</v>
      </c>
      <c r="BF92" t="s">
        <v>6</v>
      </c>
      <c r="BG92" t="s">
        <v>6</v>
      </c>
      <c r="BH92">
        <v>0</v>
      </c>
      <c r="BI92">
        <v>1</v>
      </c>
      <c r="BJ92" t="s">
        <v>305</v>
      </c>
      <c r="BM92">
        <v>15001</v>
      </c>
      <c r="BN92">
        <v>0</v>
      </c>
      <c r="BO92" t="s">
        <v>6</v>
      </c>
      <c r="BP92">
        <v>0</v>
      </c>
      <c r="BQ92">
        <v>2</v>
      </c>
      <c r="BR92">
        <v>0</v>
      </c>
      <c r="BS92">
        <v>6.71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6</v>
      </c>
      <c r="BZ92">
        <v>105</v>
      </c>
      <c r="CA92">
        <v>55</v>
      </c>
      <c r="CE92">
        <v>0</v>
      </c>
      <c r="CF92">
        <v>0</v>
      </c>
      <c r="CG92">
        <v>0</v>
      </c>
      <c r="CM92">
        <v>0</v>
      </c>
      <c r="CN92" t="s">
        <v>6</v>
      </c>
      <c r="CO92">
        <v>0</v>
      </c>
      <c r="CP92">
        <f t="shared" ref="CP92:CP104" si="130">(P92+Q92+S92)</f>
        <v>5711.16</v>
      </c>
      <c r="CQ92">
        <f t="shared" ref="CQ92:CQ104" si="131">AC92*BC92</f>
        <v>555.4538</v>
      </c>
      <c r="CR92">
        <f t="shared" ref="CR92:CR104" si="132">AD92*BB92</f>
        <v>46.1648</v>
      </c>
      <c r="CS92">
        <f t="shared" ref="CS92:CS104" si="133">AE92*BS92</f>
        <v>8.7230000000000008</v>
      </c>
      <c r="CT92">
        <f t="shared" ref="CT92:CT104" si="134">AF92*BA92</f>
        <v>1529.4103</v>
      </c>
      <c r="CU92">
        <f t="shared" ref="CU92:CU104" si="135">AG92</f>
        <v>0</v>
      </c>
      <c r="CV92">
        <f t="shared" ref="CV92:CV104" si="136">AH92</f>
        <v>25.41</v>
      </c>
      <c r="CW92">
        <f t="shared" ref="CW92:CW104" si="137">AI92</f>
        <v>0.11</v>
      </c>
      <c r="CX92">
        <f t="shared" ref="CX92:CX104" si="138">AJ92</f>
        <v>0</v>
      </c>
      <c r="CY92">
        <f t="shared" ref="CY92:CY104" si="139">(((S92+R92)*AT92)/100)</f>
        <v>3916.09</v>
      </c>
      <c r="CZ92">
        <f t="shared" ref="CZ92:CZ104" si="140">(((S92+R92)*AU92)/100)</f>
        <v>1937.434</v>
      </c>
      <c r="DC92" t="s">
        <v>6</v>
      </c>
      <c r="DD92" t="s">
        <v>6</v>
      </c>
      <c r="DE92" t="s">
        <v>6</v>
      </c>
      <c r="DF92" t="s">
        <v>6</v>
      </c>
      <c r="DG92" t="s">
        <v>6</v>
      </c>
      <c r="DH92" t="s">
        <v>6</v>
      </c>
      <c r="DI92" t="s">
        <v>6</v>
      </c>
      <c r="DJ92" t="s">
        <v>6</v>
      </c>
      <c r="DK92" t="s">
        <v>6</v>
      </c>
      <c r="DL92" t="s">
        <v>6</v>
      </c>
      <c r="DM92" t="s">
        <v>6</v>
      </c>
      <c r="DN92">
        <v>0</v>
      </c>
      <c r="DO92">
        <v>0</v>
      </c>
      <c r="DP92">
        <v>1</v>
      </c>
      <c r="DQ92">
        <v>1</v>
      </c>
      <c r="DU92">
        <v>1005</v>
      </c>
      <c r="DV92" t="s">
        <v>18</v>
      </c>
      <c r="DW92" t="s">
        <v>18</v>
      </c>
      <c r="DX92">
        <v>100</v>
      </c>
      <c r="EE92">
        <v>16510513</v>
      </c>
      <c r="EF92">
        <v>2</v>
      </c>
      <c r="EG92" t="s">
        <v>20</v>
      </c>
      <c r="EH92">
        <v>0</v>
      </c>
      <c r="EI92" t="s">
        <v>6</v>
      </c>
      <c r="EJ92">
        <v>1</v>
      </c>
      <c r="EK92">
        <v>15001</v>
      </c>
      <c r="EL92" t="s">
        <v>84</v>
      </c>
      <c r="EM92" t="s">
        <v>85</v>
      </c>
      <c r="EO92" t="s">
        <v>6</v>
      </c>
      <c r="EQ92">
        <v>0</v>
      </c>
      <c r="ER92">
        <v>317.58999999999997</v>
      </c>
      <c r="ES92">
        <v>82.78</v>
      </c>
      <c r="ET92">
        <v>6.88</v>
      </c>
      <c r="EU92">
        <v>1.3</v>
      </c>
      <c r="EV92">
        <v>227.93</v>
      </c>
      <c r="EW92">
        <v>25.41</v>
      </c>
      <c r="EX92">
        <v>0.11</v>
      </c>
      <c r="EY92">
        <v>0</v>
      </c>
      <c r="FQ92">
        <v>0</v>
      </c>
      <c r="FR92">
        <f t="shared" ref="FR92:FR106" si="141">ROUND(IF(AND(BH92=3,BI92=3),P92,0),2)</f>
        <v>0</v>
      </c>
      <c r="FS92">
        <v>0</v>
      </c>
      <c r="FT92" t="s">
        <v>23</v>
      </c>
      <c r="FU92" t="s">
        <v>24</v>
      </c>
      <c r="FX92">
        <v>94.5</v>
      </c>
      <c r="FY92">
        <v>46.75</v>
      </c>
      <c r="GA92" t="s">
        <v>6</v>
      </c>
      <c r="GD92">
        <v>0</v>
      </c>
      <c r="GF92">
        <v>-454491796</v>
      </c>
      <c r="GG92">
        <v>1</v>
      </c>
      <c r="GH92">
        <v>1</v>
      </c>
      <c r="GI92">
        <v>4</v>
      </c>
      <c r="GJ92">
        <v>0</v>
      </c>
      <c r="GK92">
        <f>ROUND(R92*(R12)/100,2)</f>
        <v>0</v>
      </c>
      <c r="GL92">
        <f t="shared" ref="GL92:GL106" si="142">ROUND(IF(AND(BH92=3,BI92=3,FS92&lt;&gt;0),P92,0),2)</f>
        <v>0</v>
      </c>
      <c r="GM92">
        <f t="shared" ref="GM92:GM104" si="143">ROUND(O92+X92+Y92+GK92,2)+GX92</f>
        <v>11564.68</v>
      </c>
      <c r="GN92">
        <f t="shared" ref="GN92:GN104" si="144">IF(OR(BI92=0,BI92=1),ROUND(O92+X92+Y92+GK92,2),0)</f>
        <v>11564.68</v>
      </c>
      <c r="GO92">
        <f t="shared" ref="GO92:GO104" si="145">IF(BI92=2,ROUND(O92+X92+Y92+GK92,2),0)</f>
        <v>0</v>
      </c>
      <c r="GP92">
        <f t="shared" ref="GP92:GP104" si="146">IF(BI92=4,ROUND(O92+X92+Y92+GK92,2)+GX92,0)</f>
        <v>0</v>
      </c>
      <c r="GR92">
        <v>0</v>
      </c>
      <c r="GS92">
        <v>3</v>
      </c>
      <c r="GT92">
        <v>0</v>
      </c>
      <c r="GU92" t="s">
        <v>6</v>
      </c>
      <c r="GV92">
        <f t="shared" ref="GV92:GV104" si="147">ROUND((GT92),2)</f>
        <v>0</v>
      </c>
      <c r="GW92">
        <v>1</v>
      </c>
      <c r="GX92">
        <f t="shared" ref="GX92:GX104" si="148">ROUND(HC92*I92,2)</f>
        <v>0</v>
      </c>
      <c r="HA92">
        <v>0</v>
      </c>
      <c r="HB92">
        <v>0</v>
      </c>
      <c r="HC92">
        <f t="shared" ref="HC92:HC104" si="149">GV92*GW92</f>
        <v>0</v>
      </c>
      <c r="IK92">
        <v>0</v>
      </c>
    </row>
    <row r="93" spans="1:245" x14ac:dyDescent="0.2">
      <c r="A93">
        <v>18</v>
      </c>
      <c r="B93">
        <v>1</v>
      </c>
      <c r="C93">
        <v>167</v>
      </c>
      <c r="E93" t="s">
        <v>306</v>
      </c>
      <c r="F93" t="s">
        <v>307</v>
      </c>
      <c r="G93" t="s">
        <v>308</v>
      </c>
      <c r="H93" t="s">
        <v>145</v>
      </c>
      <c r="I93">
        <f>I92*J93</f>
        <v>0.16883999999999996</v>
      </c>
      <c r="J93">
        <v>6.2999999999999987E-2</v>
      </c>
      <c r="O93">
        <f t="shared" si="116"/>
        <v>0</v>
      </c>
      <c r="P93">
        <f t="shared" si="117"/>
        <v>0</v>
      </c>
      <c r="Q93">
        <f t="shared" si="118"/>
        <v>0</v>
      </c>
      <c r="R93">
        <f t="shared" si="119"/>
        <v>0</v>
      </c>
      <c r="S93">
        <f t="shared" si="120"/>
        <v>0</v>
      </c>
      <c r="T93">
        <f t="shared" si="121"/>
        <v>0</v>
      </c>
      <c r="U93">
        <f t="shared" si="122"/>
        <v>0</v>
      </c>
      <c r="V93">
        <f t="shared" si="123"/>
        <v>0</v>
      </c>
      <c r="W93">
        <f t="shared" si="124"/>
        <v>0</v>
      </c>
      <c r="X93">
        <f t="shared" si="125"/>
        <v>0</v>
      </c>
      <c r="Y93">
        <f t="shared" si="126"/>
        <v>0</v>
      </c>
      <c r="AA93">
        <v>16812721</v>
      </c>
      <c r="AB93">
        <f t="shared" si="127"/>
        <v>0</v>
      </c>
      <c r="AC93">
        <f t="shared" si="112"/>
        <v>0</v>
      </c>
      <c r="AD93">
        <f t="shared" si="113"/>
        <v>0</v>
      </c>
      <c r="AE93">
        <f t="shared" si="114"/>
        <v>0</v>
      </c>
      <c r="AF93">
        <f t="shared" si="114"/>
        <v>0</v>
      </c>
      <c r="AG93">
        <f t="shared" si="128"/>
        <v>0</v>
      </c>
      <c r="AH93">
        <f t="shared" si="115"/>
        <v>0</v>
      </c>
      <c r="AI93">
        <f t="shared" si="115"/>
        <v>0</v>
      </c>
      <c r="AJ93">
        <f t="shared" si="129"/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95</v>
      </c>
      <c r="AU93">
        <v>47</v>
      </c>
      <c r="AV93">
        <v>1</v>
      </c>
      <c r="AW93">
        <v>1</v>
      </c>
      <c r="AZ93">
        <v>6.71</v>
      </c>
      <c r="BA93">
        <v>1</v>
      </c>
      <c r="BB93">
        <v>1</v>
      </c>
      <c r="BC93">
        <v>6.71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6</v>
      </c>
      <c r="BM93">
        <v>15001</v>
      </c>
      <c r="BN93">
        <v>0</v>
      </c>
      <c r="BO93" t="s">
        <v>6</v>
      </c>
      <c r="BP93">
        <v>0</v>
      </c>
      <c r="BQ93">
        <v>2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105</v>
      </c>
      <c r="CA93">
        <v>55</v>
      </c>
      <c r="CE93">
        <v>0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130"/>
        <v>0</v>
      </c>
      <c r="CQ93">
        <f t="shared" si="131"/>
        <v>0</v>
      </c>
      <c r="CR93">
        <f t="shared" si="132"/>
        <v>0</v>
      </c>
      <c r="CS93">
        <f t="shared" si="133"/>
        <v>0</v>
      </c>
      <c r="CT93">
        <f t="shared" si="134"/>
        <v>0</v>
      </c>
      <c r="CU93">
        <f t="shared" si="135"/>
        <v>0</v>
      </c>
      <c r="CV93">
        <f t="shared" si="136"/>
        <v>0</v>
      </c>
      <c r="CW93">
        <f t="shared" si="137"/>
        <v>0</v>
      </c>
      <c r="CX93">
        <f t="shared" si="138"/>
        <v>0</v>
      </c>
      <c r="CY93">
        <f t="shared" si="139"/>
        <v>0</v>
      </c>
      <c r="CZ93">
        <f t="shared" si="140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1009</v>
      </c>
      <c r="DV93" t="s">
        <v>145</v>
      </c>
      <c r="DW93" t="s">
        <v>145</v>
      </c>
      <c r="DX93">
        <v>1000</v>
      </c>
      <c r="EE93">
        <v>16510513</v>
      </c>
      <c r="EF93">
        <v>2</v>
      </c>
      <c r="EG93" t="s">
        <v>20</v>
      </c>
      <c r="EH93">
        <v>0</v>
      </c>
      <c r="EI93" t="s">
        <v>6</v>
      </c>
      <c r="EJ93">
        <v>1</v>
      </c>
      <c r="EK93">
        <v>15001</v>
      </c>
      <c r="EL93" t="s">
        <v>84</v>
      </c>
      <c r="EM93" t="s">
        <v>85</v>
      </c>
      <c r="EO93" t="s">
        <v>6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141"/>
        <v>0</v>
      </c>
      <c r="FS93">
        <v>0</v>
      </c>
      <c r="FT93" t="s">
        <v>23</v>
      </c>
      <c r="FU93" t="s">
        <v>24</v>
      </c>
      <c r="FX93">
        <v>94.5</v>
      </c>
      <c r="FY93">
        <v>46.75</v>
      </c>
      <c r="GA93" t="s">
        <v>6</v>
      </c>
      <c r="GD93">
        <v>0</v>
      </c>
      <c r="GF93">
        <v>1891904026</v>
      </c>
      <c r="GG93">
        <v>1</v>
      </c>
      <c r="GH93">
        <v>1</v>
      </c>
      <c r="GI93">
        <v>4</v>
      </c>
      <c r="GJ93">
        <v>0</v>
      </c>
      <c r="GK93">
        <f>ROUND(R93*(R12)/100,2)</f>
        <v>0</v>
      </c>
      <c r="GL93">
        <f t="shared" si="142"/>
        <v>0</v>
      </c>
      <c r="GM93">
        <f t="shared" si="143"/>
        <v>0</v>
      </c>
      <c r="GN93">
        <f t="shared" si="144"/>
        <v>0</v>
      </c>
      <c r="GO93">
        <f t="shared" si="145"/>
        <v>0</v>
      </c>
      <c r="GP93">
        <f t="shared" si="146"/>
        <v>0</v>
      </c>
      <c r="GR93">
        <v>0</v>
      </c>
      <c r="GS93">
        <v>3</v>
      </c>
      <c r="GT93">
        <v>0</v>
      </c>
      <c r="GU93" t="s">
        <v>6</v>
      </c>
      <c r="GV93">
        <f t="shared" si="147"/>
        <v>0</v>
      </c>
      <c r="GW93">
        <v>1</v>
      </c>
      <c r="GX93">
        <f t="shared" si="148"/>
        <v>0</v>
      </c>
      <c r="HA93">
        <v>0</v>
      </c>
      <c r="HB93">
        <v>0</v>
      </c>
      <c r="HC93">
        <f t="shared" si="149"/>
        <v>0</v>
      </c>
      <c r="IK93">
        <v>0</v>
      </c>
    </row>
    <row r="94" spans="1:245" x14ac:dyDescent="0.2">
      <c r="A94">
        <v>18</v>
      </c>
      <c r="B94">
        <v>1</v>
      </c>
      <c r="C94">
        <v>168</v>
      </c>
      <c r="E94" t="s">
        <v>309</v>
      </c>
      <c r="F94" t="s">
        <v>310</v>
      </c>
      <c r="G94" t="s">
        <v>311</v>
      </c>
      <c r="H94" t="s">
        <v>145</v>
      </c>
      <c r="I94">
        <f>I92*J94</f>
        <v>0.16883999999999996</v>
      </c>
      <c r="J94">
        <v>6.2999999999999987E-2</v>
      </c>
      <c r="O94">
        <f t="shared" si="116"/>
        <v>22628.5</v>
      </c>
      <c r="P94">
        <f t="shared" si="117"/>
        <v>22628.5</v>
      </c>
      <c r="Q94">
        <f t="shared" si="118"/>
        <v>0</v>
      </c>
      <c r="R94">
        <f t="shared" si="119"/>
        <v>0</v>
      </c>
      <c r="S94">
        <f t="shared" si="120"/>
        <v>0</v>
      </c>
      <c r="T94">
        <f t="shared" si="121"/>
        <v>0</v>
      </c>
      <c r="U94">
        <f t="shared" si="122"/>
        <v>0</v>
      </c>
      <c r="V94">
        <f t="shared" si="123"/>
        <v>0</v>
      </c>
      <c r="W94">
        <f t="shared" si="124"/>
        <v>0</v>
      </c>
      <c r="X94">
        <f t="shared" si="125"/>
        <v>0</v>
      </c>
      <c r="Y94">
        <f t="shared" si="126"/>
        <v>0</v>
      </c>
      <c r="AA94">
        <v>16812721</v>
      </c>
      <c r="AB94">
        <f t="shared" si="127"/>
        <v>19973.669999999998</v>
      </c>
      <c r="AC94">
        <f t="shared" si="112"/>
        <v>19973.669999999998</v>
      </c>
      <c r="AD94">
        <f t="shared" si="113"/>
        <v>0</v>
      </c>
      <c r="AE94">
        <f t="shared" si="114"/>
        <v>0</v>
      </c>
      <c r="AF94">
        <f t="shared" si="114"/>
        <v>0</v>
      </c>
      <c r="AG94">
        <f t="shared" si="128"/>
        <v>0</v>
      </c>
      <c r="AH94">
        <f t="shared" si="115"/>
        <v>0</v>
      </c>
      <c r="AI94">
        <f t="shared" si="115"/>
        <v>0</v>
      </c>
      <c r="AJ94">
        <f t="shared" si="129"/>
        <v>0</v>
      </c>
      <c r="AK94">
        <v>19973.669999999998</v>
      </c>
      <c r="AL94">
        <v>19973.669999999998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95</v>
      </c>
      <c r="AU94">
        <v>47</v>
      </c>
      <c r="AV94">
        <v>1</v>
      </c>
      <c r="AW94">
        <v>1</v>
      </c>
      <c r="AZ94">
        <v>6.71</v>
      </c>
      <c r="BA94">
        <v>1</v>
      </c>
      <c r="BB94">
        <v>1</v>
      </c>
      <c r="BC94">
        <v>6.71</v>
      </c>
      <c r="BD94" t="s">
        <v>6</v>
      </c>
      <c r="BE94" t="s">
        <v>6</v>
      </c>
      <c r="BF94" t="s">
        <v>6</v>
      </c>
      <c r="BG94" t="s">
        <v>6</v>
      </c>
      <c r="BH94">
        <v>3</v>
      </c>
      <c r="BI94">
        <v>1</v>
      </c>
      <c r="BJ94" t="s">
        <v>312</v>
      </c>
      <c r="BM94">
        <v>15001</v>
      </c>
      <c r="BN94">
        <v>0</v>
      </c>
      <c r="BO94" t="s">
        <v>6</v>
      </c>
      <c r="BP94">
        <v>0</v>
      </c>
      <c r="BQ94">
        <v>2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6</v>
      </c>
      <c r="BZ94">
        <v>105</v>
      </c>
      <c r="CA94">
        <v>55</v>
      </c>
      <c r="CE94">
        <v>0</v>
      </c>
      <c r="CF94">
        <v>0</v>
      </c>
      <c r="CG94">
        <v>0</v>
      </c>
      <c r="CM94">
        <v>0</v>
      </c>
      <c r="CN94" t="s">
        <v>6</v>
      </c>
      <c r="CO94">
        <v>0</v>
      </c>
      <c r="CP94">
        <f t="shared" si="130"/>
        <v>22628.5</v>
      </c>
      <c r="CQ94">
        <f t="shared" si="131"/>
        <v>134023.32569999999</v>
      </c>
      <c r="CR94">
        <f t="shared" si="132"/>
        <v>0</v>
      </c>
      <c r="CS94">
        <f t="shared" si="133"/>
        <v>0</v>
      </c>
      <c r="CT94">
        <f t="shared" si="134"/>
        <v>0</v>
      </c>
      <c r="CU94">
        <f t="shared" si="135"/>
        <v>0</v>
      </c>
      <c r="CV94">
        <f t="shared" si="136"/>
        <v>0</v>
      </c>
      <c r="CW94">
        <f t="shared" si="137"/>
        <v>0</v>
      </c>
      <c r="CX94">
        <f t="shared" si="138"/>
        <v>0</v>
      </c>
      <c r="CY94">
        <f t="shared" si="139"/>
        <v>0</v>
      </c>
      <c r="CZ94">
        <f t="shared" si="140"/>
        <v>0</v>
      </c>
      <c r="DC94" t="s">
        <v>6</v>
      </c>
      <c r="DD94" t="s">
        <v>6</v>
      </c>
      <c r="DE94" t="s">
        <v>6</v>
      </c>
      <c r="DF94" t="s">
        <v>6</v>
      </c>
      <c r="DG94" t="s">
        <v>6</v>
      </c>
      <c r="DH94" t="s">
        <v>6</v>
      </c>
      <c r="DI94" t="s">
        <v>6</v>
      </c>
      <c r="DJ94" t="s">
        <v>6</v>
      </c>
      <c r="DK94" t="s">
        <v>6</v>
      </c>
      <c r="DL94" t="s">
        <v>6</v>
      </c>
      <c r="DM94" t="s">
        <v>6</v>
      </c>
      <c r="DN94">
        <v>0</v>
      </c>
      <c r="DO94">
        <v>0</v>
      </c>
      <c r="DP94">
        <v>1</v>
      </c>
      <c r="DQ94">
        <v>1</v>
      </c>
      <c r="DU94">
        <v>1009</v>
      </c>
      <c r="DV94" t="s">
        <v>145</v>
      </c>
      <c r="DW94" t="s">
        <v>145</v>
      </c>
      <c r="DX94">
        <v>1000</v>
      </c>
      <c r="EE94">
        <v>16510513</v>
      </c>
      <c r="EF94">
        <v>2</v>
      </c>
      <c r="EG94" t="s">
        <v>20</v>
      </c>
      <c r="EH94">
        <v>0</v>
      </c>
      <c r="EI94" t="s">
        <v>6</v>
      </c>
      <c r="EJ94">
        <v>1</v>
      </c>
      <c r="EK94">
        <v>15001</v>
      </c>
      <c r="EL94" t="s">
        <v>84</v>
      </c>
      <c r="EM94" t="s">
        <v>85</v>
      </c>
      <c r="EO94" t="s">
        <v>6</v>
      </c>
      <c r="EQ94">
        <v>0</v>
      </c>
      <c r="ER94">
        <v>19973.669999999998</v>
      </c>
      <c r="ES94">
        <v>19973.669999999998</v>
      </c>
      <c r="ET94">
        <v>0</v>
      </c>
      <c r="EU94">
        <v>0</v>
      </c>
      <c r="EV94">
        <v>0</v>
      </c>
      <c r="EW94">
        <v>0</v>
      </c>
      <c r="EX94">
        <v>0</v>
      </c>
      <c r="FQ94">
        <v>0</v>
      </c>
      <c r="FR94">
        <f t="shared" si="141"/>
        <v>0</v>
      </c>
      <c r="FS94">
        <v>0</v>
      </c>
      <c r="FT94" t="s">
        <v>23</v>
      </c>
      <c r="FU94" t="s">
        <v>24</v>
      </c>
      <c r="FX94">
        <v>94.5</v>
      </c>
      <c r="FY94">
        <v>46.75</v>
      </c>
      <c r="GA94" t="s">
        <v>6</v>
      </c>
      <c r="GD94">
        <v>0</v>
      </c>
      <c r="GF94">
        <v>772632804</v>
      </c>
      <c r="GG94">
        <v>1</v>
      </c>
      <c r="GH94">
        <v>1</v>
      </c>
      <c r="GI94">
        <v>4</v>
      </c>
      <c r="GJ94">
        <v>0</v>
      </c>
      <c r="GK94">
        <f>ROUND(R94*(R12)/100,2)</f>
        <v>0</v>
      </c>
      <c r="GL94">
        <f t="shared" si="142"/>
        <v>0</v>
      </c>
      <c r="GM94">
        <f t="shared" si="143"/>
        <v>22628.5</v>
      </c>
      <c r="GN94">
        <f t="shared" si="144"/>
        <v>22628.5</v>
      </c>
      <c r="GO94">
        <f t="shared" si="145"/>
        <v>0</v>
      </c>
      <c r="GP94">
        <f t="shared" si="146"/>
        <v>0</v>
      </c>
      <c r="GR94">
        <v>0</v>
      </c>
      <c r="GS94">
        <v>0</v>
      </c>
      <c r="GT94">
        <v>0</v>
      </c>
      <c r="GU94" t="s">
        <v>6</v>
      </c>
      <c r="GV94">
        <f t="shared" si="147"/>
        <v>0</v>
      </c>
      <c r="GW94">
        <v>1</v>
      </c>
      <c r="GX94">
        <f t="shared" si="148"/>
        <v>0</v>
      </c>
      <c r="HA94">
        <v>0</v>
      </c>
      <c r="HB94">
        <v>0</v>
      </c>
      <c r="HC94">
        <f t="shared" si="149"/>
        <v>0</v>
      </c>
      <c r="IK94">
        <v>0</v>
      </c>
    </row>
    <row r="95" spans="1:245" x14ac:dyDescent="0.2">
      <c r="A95">
        <v>17</v>
      </c>
      <c r="B95">
        <v>1</v>
      </c>
      <c r="C95">
        <f>ROW(SmtRes!A172)</f>
        <v>172</v>
      </c>
      <c r="D95">
        <f>ROW(EtalonRes!A167)</f>
        <v>167</v>
      </c>
      <c r="E95" t="s">
        <v>313</v>
      </c>
      <c r="F95" t="s">
        <v>314</v>
      </c>
      <c r="G95" t="s">
        <v>315</v>
      </c>
      <c r="H95" t="s">
        <v>18</v>
      </c>
      <c r="I95">
        <f>ROUND(268/100,9)</f>
        <v>2.68</v>
      </c>
      <c r="J95">
        <v>0</v>
      </c>
      <c r="O95">
        <f t="shared" si="116"/>
        <v>1449.77</v>
      </c>
      <c r="P95">
        <f t="shared" si="117"/>
        <v>0</v>
      </c>
      <c r="Q95">
        <f t="shared" si="118"/>
        <v>0</v>
      </c>
      <c r="R95">
        <f t="shared" si="119"/>
        <v>0</v>
      </c>
      <c r="S95">
        <f t="shared" si="120"/>
        <v>1449.77</v>
      </c>
      <c r="T95">
        <f t="shared" si="121"/>
        <v>0</v>
      </c>
      <c r="U95">
        <f t="shared" si="122"/>
        <v>22.458400000000005</v>
      </c>
      <c r="V95">
        <f t="shared" si="123"/>
        <v>0</v>
      </c>
      <c r="W95">
        <f t="shared" si="124"/>
        <v>0</v>
      </c>
      <c r="X95">
        <f t="shared" si="125"/>
        <v>1377.28</v>
      </c>
      <c r="Y95">
        <f t="shared" si="126"/>
        <v>681.39</v>
      </c>
      <c r="AA95">
        <v>16812721</v>
      </c>
      <c r="AB95">
        <f t="shared" si="127"/>
        <v>80.62</v>
      </c>
      <c r="AC95">
        <f t="shared" si="112"/>
        <v>0</v>
      </c>
      <c r="AD95">
        <f t="shared" si="113"/>
        <v>0</v>
      </c>
      <c r="AE95">
        <f t="shared" si="114"/>
        <v>0</v>
      </c>
      <c r="AF95">
        <f t="shared" si="114"/>
        <v>80.62</v>
      </c>
      <c r="AG95">
        <f t="shared" si="128"/>
        <v>0</v>
      </c>
      <c r="AH95">
        <f t="shared" si="115"/>
        <v>8.3800000000000008</v>
      </c>
      <c r="AI95">
        <f t="shared" si="115"/>
        <v>0</v>
      </c>
      <c r="AJ95">
        <f t="shared" si="129"/>
        <v>0</v>
      </c>
      <c r="AK95">
        <v>80.62</v>
      </c>
      <c r="AL95">
        <v>0</v>
      </c>
      <c r="AM95">
        <v>0</v>
      </c>
      <c r="AN95">
        <v>0</v>
      </c>
      <c r="AO95">
        <v>80.62</v>
      </c>
      <c r="AP95">
        <v>0</v>
      </c>
      <c r="AQ95">
        <v>8.3800000000000008</v>
      </c>
      <c r="AR95">
        <v>0</v>
      </c>
      <c r="AS95">
        <v>0</v>
      </c>
      <c r="AT95">
        <v>95</v>
      </c>
      <c r="AU95">
        <v>47</v>
      </c>
      <c r="AV95">
        <v>1</v>
      </c>
      <c r="AW95">
        <v>1</v>
      </c>
      <c r="AZ95">
        <v>6.71</v>
      </c>
      <c r="BA95">
        <v>6.71</v>
      </c>
      <c r="BB95">
        <v>6.71</v>
      </c>
      <c r="BC95">
        <v>6.71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316</v>
      </c>
      <c r="BM95">
        <v>15001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6.71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105</v>
      </c>
      <c r="CA95">
        <v>55</v>
      </c>
      <c r="CE95">
        <v>0</v>
      </c>
      <c r="CF95">
        <v>0</v>
      </c>
      <c r="CG95">
        <v>0</v>
      </c>
      <c r="CM95">
        <v>0</v>
      </c>
      <c r="CN95" t="s">
        <v>6</v>
      </c>
      <c r="CO95">
        <v>0</v>
      </c>
      <c r="CP95">
        <f t="shared" si="130"/>
        <v>1449.77</v>
      </c>
      <c r="CQ95">
        <f t="shared" si="131"/>
        <v>0</v>
      </c>
      <c r="CR95">
        <f t="shared" si="132"/>
        <v>0</v>
      </c>
      <c r="CS95">
        <f t="shared" si="133"/>
        <v>0</v>
      </c>
      <c r="CT95">
        <f t="shared" si="134"/>
        <v>540.96019999999999</v>
      </c>
      <c r="CU95">
        <f t="shared" si="135"/>
        <v>0</v>
      </c>
      <c r="CV95">
        <f t="shared" si="136"/>
        <v>8.3800000000000008</v>
      </c>
      <c r="CW95">
        <f t="shared" si="137"/>
        <v>0</v>
      </c>
      <c r="CX95">
        <f t="shared" si="138"/>
        <v>0</v>
      </c>
      <c r="CY95">
        <f t="shared" si="139"/>
        <v>1377.2815000000001</v>
      </c>
      <c r="CZ95">
        <f t="shared" si="140"/>
        <v>681.39190000000008</v>
      </c>
      <c r="DC95" t="s">
        <v>6</v>
      </c>
      <c r="DD95" t="s">
        <v>6</v>
      </c>
      <c r="DE95" t="s">
        <v>6</v>
      </c>
      <c r="DF95" t="s">
        <v>6</v>
      </c>
      <c r="DG95" t="s">
        <v>6</v>
      </c>
      <c r="DH95" t="s">
        <v>6</v>
      </c>
      <c r="DI95" t="s">
        <v>6</v>
      </c>
      <c r="DJ95" t="s">
        <v>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18</v>
      </c>
      <c r="DW95" t="s">
        <v>18</v>
      </c>
      <c r="DX95">
        <v>100</v>
      </c>
      <c r="EE95">
        <v>16510513</v>
      </c>
      <c r="EF95">
        <v>2</v>
      </c>
      <c r="EG95" t="s">
        <v>20</v>
      </c>
      <c r="EH95">
        <v>0</v>
      </c>
      <c r="EI95" t="s">
        <v>6</v>
      </c>
      <c r="EJ95">
        <v>1</v>
      </c>
      <c r="EK95">
        <v>15001</v>
      </c>
      <c r="EL95" t="s">
        <v>84</v>
      </c>
      <c r="EM95" t="s">
        <v>85</v>
      </c>
      <c r="EO95" t="s">
        <v>6</v>
      </c>
      <c r="EQ95">
        <v>0</v>
      </c>
      <c r="ER95">
        <v>80.62</v>
      </c>
      <c r="ES95">
        <v>0</v>
      </c>
      <c r="ET95">
        <v>0</v>
      </c>
      <c r="EU95">
        <v>0</v>
      </c>
      <c r="EV95">
        <v>80.62</v>
      </c>
      <c r="EW95">
        <v>8.3800000000000008</v>
      </c>
      <c r="EX95">
        <v>0</v>
      </c>
      <c r="EY95">
        <v>0</v>
      </c>
      <c r="FQ95">
        <v>0</v>
      </c>
      <c r="FR95">
        <f t="shared" si="141"/>
        <v>0</v>
      </c>
      <c r="FS95">
        <v>0</v>
      </c>
      <c r="FT95" t="s">
        <v>23</v>
      </c>
      <c r="FU95" t="s">
        <v>24</v>
      </c>
      <c r="FX95">
        <v>94.5</v>
      </c>
      <c r="FY95">
        <v>46.75</v>
      </c>
      <c r="GA95" t="s">
        <v>6</v>
      </c>
      <c r="GD95">
        <v>0</v>
      </c>
      <c r="GF95">
        <v>-1713052478</v>
      </c>
      <c r="GG95">
        <v>1</v>
      </c>
      <c r="GH95">
        <v>1</v>
      </c>
      <c r="GI95">
        <v>4</v>
      </c>
      <c r="GJ95">
        <v>0</v>
      </c>
      <c r="GK95">
        <f>ROUND(R95*(R12)/100,2)</f>
        <v>0</v>
      </c>
      <c r="GL95">
        <f t="shared" si="142"/>
        <v>0</v>
      </c>
      <c r="GM95">
        <f t="shared" si="143"/>
        <v>3508.44</v>
      </c>
      <c r="GN95">
        <f t="shared" si="144"/>
        <v>3508.44</v>
      </c>
      <c r="GO95">
        <f t="shared" si="145"/>
        <v>0</v>
      </c>
      <c r="GP95">
        <f t="shared" si="146"/>
        <v>0</v>
      </c>
      <c r="GR95">
        <v>0</v>
      </c>
      <c r="GS95">
        <v>3</v>
      </c>
      <c r="GT95">
        <v>0</v>
      </c>
      <c r="GU95" t="s">
        <v>6</v>
      </c>
      <c r="GV95">
        <f t="shared" si="147"/>
        <v>0</v>
      </c>
      <c r="GW95">
        <v>1</v>
      </c>
      <c r="GX95">
        <f t="shared" si="148"/>
        <v>0</v>
      </c>
      <c r="HA95">
        <v>0</v>
      </c>
      <c r="HB95">
        <v>0</v>
      </c>
      <c r="HC95">
        <f t="shared" si="149"/>
        <v>0</v>
      </c>
      <c r="IK95">
        <v>0</v>
      </c>
    </row>
    <row r="96" spans="1:245" x14ac:dyDescent="0.2">
      <c r="A96">
        <v>18</v>
      </c>
      <c r="B96">
        <v>1</v>
      </c>
      <c r="C96">
        <v>171</v>
      </c>
      <c r="E96" t="s">
        <v>317</v>
      </c>
      <c r="F96" t="s">
        <v>310</v>
      </c>
      <c r="G96" t="s">
        <v>311</v>
      </c>
      <c r="H96" t="s">
        <v>145</v>
      </c>
      <c r="I96">
        <f>I95*J96</f>
        <v>4.2880000000000001E-2</v>
      </c>
      <c r="J96">
        <v>1.6E-2</v>
      </c>
      <c r="O96">
        <f t="shared" si="116"/>
        <v>5746.92</v>
      </c>
      <c r="P96">
        <f t="shared" si="117"/>
        <v>5746.92</v>
      </c>
      <c r="Q96">
        <f t="shared" si="118"/>
        <v>0</v>
      </c>
      <c r="R96">
        <f t="shared" si="119"/>
        <v>0</v>
      </c>
      <c r="S96">
        <f t="shared" si="120"/>
        <v>0</v>
      </c>
      <c r="T96">
        <f t="shared" si="121"/>
        <v>0</v>
      </c>
      <c r="U96">
        <f t="shared" si="122"/>
        <v>0</v>
      </c>
      <c r="V96">
        <f t="shared" si="123"/>
        <v>0</v>
      </c>
      <c r="W96">
        <f t="shared" si="124"/>
        <v>0</v>
      </c>
      <c r="X96">
        <f t="shared" si="125"/>
        <v>0</v>
      </c>
      <c r="Y96">
        <f t="shared" si="126"/>
        <v>0</v>
      </c>
      <c r="AA96">
        <v>16812721</v>
      </c>
      <c r="AB96">
        <f t="shared" si="127"/>
        <v>19973.669999999998</v>
      </c>
      <c r="AC96">
        <f t="shared" si="112"/>
        <v>19973.669999999998</v>
      </c>
      <c r="AD96">
        <f t="shared" si="113"/>
        <v>0</v>
      </c>
      <c r="AE96">
        <f t="shared" si="114"/>
        <v>0</v>
      </c>
      <c r="AF96">
        <f t="shared" si="114"/>
        <v>0</v>
      </c>
      <c r="AG96">
        <f t="shared" si="128"/>
        <v>0</v>
      </c>
      <c r="AH96">
        <f t="shared" si="115"/>
        <v>0</v>
      </c>
      <c r="AI96">
        <f t="shared" si="115"/>
        <v>0</v>
      </c>
      <c r="AJ96">
        <f t="shared" si="129"/>
        <v>0</v>
      </c>
      <c r="AK96">
        <v>19973.669999999998</v>
      </c>
      <c r="AL96">
        <v>19973.669999999998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95</v>
      </c>
      <c r="AU96">
        <v>47</v>
      </c>
      <c r="AV96">
        <v>1</v>
      </c>
      <c r="AW96">
        <v>1</v>
      </c>
      <c r="AZ96">
        <v>6.71</v>
      </c>
      <c r="BA96">
        <v>1</v>
      </c>
      <c r="BB96">
        <v>1</v>
      </c>
      <c r="BC96">
        <v>6.71</v>
      </c>
      <c r="BD96" t="s">
        <v>6</v>
      </c>
      <c r="BE96" t="s">
        <v>6</v>
      </c>
      <c r="BF96" t="s">
        <v>6</v>
      </c>
      <c r="BG96" t="s">
        <v>6</v>
      </c>
      <c r="BH96">
        <v>3</v>
      </c>
      <c r="BI96">
        <v>1</v>
      </c>
      <c r="BJ96" t="s">
        <v>312</v>
      </c>
      <c r="BM96">
        <v>15001</v>
      </c>
      <c r="BN96">
        <v>0</v>
      </c>
      <c r="BO96" t="s">
        <v>6</v>
      </c>
      <c r="BP96">
        <v>0</v>
      </c>
      <c r="BQ96">
        <v>2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6</v>
      </c>
      <c r="BZ96">
        <v>105</v>
      </c>
      <c r="CA96">
        <v>55</v>
      </c>
      <c r="CE96">
        <v>0</v>
      </c>
      <c r="CF96">
        <v>0</v>
      </c>
      <c r="CG96">
        <v>0</v>
      </c>
      <c r="CM96">
        <v>0</v>
      </c>
      <c r="CN96" t="s">
        <v>6</v>
      </c>
      <c r="CO96">
        <v>0</v>
      </c>
      <c r="CP96">
        <f t="shared" si="130"/>
        <v>5746.92</v>
      </c>
      <c r="CQ96">
        <f t="shared" si="131"/>
        <v>134023.32569999999</v>
      </c>
      <c r="CR96">
        <f t="shared" si="132"/>
        <v>0</v>
      </c>
      <c r="CS96">
        <f t="shared" si="133"/>
        <v>0</v>
      </c>
      <c r="CT96">
        <f t="shared" si="134"/>
        <v>0</v>
      </c>
      <c r="CU96">
        <f t="shared" si="135"/>
        <v>0</v>
      </c>
      <c r="CV96">
        <f t="shared" si="136"/>
        <v>0</v>
      </c>
      <c r="CW96">
        <f t="shared" si="137"/>
        <v>0</v>
      </c>
      <c r="CX96">
        <f t="shared" si="138"/>
        <v>0</v>
      </c>
      <c r="CY96">
        <f t="shared" si="139"/>
        <v>0</v>
      </c>
      <c r="CZ96">
        <f t="shared" si="140"/>
        <v>0</v>
      </c>
      <c r="DC96" t="s">
        <v>6</v>
      </c>
      <c r="DD96" t="s">
        <v>6</v>
      </c>
      <c r="DE96" t="s">
        <v>6</v>
      </c>
      <c r="DF96" t="s">
        <v>6</v>
      </c>
      <c r="DG96" t="s">
        <v>6</v>
      </c>
      <c r="DH96" t="s">
        <v>6</v>
      </c>
      <c r="DI96" t="s">
        <v>6</v>
      </c>
      <c r="DJ96" t="s">
        <v>6</v>
      </c>
      <c r="DK96" t="s">
        <v>6</v>
      </c>
      <c r="DL96" t="s">
        <v>6</v>
      </c>
      <c r="DM96" t="s">
        <v>6</v>
      </c>
      <c r="DN96">
        <v>0</v>
      </c>
      <c r="DO96">
        <v>0</v>
      </c>
      <c r="DP96">
        <v>1</v>
      </c>
      <c r="DQ96">
        <v>1</v>
      </c>
      <c r="DU96">
        <v>1009</v>
      </c>
      <c r="DV96" t="s">
        <v>145</v>
      </c>
      <c r="DW96" t="s">
        <v>145</v>
      </c>
      <c r="DX96">
        <v>1000</v>
      </c>
      <c r="EE96">
        <v>16510513</v>
      </c>
      <c r="EF96">
        <v>2</v>
      </c>
      <c r="EG96" t="s">
        <v>20</v>
      </c>
      <c r="EH96">
        <v>0</v>
      </c>
      <c r="EI96" t="s">
        <v>6</v>
      </c>
      <c r="EJ96">
        <v>1</v>
      </c>
      <c r="EK96">
        <v>15001</v>
      </c>
      <c r="EL96" t="s">
        <v>84</v>
      </c>
      <c r="EM96" t="s">
        <v>85</v>
      </c>
      <c r="EO96" t="s">
        <v>6</v>
      </c>
      <c r="EQ96">
        <v>0</v>
      </c>
      <c r="ER96">
        <v>19973.669999999998</v>
      </c>
      <c r="ES96">
        <v>19973.669999999998</v>
      </c>
      <c r="ET96">
        <v>0</v>
      </c>
      <c r="EU96">
        <v>0</v>
      </c>
      <c r="EV96">
        <v>0</v>
      </c>
      <c r="EW96">
        <v>0</v>
      </c>
      <c r="EX96">
        <v>0</v>
      </c>
      <c r="FQ96">
        <v>0</v>
      </c>
      <c r="FR96">
        <f t="shared" si="141"/>
        <v>0</v>
      </c>
      <c r="FS96">
        <v>0</v>
      </c>
      <c r="FT96" t="s">
        <v>23</v>
      </c>
      <c r="FU96" t="s">
        <v>24</v>
      </c>
      <c r="FX96">
        <v>94.5</v>
      </c>
      <c r="FY96">
        <v>46.75</v>
      </c>
      <c r="GA96" t="s">
        <v>6</v>
      </c>
      <c r="GD96">
        <v>0</v>
      </c>
      <c r="GF96">
        <v>772632804</v>
      </c>
      <c r="GG96">
        <v>1</v>
      </c>
      <c r="GH96">
        <v>1</v>
      </c>
      <c r="GI96">
        <v>4</v>
      </c>
      <c r="GJ96">
        <v>0</v>
      </c>
      <c r="GK96">
        <f>ROUND(R96*(R12)/100,2)</f>
        <v>0</v>
      </c>
      <c r="GL96">
        <f t="shared" si="142"/>
        <v>0</v>
      </c>
      <c r="GM96">
        <f t="shared" si="143"/>
        <v>5746.92</v>
      </c>
      <c r="GN96">
        <f t="shared" si="144"/>
        <v>5746.92</v>
      </c>
      <c r="GO96">
        <f t="shared" si="145"/>
        <v>0</v>
      </c>
      <c r="GP96">
        <f t="shared" si="146"/>
        <v>0</v>
      </c>
      <c r="GR96">
        <v>0</v>
      </c>
      <c r="GS96">
        <v>0</v>
      </c>
      <c r="GT96">
        <v>0</v>
      </c>
      <c r="GU96" t="s">
        <v>6</v>
      </c>
      <c r="GV96">
        <f t="shared" si="147"/>
        <v>0</v>
      </c>
      <c r="GW96">
        <v>1</v>
      </c>
      <c r="GX96">
        <f t="shared" si="148"/>
        <v>0</v>
      </c>
      <c r="HA96">
        <v>0</v>
      </c>
      <c r="HB96">
        <v>0</v>
      </c>
      <c r="HC96">
        <f t="shared" si="149"/>
        <v>0</v>
      </c>
      <c r="IK96">
        <v>0</v>
      </c>
    </row>
    <row r="97" spans="1:245" x14ac:dyDescent="0.2">
      <c r="A97">
        <v>18</v>
      </c>
      <c r="B97">
        <v>1</v>
      </c>
      <c r="C97">
        <v>172</v>
      </c>
      <c r="E97" t="s">
        <v>318</v>
      </c>
      <c r="F97" t="s">
        <v>319</v>
      </c>
      <c r="G97" t="s">
        <v>320</v>
      </c>
      <c r="H97" t="s">
        <v>145</v>
      </c>
      <c r="I97">
        <f>I95*J97</f>
        <v>4.2880000000000001E-2</v>
      </c>
      <c r="J97">
        <v>1.6E-2</v>
      </c>
      <c r="O97">
        <f t="shared" si="116"/>
        <v>0</v>
      </c>
      <c r="P97">
        <f t="shared" si="117"/>
        <v>0</v>
      </c>
      <c r="Q97">
        <f t="shared" si="118"/>
        <v>0</v>
      </c>
      <c r="R97">
        <f t="shared" si="119"/>
        <v>0</v>
      </c>
      <c r="S97">
        <f t="shared" si="120"/>
        <v>0</v>
      </c>
      <c r="T97">
        <f t="shared" si="121"/>
        <v>0</v>
      </c>
      <c r="U97">
        <f t="shared" si="122"/>
        <v>0</v>
      </c>
      <c r="V97">
        <f t="shared" si="123"/>
        <v>0</v>
      </c>
      <c r="W97">
        <f t="shared" si="124"/>
        <v>0</v>
      </c>
      <c r="X97">
        <f t="shared" si="125"/>
        <v>0</v>
      </c>
      <c r="Y97">
        <f t="shared" si="126"/>
        <v>0</v>
      </c>
      <c r="AA97">
        <v>16812721</v>
      </c>
      <c r="AB97">
        <f t="shared" si="127"/>
        <v>0</v>
      </c>
      <c r="AC97">
        <f t="shared" si="112"/>
        <v>0</v>
      </c>
      <c r="AD97">
        <f t="shared" si="113"/>
        <v>0</v>
      </c>
      <c r="AE97">
        <f t="shared" si="114"/>
        <v>0</v>
      </c>
      <c r="AF97">
        <f t="shared" si="114"/>
        <v>0</v>
      </c>
      <c r="AG97">
        <f t="shared" si="128"/>
        <v>0</v>
      </c>
      <c r="AH97">
        <f t="shared" si="115"/>
        <v>0</v>
      </c>
      <c r="AI97">
        <f t="shared" si="115"/>
        <v>0</v>
      </c>
      <c r="AJ97">
        <f t="shared" si="129"/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95</v>
      </c>
      <c r="AU97">
        <v>47</v>
      </c>
      <c r="AV97">
        <v>1</v>
      </c>
      <c r="AW97">
        <v>1</v>
      </c>
      <c r="AZ97">
        <v>6.71</v>
      </c>
      <c r="BA97">
        <v>1</v>
      </c>
      <c r="BB97">
        <v>1</v>
      </c>
      <c r="BC97">
        <v>6.71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6</v>
      </c>
      <c r="BM97">
        <v>15001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105</v>
      </c>
      <c r="CA97">
        <v>55</v>
      </c>
      <c r="CE97">
        <v>0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30"/>
        <v>0</v>
      </c>
      <c r="CQ97">
        <f t="shared" si="131"/>
        <v>0</v>
      </c>
      <c r="CR97">
        <f t="shared" si="132"/>
        <v>0</v>
      </c>
      <c r="CS97">
        <f t="shared" si="133"/>
        <v>0</v>
      </c>
      <c r="CT97">
        <f t="shared" si="134"/>
        <v>0</v>
      </c>
      <c r="CU97">
        <f t="shared" si="135"/>
        <v>0</v>
      </c>
      <c r="CV97">
        <f t="shared" si="136"/>
        <v>0</v>
      </c>
      <c r="CW97">
        <f t="shared" si="137"/>
        <v>0</v>
      </c>
      <c r="CX97">
        <f t="shared" si="138"/>
        <v>0</v>
      </c>
      <c r="CY97">
        <f t="shared" si="139"/>
        <v>0</v>
      </c>
      <c r="CZ97">
        <f t="shared" si="140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145</v>
      </c>
      <c r="DW97" t="s">
        <v>145</v>
      </c>
      <c r="DX97">
        <v>1000</v>
      </c>
      <c r="EE97">
        <v>16510513</v>
      </c>
      <c r="EF97">
        <v>2</v>
      </c>
      <c r="EG97" t="s">
        <v>20</v>
      </c>
      <c r="EH97">
        <v>0</v>
      </c>
      <c r="EI97" t="s">
        <v>6</v>
      </c>
      <c r="EJ97">
        <v>1</v>
      </c>
      <c r="EK97">
        <v>15001</v>
      </c>
      <c r="EL97" t="s">
        <v>84</v>
      </c>
      <c r="EM97" t="s">
        <v>85</v>
      </c>
      <c r="EO97" t="s">
        <v>6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41"/>
        <v>0</v>
      </c>
      <c r="FS97">
        <v>0</v>
      </c>
      <c r="FT97" t="s">
        <v>23</v>
      </c>
      <c r="FU97" t="s">
        <v>24</v>
      </c>
      <c r="FX97">
        <v>94.5</v>
      </c>
      <c r="FY97">
        <v>46.75</v>
      </c>
      <c r="GA97" t="s">
        <v>6</v>
      </c>
      <c r="GD97">
        <v>0</v>
      </c>
      <c r="GF97">
        <v>973262446</v>
      </c>
      <c r="GG97">
        <v>1</v>
      </c>
      <c r="GH97">
        <v>1</v>
      </c>
      <c r="GI97">
        <v>4</v>
      </c>
      <c r="GJ97">
        <v>0</v>
      </c>
      <c r="GK97">
        <f>ROUND(R97*(R12)/100,2)</f>
        <v>0</v>
      </c>
      <c r="GL97">
        <f t="shared" si="142"/>
        <v>0</v>
      </c>
      <c r="GM97">
        <f t="shared" si="143"/>
        <v>0</v>
      </c>
      <c r="GN97">
        <f t="shared" si="144"/>
        <v>0</v>
      </c>
      <c r="GO97">
        <f t="shared" si="145"/>
        <v>0</v>
      </c>
      <c r="GP97">
        <f t="shared" si="146"/>
        <v>0</v>
      </c>
      <c r="GR97">
        <v>0</v>
      </c>
      <c r="GS97">
        <v>3</v>
      </c>
      <c r="GT97">
        <v>0</v>
      </c>
      <c r="GU97" t="s">
        <v>6</v>
      </c>
      <c r="GV97">
        <f t="shared" si="147"/>
        <v>0</v>
      </c>
      <c r="GW97">
        <v>1</v>
      </c>
      <c r="GX97">
        <f t="shared" si="148"/>
        <v>0</v>
      </c>
      <c r="HA97">
        <v>0</v>
      </c>
      <c r="HB97">
        <v>0</v>
      </c>
      <c r="HC97">
        <f t="shared" si="149"/>
        <v>0</v>
      </c>
      <c r="IK97">
        <v>0</v>
      </c>
    </row>
    <row r="98" spans="1:245" x14ac:dyDescent="0.2">
      <c r="A98">
        <v>17</v>
      </c>
      <c r="B98">
        <v>1</v>
      </c>
      <c r="C98">
        <f>ROW(SmtRes!A181)</f>
        <v>181</v>
      </c>
      <c r="D98">
        <f>ROW(EtalonRes!A175)</f>
        <v>175</v>
      </c>
      <c r="E98" t="s">
        <v>321</v>
      </c>
      <c r="F98" t="s">
        <v>322</v>
      </c>
      <c r="G98" t="s">
        <v>323</v>
      </c>
      <c r="H98" t="s">
        <v>18</v>
      </c>
      <c r="I98">
        <f>ROUND(10.725/100,9)</f>
        <v>0.10725</v>
      </c>
      <c r="J98">
        <v>0</v>
      </c>
      <c r="O98">
        <f t="shared" si="116"/>
        <v>529.62</v>
      </c>
      <c r="P98">
        <f t="shared" si="117"/>
        <v>201.72</v>
      </c>
      <c r="Q98">
        <f t="shared" si="118"/>
        <v>9.43</v>
      </c>
      <c r="R98">
        <f t="shared" si="119"/>
        <v>1.81</v>
      </c>
      <c r="S98">
        <f t="shared" si="120"/>
        <v>318.47000000000003</v>
      </c>
      <c r="T98">
        <f t="shared" si="121"/>
        <v>0</v>
      </c>
      <c r="U98">
        <f t="shared" si="122"/>
        <v>5.2911787499999994</v>
      </c>
      <c r="V98">
        <f t="shared" si="123"/>
        <v>2.2790625000000002E-2</v>
      </c>
      <c r="W98">
        <f t="shared" si="124"/>
        <v>0</v>
      </c>
      <c r="X98">
        <f t="shared" si="125"/>
        <v>304.27</v>
      </c>
      <c r="Y98">
        <f t="shared" si="126"/>
        <v>150.53</v>
      </c>
      <c r="AA98">
        <v>16812721</v>
      </c>
      <c r="AB98">
        <f t="shared" si="127"/>
        <v>735.94</v>
      </c>
      <c r="AC98">
        <f t="shared" si="112"/>
        <v>280.3</v>
      </c>
      <c r="AD98">
        <f>ROUND(((((ET98*1.25))-((EU98*1.25)))+AE98),2)</f>
        <v>13.11</v>
      </c>
      <c r="AE98">
        <f>ROUND(((EU98*1.25)),2)</f>
        <v>2.5099999999999998</v>
      </c>
      <c r="AF98">
        <f>ROUND(((EV98*1.15)),2)</f>
        <v>442.53</v>
      </c>
      <c r="AG98">
        <f t="shared" si="128"/>
        <v>0</v>
      </c>
      <c r="AH98">
        <f>((EW98*1.15))</f>
        <v>49.334999999999994</v>
      </c>
      <c r="AI98">
        <f>((EX98*1.25))</f>
        <v>0.21250000000000002</v>
      </c>
      <c r="AJ98">
        <f t="shared" si="129"/>
        <v>0</v>
      </c>
      <c r="AK98">
        <v>675.6</v>
      </c>
      <c r="AL98">
        <v>280.3</v>
      </c>
      <c r="AM98">
        <v>10.49</v>
      </c>
      <c r="AN98">
        <v>2.0099999999999998</v>
      </c>
      <c r="AO98">
        <v>384.81</v>
      </c>
      <c r="AP98">
        <v>0</v>
      </c>
      <c r="AQ98">
        <v>42.9</v>
      </c>
      <c r="AR98">
        <v>0.17</v>
      </c>
      <c r="AS98">
        <v>0</v>
      </c>
      <c r="AT98">
        <v>95</v>
      </c>
      <c r="AU98">
        <v>47</v>
      </c>
      <c r="AV98">
        <v>1</v>
      </c>
      <c r="AW98">
        <v>1</v>
      </c>
      <c r="AZ98">
        <v>6.71</v>
      </c>
      <c r="BA98">
        <v>6.71</v>
      </c>
      <c r="BB98">
        <v>6.71</v>
      </c>
      <c r="BC98">
        <v>6.71</v>
      </c>
      <c r="BD98" t="s">
        <v>6</v>
      </c>
      <c r="BE98" t="s">
        <v>6</v>
      </c>
      <c r="BF98" t="s">
        <v>6</v>
      </c>
      <c r="BG98" t="s">
        <v>6</v>
      </c>
      <c r="BH98">
        <v>0</v>
      </c>
      <c r="BI98">
        <v>1</v>
      </c>
      <c r="BJ98" t="s">
        <v>324</v>
      </c>
      <c r="BM98">
        <v>15001</v>
      </c>
      <c r="BN98">
        <v>0</v>
      </c>
      <c r="BO98" t="s">
        <v>6</v>
      </c>
      <c r="BP98">
        <v>0</v>
      </c>
      <c r="BQ98">
        <v>2</v>
      </c>
      <c r="BR98">
        <v>0</v>
      </c>
      <c r="BS98">
        <v>6.71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6</v>
      </c>
      <c r="BZ98">
        <v>105</v>
      </c>
      <c r="CA98">
        <v>55</v>
      </c>
      <c r="CE98">
        <v>0</v>
      </c>
      <c r="CF98">
        <v>0</v>
      </c>
      <c r="CG98">
        <v>0</v>
      </c>
      <c r="CM98">
        <v>0</v>
      </c>
      <c r="CN98" t="s">
        <v>1138</v>
      </c>
      <c r="CO98">
        <v>0</v>
      </c>
      <c r="CP98">
        <f t="shared" si="130"/>
        <v>529.62</v>
      </c>
      <c r="CQ98">
        <f t="shared" si="131"/>
        <v>1880.8130000000001</v>
      </c>
      <c r="CR98">
        <f t="shared" si="132"/>
        <v>87.968099999999993</v>
      </c>
      <c r="CS98">
        <f t="shared" si="133"/>
        <v>16.842099999999999</v>
      </c>
      <c r="CT98">
        <f t="shared" si="134"/>
        <v>2969.3762999999999</v>
      </c>
      <c r="CU98">
        <f t="shared" si="135"/>
        <v>0</v>
      </c>
      <c r="CV98">
        <f t="shared" si="136"/>
        <v>49.334999999999994</v>
      </c>
      <c r="CW98">
        <f t="shared" si="137"/>
        <v>0.21250000000000002</v>
      </c>
      <c r="CX98">
        <f t="shared" si="138"/>
        <v>0</v>
      </c>
      <c r="CY98">
        <f t="shared" si="139"/>
        <v>304.26600000000002</v>
      </c>
      <c r="CZ98">
        <f t="shared" si="140"/>
        <v>150.53160000000003</v>
      </c>
      <c r="DC98" t="s">
        <v>6</v>
      </c>
      <c r="DD98" t="s">
        <v>6</v>
      </c>
      <c r="DE98" t="s">
        <v>103</v>
      </c>
      <c r="DF98" t="s">
        <v>103</v>
      </c>
      <c r="DG98" t="s">
        <v>104</v>
      </c>
      <c r="DH98" t="s">
        <v>6</v>
      </c>
      <c r="DI98" t="s">
        <v>104</v>
      </c>
      <c r="DJ98" t="s">
        <v>103</v>
      </c>
      <c r="DK98" t="s">
        <v>6</v>
      </c>
      <c r="DL98" t="s">
        <v>6</v>
      </c>
      <c r="DM98" t="s">
        <v>6</v>
      </c>
      <c r="DN98">
        <v>0</v>
      </c>
      <c r="DO98">
        <v>0</v>
      </c>
      <c r="DP98">
        <v>1</v>
      </c>
      <c r="DQ98">
        <v>1</v>
      </c>
      <c r="DU98">
        <v>1005</v>
      </c>
      <c r="DV98" t="s">
        <v>18</v>
      </c>
      <c r="DW98" t="s">
        <v>18</v>
      </c>
      <c r="DX98">
        <v>100</v>
      </c>
      <c r="EE98">
        <v>16510513</v>
      </c>
      <c r="EF98">
        <v>2</v>
      </c>
      <c r="EG98" t="s">
        <v>20</v>
      </c>
      <c r="EH98">
        <v>0</v>
      </c>
      <c r="EI98" t="s">
        <v>6</v>
      </c>
      <c r="EJ98">
        <v>1</v>
      </c>
      <c r="EK98">
        <v>15001</v>
      </c>
      <c r="EL98" t="s">
        <v>84</v>
      </c>
      <c r="EM98" t="s">
        <v>85</v>
      </c>
      <c r="EO98" t="s">
        <v>105</v>
      </c>
      <c r="EQ98">
        <v>131072</v>
      </c>
      <c r="ER98">
        <v>675.6</v>
      </c>
      <c r="ES98">
        <v>280.3</v>
      </c>
      <c r="ET98">
        <v>10.49</v>
      </c>
      <c r="EU98">
        <v>2.0099999999999998</v>
      </c>
      <c r="EV98">
        <v>384.81</v>
      </c>
      <c r="EW98">
        <v>42.9</v>
      </c>
      <c r="EX98">
        <v>0.17</v>
      </c>
      <c r="EY98">
        <v>0</v>
      </c>
      <c r="FQ98">
        <v>0</v>
      </c>
      <c r="FR98">
        <f t="shared" si="141"/>
        <v>0</v>
      </c>
      <c r="FS98">
        <v>0</v>
      </c>
      <c r="FT98" t="s">
        <v>23</v>
      </c>
      <c r="FU98" t="s">
        <v>24</v>
      </c>
      <c r="FX98">
        <v>94.5</v>
      </c>
      <c r="FY98">
        <v>46.75</v>
      </c>
      <c r="GA98" t="s">
        <v>6</v>
      </c>
      <c r="GD98">
        <v>0</v>
      </c>
      <c r="GF98">
        <v>-142295101</v>
      </c>
      <c r="GG98">
        <v>1</v>
      </c>
      <c r="GH98">
        <v>1</v>
      </c>
      <c r="GI98">
        <v>4</v>
      </c>
      <c r="GJ98">
        <v>0</v>
      </c>
      <c r="GK98">
        <f>ROUND(R98*(R12)/100,2)</f>
        <v>0</v>
      </c>
      <c r="GL98">
        <f t="shared" si="142"/>
        <v>0</v>
      </c>
      <c r="GM98">
        <f t="shared" si="143"/>
        <v>984.42</v>
      </c>
      <c r="GN98">
        <f t="shared" si="144"/>
        <v>984.42</v>
      </c>
      <c r="GO98">
        <f t="shared" si="145"/>
        <v>0</v>
      </c>
      <c r="GP98">
        <f t="shared" si="146"/>
        <v>0</v>
      </c>
      <c r="GR98">
        <v>0</v>
      </c>
      <c r="GS98">
        <v>0</v>
      </c>
      <c r="GT98">
        <v>0</v>
      </c>
      <c r="GU98" t="s">
        <v>6</v>
      </c>
      <c r="GV98">
        <f t="shared" si="147"/>
        <v>0</v>
      </c>
      <c r="GW98">
        <v>1</v>
      </c>
      <c r="GX98">
        <f t="shared" si="148"/>
        <v>0</v>
      </c>
      <c r="HA98">
        <v>0</v>
      </c>
      <c r="HB98">
        <v>0</v>
      </c>
      <c r="HC98">
        <f t="shared" si="149"/>
        <v>0</v>
      </c>
      <c r="IK98">
        <v>0</v>
      </c>
    </row>
    <row r="99" spans="1:245" x14ac:dyDescent="0.2">
      <c r="A99">
        <v>18</v>
      </c>
      <c r="B99">
        <v>1</v>
      </c>
      <c r="C99">
        <v>179</v>
      </c>
      <c r="E99" t="s">
        <v>325</v>
      </c>
      <c r="F99" t="s">
        <v>307</v>
      </c>
      <c r="G99" t="s">
        <v>308</v>
      </c>
      <c r="H99" t="s">
        <v>145</v>
      </c>
      <c r="I99">
        <f>I98*J99</f>
        <v>6.757E-3</v>
      </c>
      <c r="J99">
        <v>6.3002331002331005E-2</v>
      </c>
      <c r="O99">
        <f t="shared" si="116"/>
        <v>0</v>
      </c>
      <c r="P99">
        <f t="shared" si="117"/>
        <v>0</v>
      </c>
      <c r="Q99">
        <f t="shared" si="118"/>
        <v>0</v>
      </c>
      <c r="R99">
        <f t="shared" si="119"/>
        <v>0</v>
      </c>
      <c r="S99">
        <f t="shared" si="120"/>
        <v>0</v>
      </c>
      <c r="T99">
        <f t="shared" si="121"/>
        <v>0</v>
      </c>
      <c r="U99">
        <f t="shared" si="122"/>
        <v>0</v>
      </c>
      <c r="V99">
        <f t="shared" si="123"/>
        <v>0</v>
      </c>
      <c r="W99">
        <f t="shared" si="124"/>
        <v>0</v>
      </c>
      <c r="X99">
        <f t="shared" si="125"/>
        <v>0</v>
      </c>
      <c r="Y99">
        <f t="shared" si="126"/>
        <v>0</v>
      </c>
      <c r="AA99">
        <v>16812721</v>
      </c>
      <c r="AB99">
        <f t="shared" si="127"/>
        <v>0</v>
      </c>
      <c r="AC99">
        <f t="shared" si="112"/>
        <v>0</v>
      </c>
      <c r="AD99">
        <f>ROUND((((ET99)-(EU99))+AE99),2)</f>
        <v>0</v>
      </c>
      <c r="AE99">
        <f>ROUND((EU99),2)</f>
        <v>0</v>
      </c>
      <c r="AF99">
        <f>ROUND((EV99),2)</f>
        <v>0</v>
      </c>
      <c r="AG99">
        <f t="shared" si="128"/>
        <v>0</v>
      </c>
      <c r="AH99">
        <f>(EW99)</f>
        <v>0</v>
      </c>
      <c r="AI99">
        <f>(EX99)</f>
        <v>0</v>
      </c>
      <c r="AJ99">
        <f t="shared" si="129"/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95</v>
      </c>
      <c r="AU99">
        <v>47</v>
      </c>
      <c r="AV99">
        <v>1</v>
      </c>
      <c r="AW99">
        <v>1</v>
      </c>
      <c r="AZ99">
        <v>6.71</v>
      </c>
      <c r="BA99">
        <v>1</v>
      </c>
      <c r="BB99">
        <v>1</v>
      </c>
      <c r="BC99">
        <v>6.71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6</v>
      </c>
      <c r="BM99">
        <v>15001</v>
      </c>
      <c r="BN99">
        <v>0</v>
      </c>
      <c r="BO99" t="s">
        <v>6</v>
      </c>
      <c r="BP99">
        <v>0</v>
      </c>
      <c r="BQ99">
        <v>2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105</v>
      </c>
      <c r="CA99">
        <v>55</v>
      </c>
      <c r="CE99">
        <v>0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30"/>
        <v>0</v>
      </c>
      <c r="CQ99">
        <f t="shared" si="131"/>
        <v>0</v>
      </c>
      <c r="CR99">
        <f t="shared" si="132"/>
        <v>0</v>
      </c>
      <c r="CS99">
        <f t="shared" si="133"/>
        <v>0</v>
      </c>
      <c r="CT99">
        <f t="shared" si="134"/>
        <v>0</v>
      </c>
      <c r="CU99">
        <f t="shared" si="135"/>
        <v>0</v>
      </c>
      <c r="CV99">
        <f t="shared" si="136"/>
        <v>0</v>
      </c>
      <c r="CW99">
        <f t="shared" si="137"/>
        <v>0</v>
      </c>
      <c r="CX99">
        <f t="shared" si="138"/>
        <v>0</v>
      </c>
      <c r="CY99">
        <f t="shared" si="139"/>
        <v>0</v>
      </c>
      <c r="CZ99">
        <f t="shared" si="140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1009</v>
      </c>
      <c r="DV99" t="s">
        <v>145</v>
      </c>
      <c r="DW99" t="s">
        <v>145</v>
      </c>
      <c r="DX99">
        <v>1000</v>
      </c>
      <c r="EE99">
        <v>16510513</v>
      </c>
      <c r="EF99">
        <v>2</v>
      </c>
      <c r="EG99" t="s">
        <v>20</v>
      </c>
      <c r="EH99">
        <v>0</v>
      </c>
      <c r="EI99" t="s">
        <v>6</v>
      </c>
      <c r="EJ99">
        <v>1</v>
      </c>
      <c r="EK99">
        <v>15001</v>
      </c>
      <c r="EL99" t="s">
        <v>84</v>
      </c>
      <c r="EM99" t="s">
        <v>85</v>
      </c>
      <c r="EO99" t="s">
        <v>6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41"/>
        <v>0</v>
      </c>
      <c r="FS99">
        <v>0</v>
      </c>
      <c r="FT99" t="s">
        <v>23</v>
      </c>
      <c r="FU99" t="s">
        <v>24</v>
      </c>
      <c r="FX99">
        <v>94.5</v>
      </c>
      <c r="FY99">
        <v>46.75</v>
      </c>
      <c r="GA99" t="s">
        <v>6</v>
      </c>
      <c r="GD99">
        <v>0</v>
      </c>
      <c r="GF99">
        <v>1891904026</v>
      </c>
      <c r="GG99">
        <v>1</v>
      </c>
      <c r="GH99">
        <v>1</v>
      </c>
      <c r="GI99">
        <v>4</v>
      </c>
      <c r="GJ99">
        <v>0</v>
      </c>
      <c r="GK99">
        <f>ROUND(R99*(R12)/100,2)</f>
        <v>0</v>
      </c>
      <c r="GL99">
        <f t="shared" si="142"/>
        <v>0</v>
      </c>
      <c r="GM99">
        <f t="shared" si="143"/>
        <v>0</v>
      </c>
      <c r="GN99">
        <f t="shared" si="144"/>
        <v>0</v>
      </c>
      <c r="GO99">
        <f t="shared" si="145"/>
        <v>0</v>
      </c>
      <c r="GP99">
        <f t="shared" si="146"/>
        <v>0</v>
      </c>
      <c r="GR99">
        <v>0</v>
      </c>
      <c r="GS99">
        <v>3</v>
      </c>
      <c r="GT99">
        <v>0</v>
      </c>
      <c r="GU99" t="s">
        <v>6</v>
      </c>
      <c r="GV99">
        <f t="shared" si="147"/>
        <v>0</v>
      </c>
      <c r="GW99">
        <v>1</v>
      </c>
      <c r="GX99">
        <f t="shared" si="148"/>
        <v>0</v>
      </c>
      <c r="HA99">
        <v>0</v>
      </c>
      <c r="HB99">
        <v>0</v>
      </c>
      <c r="HC99">
        <f t="shared" si="149"/>
        <v>0</v>
      </c>
      <c r="IK99">
        <v>0</v>
      </c>
    </row>
    <row r="100" spans="1:245" x14ac:dyDescent="0.2">
      <c r="A100">
        <v>18</v>
      </c>
      <c r="B100">
        <v>1</v>
      </c>
      <c r="C100">
        <v>180</v>
      </c>
      <c r="E100" t="s">
        <v>326</v>
      </c>
      <c r="F100" t="s">
        <v>310</v>
      </c>
      <c r="G100" t="s">
        <v>311</v>
      </c>
      <c r="H100" t="s">
        <v>145</v>
      </c>
      <c r="I100">
        <f>I98*J100</f>
        <v>6.757E-3</v>
      </c>
      <c r="J100">
        <v>6.3002331002331005E-2</v>
      </c>
      <c r="O100">
        <f t="shared" si="116"/>
        <v>905.6</v>
      </c>
      <c r="P100">
        <f t="shared" si="117"/>
        <v>905.6</v>
      </c>
      <c r="Q100">
        <f t="shared" si="118"/>
        <v>0</v>
      </c>
      <c r="R100">
        <f t="shared" si="119"/>
        <v>0</v>
      </c>
      <c r="S100">
        <f t="shared" si="120"/>
        <v>0</v>
      </c>
      <c r="T100">
        <f t="shared" si="121"/>
        <v>0</v>
      </c>
      <c r="U100">
        <f t="shared" si="122"/>
        <v>0</v>
      </c>
      <c r="V100">
        <f t="shared" si="123"/>
        <v>0</v>
      </c>
      <c r="W100">
        <f t="shared" si="124"/>
        <v>0</v>
      </c>
      <c r="X100">
        <f t="shared" si="125"/>
        <v>0</v>
      </c>
      <c r="Y100">
        <f t="shared" si="126"/>
        <v>0</v>
      </c>
      <c r="AA100">
        <v>16812721</v>
      </c>
      <c r="AB100">
        <f t="shared" si="127"/>
        <v>19973.669999999998</v>
      </c>
      <c r="AC100">
        <f t="shared" si="112"/>
        <v>19973.669999999998</v>
      </c>
      <c r="AD100">
        <f>ROUND((((ET100)-(EU100))+AE100),2)</f>
        <v>0</v>
      </c>
      <c r="AE100">
        <f>ROUND((EU100),2)</f>
        <v>0</v>
      </c>
      <c r="AF100">
        <f>ROUND((EV100),2)</f>
        <v>0</v>
      </c>
      <c r="AG100">
        <f t="shared" si="128"/>
        <v>0</v>
      </c>
      <c r="AH100">
        <f>(EW100)</f>
        <v>0</v>
      </c>
      <c r="AI100">
        <f>(EX100)</f>
        <v>0</v>
      </c>
      <c r="AJ100">
        <f t="shared" si="129"/>
        <v>0</v>
      </c>
      <c r="AK100">
        <v>19973.669999999998</v>
      </c>
      <c r="AL100">
        <v>19973.669999999998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95</v>
      </c>
      <c r="AU100">
        <v>47</v>
      </c>
      <c r="AV100">
        <v>1</v>
      </c>
      <c r="AW100">
        <v>1</v>
      </c>
      <c r="AZ100">
        <v>6.71</v>
      </c>
      <c r="BA100">
        <v>1</v>
      </c>
      <c r="BB100">
        <v>1</v>
      </c>
      <c r="BC100">
        <v>6.71</v>
      </c>
      <c r="BD100" t="s">
        <v>6</v>
      </c>
      <c r="BE100" t="s">
        <v>6</v>
      </c>
      <c r="BF100" t="s">
        <v>6</v>
      </c>
      <c r="BG100" t="s">
        <v>6</v>
      </c>
      <c r="BH100">
        <v>3</v>
      </c>
      <c r="BI100">
        <v>1</v>
      </c>
      <c r="BJ100" t="s">
        <v>312</v>
      </c>
      <c r="BM100">
        <v>15001</v>
      </c>
      <c r="BN100">
        <v>0</v>
      </c>
      <c r="BO100" t="s">
        <v>6</v>
      </c>
      <c r="BP100">
        <v>0</v>
      </c>
      <c r="BQ100">
        <v>2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6</v>
      </c>
      <c r="BZ100">
        <v>105</v>
      </c>
      <c r="CA100">
        <v>55</v>
      </c>
      <c r="CE100">
        <v>0</v>
      </c>
      <c r="CF100">
        <v>0</v>
      </c>
      <c r="CG100">
        <v>0</v>
      </c>
      <c r="CM100">
        <v>0</v>
      </c>
      <c r="CN100" t="s">
        <v>6</v>
      </c>
      <c r="CO100">
        <v>0</v>
      </c>
      <c r="CP100">
        <f t="shared" si="130"/>
        <v>905.6</v>
      </c>
      <c r="CQ100">
        <f t="shared" si="131"/>
        <v>134023.32569999999</v>
      </c>
      <c r="CR100">
        <f t="shared" si="132"/>
        <v>0</v>
      </c>
      <c r="CS100">
        <f t="shared" si="133"/>
        <v>0</v>
      </c>
      <c r="CT100">
        <f t="shared" si="134"/>
        <v>0</v>
      </c>
      <c r="CU100">
        <f t="shared" si="135"/>
        <v>0</v>
      </c>
      <c r="CV100">
        <f t="shared" si="136"/>
        <v>0</v>
      </c>
      <c r="CW100">
        <f t="shared" si="137"/>
        <v>0</v>
      </c>
      <c r="CX100">
        <f t="shared" si="138"/>
        <v>0</v>
      </c>
      <c r="CY100">
        <f t="shared" si="139"/>
        <v>0</v>
      </c>
      <c r="CZ100">
        <f t="shared" si="140"/>
        <v>0</v>
      </c>
      <c r="DC100" t="s">
        <v>6</v>
      </c>
      <c r="DD100" t="s">
        <v>6</v>
      </c>
      <c r="DE100" t="s">
        <v>6</v>
      </c>
      <c r="DF100" t="s">
        <v>6</v>
      </c>
      <c r="DG100" t="s">
        <v>6</v>
      </c>
      <c r="DH100" t="s">
        <v>6</v>
      </c>
      <c r="DI100" t="s">
        <v>6</v>
      </c>
      <c r="DJ100" t="s">
        <v>6</v>
      </c>
      <c r="DK100" t="s">
        <v>6</v>
      </c>
      <c r="DL100" t="s">
        <v>6</v>
      </c>
      <c r="DM100" t="s">
        <v>6</v>
      </c>
      <c r="DN100">
        <v>0</v>
      </c>
      <c r="DO100">
        <v>0</v>
      </c>
      <c r="DP100">
        <v>1</v>
      </c>
      <c r="DQ100">
        <v>1</v>
      </c>
      <c r="DU100">
        <v>1009</v>
      </c>
      <c r="DV100" t="s">
        <v>145</v>
      </c>
      <c r="DW100" t="s">
        <v>145</v>
      </c>
      <c r="DX100">
        <v>1000</v>
      </c>
      <c r="EE100">
        <v>16510513</v>
      </c>
      <c r="EF100">
        <v>2</v>
      </c>
      <c r="EG100" t="s">
        <v>20</v>
      </c>
      <c r="EH100">
        <v>0</v>
      </c>
      <c r="EI100" t="s">
        <v>6</v>
      </c>
      <c r="EJ100">
        <v>1</v>
      </c>
      <c r="EK100">
        <v>15001</v>
      </c>
      <c r="EL100" t="s">
        <v>84</v>
      </c>
      <c r="EM100" t="s">
        <v>85</v>
      </c>
      <c r="EO100" t="s">
        <v>6</v>
      </c>
      <c r="EQ100">
        <v>0</v>
      </c>
      <c r="ER100">
        <v>19973.669999999998</v>
      </c>
      <c r="ES100">
        <v>19973.669999999998</v>
      </c>
      <c r="ET100">
        <v>0</v>
      </c>
      <c r="EU100">
        <v>0</v>
      </c>
      <c r="EV100">
        <v>0</v>
      </c>
      <c r="EW100">
        <v>0</v>
      </c>
      <c r="EX100">
        <v>0</v>
      </c>
      <c r="FQ100">
        <v>0</v>
      </c>
      <c r="FR100">
        <f t="shared" si="141"/>
        <v>0</v>
      </c>
      <c r="FS100">
        <v>0</v>
      </c>
      <c r="FT100" t="s">
        <v>23</v>
      </c>
      <c r="FU100" t="s">
        <v>24</v>
      </c>
      <c r="FX100">
        <v>94.5</v>
      </c>
      <c r="FY100">
        <v>46.75</v>
      </c>
      <c r="GA100" t="s">
        <v>6</v>
      </c>
      <c r="GD100">
        <v>0</v>
      </c>
      <c r="GF100">
        <v>772632804</v>
      </c>
      <c r="GG100">
        <v>1</v>
      </c>
      <c r="GH100">
        <v>1</v>
      </c>
      <c r="GI100">
        <v>4</v>
      </c>
      <c r="GJ100">
        <v>0</v>
      </c>
      <c r="GK100">
        <f>ROUND(R100*(R12)/100,2)</f>
        <v>0</v>
      </c>
      <c r="GL100">
        <f t="shared" si="142"/>
        <v>0</v>
      </c>
      <c r="GM100">
        <f t="shared" si="143"/>
        <v>905.6</v>
      </c>
      <c r="GN100">
        <f t="shared" si="144"/>
        <v>905.6</v>
      </c>
      <c r="GO100">
        <f t="shared" si="145"/>
        <v>0</v>
      </c>
      <c r="GP100">
        <f t="shared" si="146"/>
        <v>0</v>
      </c>
      <c r="GR100">
        <v>0</v>
      </c>
      <c r="GS100">
        <v>0</v>
      </c>
      <c r="GT100">
        <v>0</v>
      </c>
      <c r="GU100" t="s">
        <v>6</v>
      </c>
      <c r="GV100">
        <f t="shared" si="147"/>
        <v>0</v>
      </c>
      <c r="GW100">
        <v>1</v>
      </c>
      <c r="GX100">
        <f t="shared" si="148"/>
        <v>0</v>
      </c>
      <c r="HA100">
        <v>0</v>
      </c>
      <c r="HB100">
        <v>0</v>
      </c>
      <c r="HC100">
        <f t="shared" si="149"/>
        <v>0</v>
      </c>
      <c r="IK100">
        <v>0</v>
      </c>
    </row>
    <row r="101" spans="1:245" x14ac:dyDescent="0.2">
      <c r="A101">
        <v>17</v>
      </c>
      <c r="B101">
        <v>1</v>
      </c>
      <c r="C101">
        <f>ROW(SmtRes!A186)</f>
        <v>186</v>
      </c>
      <c r="D101">
        <f>ROW(EtalonRes!A180)</f>
        <v>180</v>
      </c>
      <c r="E101" t="s">
        <v>327</v>
      </c>
      <c r="F101" t="s">
        <v>328</v>
      </c>
      <c r="G101" t="s">
        <v>329</v>
      </c>
      <c r="H101" t="s">
        <v>18</v>
      </c>
      <c r="I101">
        <f>ROUND(10.725/100,9)</f>
        <v>0.10725</v>
      </c>
      <c r="J101">
        <v>0</v>
      </c>
      <c r="O101">
        <f t="shared" si="116"/>
        <v>3243.52</v>
      </c>
      <c r="P101">
        <f t="shared" si="117"/>
        <v>1616.7</v>
      </c>
      <c r="Q101">
        <f t="shared" si="118"/>
        <v>57.93</v>
      </c>
      <c r="R101">
        <f t="shared" si="119"/>
        <v>25.01</v>
      </c>
      <c r="S101">
        <f t="shared" si="120"/>
        <v>1568.89</v>
      </c>
      <c r="T101">
        <f t="shared" si="121"/>
        <v>0</v>
      </c>
      <c r="U101">
        <f t="shared" si="122"/>
        <v>25.168250249999996</v>
      </c>
      <c r="V101">
        <f t="shared" si="123"/>
        <v>0.27616875000000002</v>
      </c>
      <c r="W101">
        <f t="shared" si="124"/>
        <v>0</v>
      </c>
      <c r="X101">
        <f t="shared" si="125"/>
        <v>1514.21</v>
      </c>
      <c r="Y101">
        <f t="shared" si="126"/>
        <v>749.13</v>
      </c>
      <c r="AA101">
        <v>16812721</v>
      </c>
      <c r="AB101">
        <f t="shared" si="127"/>
        <v>4507.09</v>
      </c>
      <c r="AC101">
        <f t="shared" si="112"/>
        <v>2246.5100000000002</v>
      </c>
      <c r="AD101">
        <f>ROUND(((((ET101*1.25))-((EU101*1.25)))+AE101),2)</f>
        <v>80.5</v>
      </c>
      <c r="AE101">
        <f>ROUND(((EU101*1.25)),2)</f>
        <v>34.76</v>
      </c>
      <c r="AF101">
        <f>ROUND(((EV101*1.15)),2)</f>
        <v>2180.08</v>
      </c>
      <c r="AG101">
        <f t="shared" si="128"/>
        <v>0</v>
      </c>
      <c r="AH101">
        <f>((EW101*1.15))</f>
        <v>234.66899999999998</v>
      </c>
      <c r="AI101">
        <f>((EX101*1.25))</f>
        <v>2.5750000000000002</v>
      </c>
      <c r="AJ101">
        <f t="shared" si="129"/>
        <v>0</v>
      </c>
      <c r="AK101">
        <v>4206.63</v>
      </c>
      <c r="AL101">
        <v>2246.5100000000002</v>
      </c>
      <c r="AM101">
        <v>64.400000000000006</v>
      </c>
      <c r="AN101">
        <v>27.81</v>
      </c>
      <c r="AO101">
        <v>1895.72</v>
      </c>
      <c r="AP101">
        <v>0</v>
      </c>
      <c r="AQ101">
        <v>204.06</v>
      </c>
      <c r="AR101">
        <v>2.06</v>
      </c>
      <c r="AS101">
        <v>0</v>
      </c>
      <c r="AT101">
        <v>95</v>
      </c>
      <c r="AU101">
        <v>47</v>
      </c>
      <c r="AV101">
        <v>1</v>
      </c>
      <c r="AW101">
        <v>1</v>
      </c>
      <c r="AZ101">
        <v>6.71</v>
      </c>
      <c r="BA101">
        <v>6.71</v>
      </c>
      <c r="BB101">
        <v>6.71</v>
      </c>
      <c r="BC101">
        <v>6.71</v>
      </c>
      <c r="BD101" t="s">
        <v>6</v>
      </c>
      <c r="BE101" t="s">
        <v>6</v>
      </c>
      <c r="BF101" t="s">
        <v>6</v>
      </c>
      <c r="BG101" t="s">
        <v>6</v>
      </c>
      <c r="BH101">
        <v>0</v>
      </c>
      <c r="BI101">
        <v>1</v>
      </c>
      <c r="BJ101" t="s">
        <v>330</v>
      </c>
      <c r="BM101">
        <v>15001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6.71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105</v>
      </c>
      <c r="CA101">
        <v>55</v>
      </c>
      <c r="CE101">
        <v>0</v>
      </c>
      <c r="CF101">
        <v>0</v>
      </c>
      <c r="CG101">
        <v>0</v>
      </c>
      <c r="CM101">
        <v>0</v>
      </c>
      <c r="CN101" t="s">
        <v>1138</v>
      </c>
      <c r="CO101">
        <v>0</v>
      </c>
      <c r="CP101">
        <f t="shared" si="130"/>
        <v>3243.5200000000004</v>
      </c>
      <c r="CQ101">
        <f t="shared" si="131"/>
        <v>15074.082100000001</v>
      </c>
      <c r="CR101">
        <f t="shared" si="132"/>
        <v>540.15499999999997</v>
      </c>
      <c r="CS101">
        <f t="shared" si="133"/>
        <v>233.2396</v>
      </c>
      <c r="CT101">
        <f t="shared" si="134"/>
        <v>14628.336799999999</v>
      </c>
      <c r="CU101">
        <f t="shared" si="135"/>
        <v>0</v>
      </c>
      <c r="CV101">
        <f t="shared" si="136"/>
        <v>234.66899999999998</v>
      </c>
      <c r="CW101">
        <f t="shared" si="137"/>
        <v>2.5750000000000002</v>
      </c>
      <c r="CX101">
        <f t="shared" si="138"/>
        <v>0</v>
      </c>
      <c r="CY101">
        <f t="shared" si="139"/>
        <v>1514.2049999999999</v>
      </c>
      <c r="CZ101">
        <f t="shared" si="140"/>
        <v>749.13300000000004</v>
      </c>
      <c r="DC101" t="s">
        <v>6</v>
      </c>
      <c r="DD101" t="s">
        <v>6</v>
      </c>
      <c r="DE101" t="s">
        <v>103</v>
      </c>
      <c r="DF101" t="s">
        <v>103</v>
      </c>
      <c r="DG101" t="s">
        <v>104</v>
      </c>
      <c r="DH101" t="s">
        <v>6</v>
      </c>
      <c r="DI101" t="s">
        <v>104</v>
      </c>
      <c r="DJ101" t="s">
        <v>103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18</v>
      </c>
      <c r="DW101" t="s">
        <v>18</v>
      </c>
      <c r="DX101">
        <v>100</v>
      </c>
      <c r="EE101">
        <v>16510513</v>
      </c>
      <c r="EF101">
        <v>2</v>
      </c>
      <c r="EG101" t="s">
        <v>20</v>
      </c>
      <c r="EH101">
        <v>0</v>
      </c>
      <c r="EI101" t="s">
        <v>6</v>
      </c>
      <c r="EJ101">
        <v>1</v>
      </c>
      <c r="EK101">
        <v>15001</v>
      </c>
      <c r="EL101" t="s">
        <v>84</v>
      </c>
      <c r="EM101" t="s">
        <v>85</v>
      </c>
      <c r="EO101" t="s">
        <v>105</v>
      </c>
      <c r="EQ101">
        <v>131072</v>
      </c>
      <c r="ER101">
        <v>4206.63</v>
      </c>
      <c r="ES101">
        <v>2246.5100000000002</v>
      </c>
      <c r="ET101">
        <v>64.400000000000006</v>
      </c>
      <c r="EU101">
        <v>27.81</v>
      </c>
      <c r="EV101">
        <v>1895.72</v>
      </c>
      <c r="EW101">
        <v>204.06</v>
      </c>
      <c r="EX101">
        <v>2.06</v>
      </c>
      <c r="EY101">
        <v>0</v>
      </c>
      <c r="FQ101">
        <v>0</v>
      </c>
      <c r="FR101">
        <f t="shared" si="141"/>
        <v>0</v>
      </c>
      <c r="FS101">
        <v>0</v>
      </c>
      <c r="FT101" t="s">
        <v>23</v>
      </c>
      <c r="FU101" t="s">
        <v>24</v>
      </c>
      <c r="FX101">
        <v>94.5</v>
      </c>
      <c r="FY101">
        <v>46.75</v>
      </c>
      <c r="GA101" t="s">
        <v>6</v>
      </c>
      <c r="GD101">
        <v>0</v>
      </c>
      <c r="GF101">
        <v>-635342655</v>
      </c>
      <c r="GG101">
        <v>1</v>
      </c>
      <c r="GH101">
        <v>1</v>
      </c>
      <c r="GI101">
        <v>4</v>
      </c>
      <c r="GJ101">
        <v>0</v>
      </c>
      <c r="GK101">
        <f>ROUND(R101*(R12)/100,2)</f>
        <v>0</v>
      </c>
      <c r="GL101">
        <f t="shared" si="142"/>
        <v>0</v>
      </c>
      <c r="GM101">
        <f t="shared" si="143"/>
        <v>5506.86</v>
      </c>
      <c r="GN101">
        <f t="shared" si="144"/>
        <v>5506.86</v>
      </c>
      <c r="GO101">
        <f t="shared" si="145"/>
        <v>0</v>
      </c>
      <c r="GP101">
        <f t="shared" si="146"/>
        <v>0</v>
      </c>
      <c r="GR101">
        <v>0</v>
      </c>
      <c r="GS101">
        <v>0</v>
      </c>
      <c r="GT101">
        <v>0</v>
      </c>
      <c r="GU101" t="s">
        <v>6</v>
      </c>
      <c r="GV101">
        <f t="shared" si="147"/>
        <v>0</v>
      </c>
      <c r="GW101">
        <v>1</v>
      </c>
      <c r="GX101">
        <f t="shared" si="148"/>
        <v>0</v>
      </c>
      <c r="HA101">
        <v>0</v>
      </c>
      <c r="HB101">
        <v>0</v>
      </c>
      <c r="HC101">
        <f t="shared" si="149"/>
        <v>0</v>
      </c>
      <c r="IK101">
        <v>0</v>
      </c>
    </row>
    <row r="102" spans="1:245" x14ac:dyDescent="0.2">
      <c r="A102">
        <v>17</v>
      </c>
      <c r="B102">
        <v>1</v>
      </c>
      <c r="C102">
        <f>ROW(SmtRes!A199)</f>
        <v>199</v>
      </c>
      <c r="D102">
        <f>ROW(EtalonRes!A193)</f>
        <v>193</v>
      </c>
      <c r="E102" t="s">
        <v>331</v>
      </c>
      <c r="F102" t="s">
        <v>332</v>
      </c>
      <c r="G102" t="s">
        <v>333</v>
      </c>
      <c r="H102" t="s">
        <v>55</v>
      </c>
      <c r="I102">
        <f>ROUND(11/100,9)</f>
        <v>0.11</v>
      </c>
      <c r="J102">
        <v>0</v>
      </c>
      <c r="O102">
        <f t="shared" si="116"/>
        <v>4731.97</v>
      </c>
      <c r="P102">
        <f t="shared" si="117"/>
        <v>1344.91</v>
      </c>
      <c r="Q102">
        <f t="shared" si="118"/>
        <v>6.3</v>
      </c>
      <c r="R102">
        <f t="shared" si="119"/>
        <v>1.1100000000000001</v>
      </c>
      <c r="S102">
        <f t="shared" si="120"/>
        <v>3380.76</v>
      </c>
      <c r="T102">
        <f t="shared" si="121"/>
        <v>0</v>
      </c>
      <c r="U102">
        <f t="shared" si="122"/>
        <v>55.55</v>
      </c>
      <c r="V102">
        <f t="shared" si="123"/>
        <v>1.43E-2</v>
      </c>
      <c r="W102">
        <f t="shared" si="124"/>
        <v>0</v>
      </c>
      <c r="X102">
        <f t="shared" si="125"/>
        <v>2773.13</v>
      </c>
      <c r="Y102">
        <f t="shared" si="126"/>
        <v>2096.7600000000002</v>
      </c>
      <c r="AA102">
        <v>16812721</v>
      </c>
      <c r="AB102">
        <f t="shared" si="127"/>
        <v>6411.01</v>
      </c>
      <c r="AC102">
        <f t="shared" si="112"/>
        <v>1822.12</v>
      </c>
      <c r="AD102">
        <f>ROUND((((ET102)-(EU102))+AE102),2)</f>
        <v>8.5399999999999991</v>
      </c>
      <c r="AE102">
        <f t="shared" ref="AE102:AF104" si="150">ROUND((EU102),2)</f>
        <v>1.51</v>
      </c>
      <c r="AF102">
        <f t="shared" si="150"/>
        <v>4580.3500000000004</v>
      </c>
      <c r="AG102">
        <f t="shared" si="128"/>
        <v>0</v>
      </c>
      <c r="AH102">
        <f t="shared" ref="AH102:AI104" si="151">(EW102)</f>
        <v>505</v>
      </c>
      <c r="AI102">
        <f t="shared" si="151"/>
        <v>0.13</v>
      </c>
      <c r="AJ102">
        <f t="shared" si="129"/>
        <v>0</v>
      </c>
      <c r="AK102">
        <v>6411.01</v>
      </c>
      <c r="AL102">
        <v>1822.12</v>
      </c>
      <c r="AM102">
        <v>8.5399999999999991</v>
      </c>
      <c r="AN102">
        <v>1.51</v>
      </c>
      <c r="AO102">
        <v>4580.3500000000004</v>
      </c>
      <c r="AP102">
        <v>0</v>
      </c>
      <c r="AQ102">
        <v>505</v>
      </c>
      <c r="AR102">
        <v>0.13</v>
      </c>
      <c r="AS102">
        <v>0</v>
      </c>
      <c r="AT102">
        <v>82</v>
      </c>
      <c r="AU102">
        <v>62</v>
      </c>
      <c r="AV102">
        <v>1</v>
      </c>
      <c r="AW102">
        <v>1</v>
      </c>
      <c r="AZ102">
        <v>6.71</v>
      </c>
      <c r="BA102">
        <v>6.71</v>
      </c>
      <c r="BB102">
        <v>6.71</v>
      </c>
      <c r="BC102">
        <v>6.71</v>
      </c>
      <c r="BD102" t="s">
        <v>6</v>
      </c>
      <c r="BE102" t="s">
        <v>6</v>
      </c>
      <c r="BF102" t="s">
        <v>6</v>
      </c>
      <c r="BG102" t="s">
        <v>6</v>
      </c>
      <c r="BH102">
        <v>0</v>
      </c>
      <c r="BI102">
        <v>1</v>
      </c>
      <c r="BJ102" t="s">
        <v>334</v>
      </c>
      <c r="BM102">
        <v>56001</v>
      </c>
      <c r="BN102">
        <v>0</v>
      </c>
      <c r="BO102" t="s">
        <v>6</v>
      </c>
      <c r="BP102">
        <v>0</v>
      </c>
      <c r="BQ102">
        <v>6</v>
      </c>
      <c r="BR102">
        <v>0</v>
      </c>
      <c r="BS102">
        <v>6.71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6</v>
      </c>
      <c r="BZ102">
        <v>82</v>
      </c>
      <c r="CA102">
        <v>62</v>
      </c>
      <c r="CE102">
        <v>0</v>
      </c>
      <c r="CF102">
        <v>0</v>
      </c>
      <c r="CG102">
        <v>0</v>
      </c>
      <c r="CM102">
        <v>0</v>
      </c>
      <c r="CN102" t="s">
        <v>6</v>
      </c>
      <c r="CO102">
        <v>0</v>
      </c>
      <c r="CP102">
        <f t="shared" si="130"/>
        <v>4731.97</v>
      </c>
      <c r="CQ102">
        <f t="shared" si="131"/>
        <v>12226.4252</v>
      </c>
      <c r="CR102">
        <f t="shared" si="132"/>
        <v>57.303399999999996</v>
      </c>
      <c r="CS102">
        <f t="shared" si="133"/>
        <v>10.132099999999999</v>
      </c>
      <c r="CT102">
        <f t="shared" si="134"/>
        <v>30734.148500000003</v>
      </c>
      <c r="CU102">
        <f t="shared" si="135"/>
        <v>0</v>
      </c>
      <c r="CV102">
        <f t="shared" si="136"/>
        <v>505</v>
      </c>
      <c r="CW102">
        <f t="shared" si="137"/>
        <v>0.13</v>
      </c>
      <c r="CX102">
        <f t="shared" si="138"/>
        <v>0</v>
      </c>
      <c r="CY102">
        <f t="shared" si="139"/>
        <v>2773.1334000000002</v>
      </c>
      <c r="CZ102">
        <f t="shared" si="140"/>
        <v>2096.7594000000004</v>
      </c>
      <c r="DC102" t="s">
        <v>6</v>
      </c>
      <c r="DD102" t="s">
        <v>6</v>
      </c>
      <c r="DE102" t="s">
        <v>6</v>
      </c>
      <c r="DF102" t="s">
        <v>6</v>
      </c>
      <c r="DG102" t="s">
        <v>6</v>
      </c>
      <c r="DH102" t="s">
        <v>6</v>
      </c>
      <c r="DI102" t="s">
        <v>6</v>
      </c>
      <c r="DJ102" t="s">
        <v>6</v>
      </c>
      <c r="DK102" t="s">
        <v>6</v>
      </c>
      <c r="DL102" t="s">
        <v>6</v>
      </c>
      <c r="DM102" t="s">
        <v>6</v>
      </c>
      <c r="DN102">
        <v>0</v>
      </c>
      <c r="DO102">
        <v>0</v>
      </c>
      <c r="DP102">
        <v>1</v>
      </c>
      <c r="DQ102">
        <v>1</v>
      </c>
      <c r="DU102">
        <v>1013</v>
      </c>
      <c r="DV102" t="s">
        <v>55</v>
      </c>
      <c r="DW102" t="s">
        <v>55</v>
      </c>
      <c r="DX102">
        <v>1</v>
      </c>
      <c r="EE102">
        <v>16510565</v>
      </c>
      <c r="EF102">
        <v>6</v>
      </c>
      <c r="EG102" t="s">
        <v>41</v>
      </c>
      <c r="EH102">
        <v>0</v>
      </c>
      <c r="EI102" t="s">
        <v>6</v>
      </c>
      <c r="EJ102">
        <v>1</v>
      </c>
      <c r="EK102">
        <v>56001</v>
      </c>
      <c r="EL102" t="s">
        <v>335</v>
      </c>
      <c r="EM102" t="s">
        <v>336</v>
      </c>
      <c r="EO102" t="s">
        <v>6</v>
      </c>
      <c r="EQ102">
        <v>131072</v>
      </c>
      <c r="ER102">
        <v>6411.01</v>
      </c>
      <c r="ES102">
        <v>1822.12</v>
      </c>
      <c r="ET102">
        <v>8.5399999999999991</v>
      </c>
      <c r="EU102">
        <v>1.51</v>
      </c>
      <c r="EV102">
        <v>4580.3500000000004</v>
      </c>
      <c r="EW102">
        <v>505</v>
      </c>
      <c r="EX102">
        <v>0.13</v>
      </c>
      <c r="EY102">
        <v>0</v>
      </c>
      <c r="FQ102">
        <v>0</v>
      </c>
      <c r="FR102">
        <f t="shared" si="141"/>
        <v>0</v>
      </c>
      <c r="FS102">
        <v>0</v>
      </c>
      <c r="FX102">
        <v>82</v>
      </c>
      <c r="FY102">
        <v>62</v>
      </c>
      <c r="GA102" t="s">
        <v>6</v>
      </c>
      <c r="GD102">
        <v>0</v>
      </c>
      <c r="GF102">
        <v>-473116159</v>
      </c>
      <c r="GG102">
        <v>1</v>
      </c>
      <c r="GH102">
        <v>1</v>
      </c>
      <c r="GI102">
        <v>4</v>
      </c>
      <c r="GJ102">
        <v>0</v>
      </c>
      <c r="GK102">
        <f>ROUND(R102*(R12)/100,2)</f>
        <v>0</v>
      </c>
      <c r="GL102">
        <f t="shared" si="142"/>
        <v>0</v>
      </c>
      <c r="GM102">
        <f t="shared" si="143"/>
        <v>9601.86</v>
      </c>
      <c r="GN102">
        <f t="shared" si="144"/>
        <v>9601.86</v>
      </c>
      <c r="GO102">
        <f t="shared" si="145"/>
        <v>0</v>
      </c>
      <c r="GP102">
        <f t="shared" si="146"/>
        <v>0</v>
      </c>
      <c r="GR102">
        <v>0</v>
      </c>
      <c r="GS102">
        <v>3</v>
      </c>
      <c r="GT102">
        <v>0</v>
      </c>
      <c r="GU102" t="s">
        <v>6</v>
      </c>
      <c r="GV102">
        <f t="shared" si="147"/>
        <v>0</v>
      </c>
      <c r="GW102">
        <v>1</v>
      </c>
      <c r="GX102">
        <f t="shared" si="148"/>
        <v>0</v>
      </c>
      <c r="HA102">
        <v>0</v>
      </c>
      <c r="HB102">
        <v>0</v>
      </c>
      <c r="HC102">
        <f t="shared" si="149"/>
        <v>0</v>
      </c>
      <c r="IK102">
        <v>0</v>
      </c>
    </row>
    <row r="103" spans="1:245" x14ac:dyDescent="0.2">
      <c r="A103">
        <v>18</v>
      </c>
      <c r="B103">
        <v>1</v>
      </c>
      <c r="C103">
        <v>192</v>
      </c>
      <c r="E103" t="s">
        <v>337</v>
      </c>
      <c r="F103" t="s">
        <v>338</v>
      </c>
      <c r="G103" t="s">
        <v>339</v>
      </c>
      <c r="H103" t="s">
        <v>145</v>
      </c>
      <c r="I103">
        <f>I102*J103</f>
        <v>6.4899999999999999E-2</v>
      </c>
      <c r="J103">
        <v>0.59</v>
      </c>
      <c r="O103">
        <f t="shared" si="116"/>
        <v>0</v>
      </c>
      <c r="P103">
        <f t="shared" si="117"/>
        <v>0</v>
      </c>
      <c r="Q103">
        <f t="shared" si="118"/>
        <v>0</v>
      </c>
      <c r="R103">
        <f t="shared" si="119"/>
        <v>0</v>
      </c>
      <c r="S103">
        <f t="shared" si="120"/>
        <v>0</v>
      </c>
      <c r="T103">
        <f t="shared" si="121"/>
        <v>0</v>
      </c>
      <c r="U103">
        <f t="shared" si="122"/>
        <v>0</v>
      </c>
      <c r="V103">
        <f t="shared" si="123"/>
        <v>0</v>
      </c>
      <c r="W103">
        <f t="shared" si="124"/>
        <v>0</v>
      </c>
      <c r="X103">
        <f t="shared" si="125"/>
        <v>0</v>
      </c>
      <c r="Y103">
        <f t="shared" si="126"/>
        <v>0</v>
      </c>
      <c r="AA103">
        <v>16812721</v>
      </c>
      <c r="AB103">
        <f t="shared" si="127"/>
        <v>0</v>
      </c>
      <c r="AC103">
        <f t="shared" si="112"/>
        <v>0</v>
      </c>
      <c r="AD103">
        <f>ROUND((((ET103)-(EU103))+AE103),2)</f>
        <v>0</v>
      </c>
      <c r="AE103">
        <f t="shared" si="150"/>
        <v>0</v>
      </c>
      <c r="AF103">
        <f t="shared" si="150"/>
        <v>0</v>
      </c>
      <c r="AG103">
        <f t="shared" si="128"/>
        <v>0</v>
      </c>
      <c r="AH103">
        <f t="shared" si="151"/>
        <v>0</v>
      </c>
      <c r="AI103">
        <f t="shared" si="151"/>
        <v>0</v>
      </c>
      <c r="AJ103">
        <f t="shared" si="129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82</v>
      </c>
      <c r="AU103">
        <v>62</v>
      </c>
      <c r="AV103">
        <v>1</v>
      </c>
      <c r="AW103">
        <v>1</v>
      </c>
      <c r="AZ103">
        <v>6.71</v>
      </c>
      <c r="BA103">
        <v>1</v>
      </c>
      <c r="BB103">
        <v>1</v>
      </c>
      <c r="BC103">
        <v>6.71</v>
      </c>
      <c r="BD103" t="s">
        <v>6</v>
      </c>
      <c r="BE103" t="s">
        <v>6</v>
      </c>
      <c r="BF103" t="s">
        <v>6</v>
      </c>
      <c r="BG103" t="s">
        <v>6</v>
      </c>
      <c r="BH103">
        <v>3</v>
      </c>
      <c r="BI103">
        <v>1</v>
      </c>
      <c r="BJ103" t="s">
        <v>6</v>
      </c>
      <c r="BM103">
        <v>56001</v>
      </c>
      <c r="BN103">
        <v>0</v>
      </c>
      <c r="BO103" t="s">
        <v>6</v>
      </c>
      <c r="BP103">
        <v>0</v>
      </c>
      <c r="BQ103">
        <v>6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82</v>
      </c>
      <c r="CA103">
        <v>62</v>
      </c>
      <c r="CE103">
        <v>0</v>
      </c>
      <c r="CF103">
        <v>0</v>
      </c>
      <c r="CG103">
        <v>0</v>
      </c>
      <c r="CM103">
        <v>0</v>
      </c>
      <c r="CN103" t="s">
        <v>6</v>
      </c>
      <c r="CO103">
        <v>0</v>
      </c>
      <c r="CP103">
        <f t="shared" si="130"/>
        <v>0</v>
      </c>
      <c r="CQ103">
        <f t="shared" si="131"/>
        <v>0</v>
      </c>
      <c r="CR103">
        <f t="shared" si="132"/>
        <v>0</v>
      </c>
      <c r="CS103">
        <f t="shared" si="133"/>
        <v>0</v>
      </c>
      <c r="CT103">
        <f t="shared" si="134"/>
        <v>0</v>
      </c>
      <c r="CU103">
        <f t="shared" si="135"/>
        <v>0</v>
      </c>
      <c r="CV103">
        <f t="shared" si="136"/>
        <v>0</v>
      </c>
      <c r="CW103">
        <f t="shared" si="137"/>
        <v>0</v>
      </c>
      <c r="CX103">
        <f t="shared" si="138"/>
        <v>0</v>
      </c>
      <c r="CY103">
        <f t="shared" si="139"/>
        <v>0</v>
      </c>
      <c r="CZ103">
        <f t="shared" si="140"/>
        <v>0</v>
      </c>
      <c r="DC103" t="s">
        <v>6</v>
      </c>
      <c r="DD103" t="s">
        <v>6</v>
      </c>
      <c r="DE103" t="s">
        <v>6</v>
      </c>
      <c r="DF103" t="s">
        <v>6</v>
      </c>
      <c r="DG103" t="s">
        <v>6</v>
      </c>
      <c r="DH103" t="s">
        <v>6</v>
      </c>
      <c r="DI103" t="s">
        <v>6</v>
      </c>
      <c r="DJ103" t="s">
        <v>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1009</v>
      </c>
      <c r="DV103" t="s">
        <v>145</v>
      </c>
      <c r="DW103" t="s">
        <v>145</v>
      </c>
      <c r="DX103">
        <v>1000</v>
      </c>
      <c r="EE103">
        <v>16510565</v>
      </c>
      <c r="EF103">
        <v>6</v>
      </c>
      <c r="EG103" t="s">
        <v>41</v>
      </c>
      <c r="EH103">
        <v>0</v>
      </c>
      <c r="EI103" t="s">
        <v>6</v>
      </c>
      <c r="EJ103">
        <v>1</v>
      </c>
      <c r="EK103">
        <v>56001</v>
      </c>
      <c r="EL103" t="s">
        <v>335</v>
      </c>
      <c r="EM103" t="s">
        <v>336</v>
      </c>
      <c r="EO103" t="s">
        <v>6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41"/>
        <v>0</v>
      </c>
      <c r="FS103">
        <v>0</v>
      </c>
      <c r="FX103">
        <v>82</v>
      </c>
      <c r="FY103">
        <v>62</v>
      </c>
      <c r="GA103" t="s">
        <v>6</v>
      </c>
      <c r="GD103">
        <v>0</v>
      </c>
      <c r="GF103">
        <v>-179832266</v>
      </c>
      <c r="GG103">
        <v>1</v>
      </c>
      <c r="GH103">
        <v>1</v>
      </c>
      <c r="GI103">
        <v>4</v>
      </c>
      <c r="GJ103">
        <v>0</v>
      </c>
      <c r="GK103">
        <f>ROUND(R103*(R12)/100,2)</f>
        <v>0</v>
      </c>
      <c r="GL103">
        <f t="shared" si="142"/>
        <v>0</v>
      </c>
      <c r="GM103">
        <f t="shared" si="143"/>
        <v>0</v>
      </c>
      <c r="GN103">
        <f t="shared" si="144"/>
        <v>0</v>
      </c>
      <c r="GO103">
        <f t="shared" si="145"/>
        <v>0</v>
      </c>
      <c r="GP103">
        <f t="shared" si="146"/>
        <v>0</v>
      </c>
      <c r="GR103">
        <v>0</v>
      </c>
      <c r="GS103">
        <v>3</v>
      </c>
      <c r="GT103">
        <v>0</v>
      </c>
      <c r="GU103" t="s">
        <v>6</v>
      </c>
      <c r="GV103">
        <f t="shared" si="147"/>
        <v>0</v>
      </c>
      <c r="GW103">
        <v>1</v>
      </c>
      <c r="GX103">
        <f t="shared" si="148"/>
        <v>0</v>
      </c>
      <c r="HA103">
        <v>0</v>
      </c>
      <c r="HB103">
        <v>0</v>
      </c>
      <c r="HC103">
        <f t="shared" si="149"/>
        <v>0</v>
      </c>
      <c r="IK103">
        <v>0</v>
      </c>
    </row>
    <row r="104" spans="1:245" x14ac:dyDescent="0.2">
      <c r="A104">
        <v>17</v>
      </c>
      <c r="B104">
        <v>1</v>
      </c>
      <c r="C104">
        <f>ROW(SmtRes!A201)</f>
        <v>201</v>
      </c>
      <c r="D104">
        <f>ROW(EtalonRes!A195)</f>
        <v>195</v>
      </c>
      <c r="E104" t="s">
        <v>340</v>
      </c>
      <c r="F104" t="s">
        <v>341</v>
      </c>
      <c r="G104" t="s">
        <v>342</v>
      </c>
      <c r="H104" t="s">
        <v>145</v>
      </c>
      <c r="I104">
        <v>12.5</v>
      </c>
      <c r="J104">
        <v>0</v>
      </c>
      <c r="O104">
        <f t="shared" si="116"/>
        <v>1997.06</v>
      </c>
      <c r="P104">
        <f t="shared" si="117"/>
        <v>1375.55</v>
      </c>
      <c r="Q104">
        <f t="shared" si="118"/>
        <v>0</v>
      </c>
      <c r="R104">
        <f t="shared" si="119"/>
        <v>0</v>
      </c>
      <c r="S104">
        <f t="shared" si="120"/>
        <v>621.51</v>
      </c>
      <c r="T104">
        <f t="shared" si="121"/>
        <v>0</v>
      </c>
      <c r="U104">
        <f t="shared" si="122"/>
        <v>12.875</v>
      </c>
      <c r="V104">
        <f t="shared" si="123"/>
        <v>0</v>
      </c>
      <c r="W104">
        <f t="shared" si="124"/>
        <v>0</v>
      </c>
      <c r="X104">
        <f t="shared" si="125"/>
        <v>484.78</v>
      </c>
      <c r="Y104">
        <f t="shared" si="126"/>
        <v>310.76</v>
      </c>
      <c r="AA104">
        <v>16812721</v>
      </c>
      <c r="AB104">
        <f t="shared" si="127"/>
        <v>23.81</v>
      </c>
      <c r="AC104">
        <f t="shared" si="112"/>
        <v>16.399999999999999</v>
      </c>
      <c r="AD104">
        <f>ROUND((((ET104)-(EU104))+AE104),2)</f>
        <v>0</v>
      </c>
      <c r="AE104">
        <f t="shared" si="150"/>
        <v>0</v>
      </c>
      <c r="AF104">
        <f t="shared" si="150"/>
        <v>7.41</v>
      </c>
      <c r="AG104">
        <f t="shared" si="128"/>
        <v>0</v>
      </c>
      <c r="AH104">
        <f t="shared" si="151"/>
        <v>1.03</v>
      </c>
      <c r="AI104">
        <f t="shared" si="151"/>
        <v>0</v>
      </c>
      <c r="AJ104">
        <f t="shared" si="129"/>
        <v>0</v>
      </c>
      <c r="AK104">
        <v>23.81</v>
      </c>
      <c r="AL104">
        <v>16.399999999999999</v>
      </c>
      <c r="AM104">
        <v>0</v>
      </c>
      <c r="AN104">
        <v>0</v>
      </c>
      <c r="AO104">
        <v>7.41</v>
      </c>
      <c r="AP104">
        <v>0</v>
      </c>
      <c r="AQ104">
        <v>1.03</v>
      </c>
      <c r="AR104">
        <v>0</v>
      </c>
      <c r="AS104">
        <v>0</v>
      </c>
      <c r="AT104">
        <v>78</v>
      </c>
      <c r="AU104">
        <v>50</v>
      </c>
      <c r="AV104">
        <v>1</v>
      </c>
      <c r="AW104">
        <v>1</v>
      </c>
      <c r="AZ104">
        <v>6.71</v>
      </c>
      <c r="BA104">
        <v>6.71</v>
      </c>
      <c r="BB104">
        <v>6.71</v>
      </c>
      <c r="BC104">
        <v>6.71</v>
      </c>
      <c r="BD104" t="s">
        <v>6</v>
      </c>
      <c r="BE104" t="s">
        <v>6</v>
      </c>
      <c r="BF104" t="s">
        <v>6</v>
      </c>
      <c r="BG104" t="s">
        <v>6</v>
      </c>
      <c r="BH104">
        <v>0</v>
      </c>
      <c r="BI104">
        <v>1</v>
      </c>
      <c r="BJ104" t="s">
        <v>343</v>
      </c>
      <c r="BM104">
        <v>69001</v>
      </c>
      <c r="BN104">
        <v>0</v>
      </c>
      <c r="BO104" t="s">
        <v>6</v>
      </c>
      <c r="BP104">
        <v>0</v>
      </c>
      <c r="BQ104">
        <v>6</v>
      </c>
      <c r="BR104">
        <v>0</v>
      </c>
      <c r="BS104">
        <v>6.71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6</v>
      </c>
      <c r="BZ104">
        <v>78</v>
      </c>
      <c r="CA104">
        <v>50</v>
      </c>
      <c r="CE104">
        <v>0</v>
      </c>
      <c r="CF104">
        <v>0</v>
      </c>
      <c r="CG104">
        <v>0</v>
      </c>
      <c r="CM104">
        <v>0</v>
      </c>
      <c r="CN104" t="s">
        <v>6</v>
      </c>
      <c r="CO104">
        <v>0</v>
      </c>
      <c r="CP104">
        <f t="shared" si="130"/>
        <v>1997.06</v>
      </c>
      <c r="CQ104">
        <f t="shared" si="131"/>
        <v>110.044</v>
      </c>
      <c r="CR104">
        <f t="shared" si="132"/>
        <v>0</v>
      </c>
      <c r="CS104">
        <f t="shared" si="133"/>
        <v>0</v>
      </c>
      <c r="CT104">
        <f t="shared" si="134"/>
        <v>49.7211</v>
      </c>
      <c r="CU104">
        <f t="shared" si="135"/>
        <v>0</v>
      </c>
      <c r="CV104">
        <f t="shared" si="136"/>
        <v>1.03</v>
      </c>
      <c r="CW104">
        <f t="shared" si="137"/>
        <v>0</v>
      </c>
      <c r="CX104">
        <f t="shared" si="138"/>
        <v>0</v>
      </c>
      <c r="CY104">
        <f t="shared" si="139"/>
        <v>484.77780000000001</v>
      </c>
      <c r="CZ104">
        <f t="shared" si="140"/>
        <v>310.755</v>
      </c>
      <c r="DC104" t="s">
        <v>6</v>
      </c>
      <c r="DD104" t="s">
        <v>6</v>
      </c>
      <c r="DE104" t="s">
        <v>6</v>
      </c>
      <c r="DF104" t="s">
        <v>6</v>
      </c>
      <c r="DG104" t="s">
        <v>6</v>
      </c>
      <c r="DH104" t="s">
        <v>6</v>
      </c>
      <c r="DI104" t="s">
        <v>6</v>
      </c>
      <c r="DJ104" t="s">
        <v>6</v>
      </c>
      <c r="DK104" t="s">
        <v>6</v>
      </c>
      <c r="DL104" t="s">
        <v>6</v>
      </c>
      <c r="DM104" t="s">
        <v>6</v>
      </c>
      <c r="DN104">
        <v>0</v>
      </c>
      <c r="DO104">
        <v>0</v>
      </c>
      <c r="DP104">
        <v>1</v>
      </c>
      <c r="DQ104">
        <v>1</v>
      </c>
      <c r="DU104">
        <v>1009</v>
      </c>
      <c r="DV104" t="s">
        <v>145</v>
      </c>
      <c r="DW104" t="s">
        <v>145</v>
      </c>
      <c r="DX104">
        <v>1000</v>
      </c>
      <c r="EE104">
        <v>16510614</v>
      </c>
      <c r="EF104">
        <v>6</v>
      </c>
      <c r="EG104" t="s">
        <v>41</v>
      </c>
      <c r="EH104">
        <v>0</v>
      </c>
      <c r="EI104" t="s">
        <v>6</v>
      </c>
      <c r="EJ104">
        <v>1</v>
      </c>
      <c r="EK104">
        <v>69001</v>
      </c>
      <c r="EL104" t="s">
        <v>344</v>
      </c>
      <c r="EM104" t="s">
        <v>345</v>
      </c>
      <c r="EO104" t="s">
        <v>6</v>
      </c>
      <c r="EQ104">
        <v>131072</v>
      </c>
      <c r="ER104">
        <v>23.81</v>
      </c>
      <c r="ES104">
        <v>16.399999999999999</v>
      </c>
      <c r="ET104">
        <v>0</v>
      </c>
      <c r="EU104">
        <v>0</v>
      </c>
      <c r="EV104">
        <v>7.41</v>
      </c>
      <c r="EW104">
        <v>1.03</v>
      </c>
      <c r="EX104">
        <v>0</v>
      </c>
      <c r="EY104">
        <v>0</v>
      </c>
      <c r="FQ104">
        <v>0</v>
      </c>
      <c r="FR104">
        <f t="shared" si="141"/>
        <v>0</v>
      </c>
      <c r="FS104">
        <v>0</v>
      </c>
      <c r="FX104">
        <v>78</v>
      </c>
      <c r="FY104">
        <v>50</v>
      </c>
      <c r="GA104" t="s">
        <v>6</v>
      </c>
      <c r="GD104">
        <v>0</v>
      </c>
      <c r="GF104">
        <v>-1073482640</v>
      </c>
      <c r="GG104">
        <v>1</v>
      </c>
      <c r="GH104">
        <v>1</v>
      </c>
      <c r="GI104">
        <v>4</v>
      </c>
      <c r="GJ104">
        <v>0</v>
      </c>
      <c r="GK104">
        <f>ROUND(R104*(R12)/100,2)</f>
        <v>0</v>
      </c>
      <c r="GL104">
        <f t="shared" si="142"/>
        <v>0</v>
      </c>
      <c r="GM104">
        <f t="shared" si="143"/>
        <v>2792.6</v>
      </c>
      <c r="GN104">
        <f t="shared" si="144"/>
        <v>2792.6</v>
      </c>
      <c r="GO104">
        <f t="shared" si="145"/>
        <v>0</v>
      </c>
      <c r="GP104">
        <f t="shared" si="146"/>
        <v>0</v>
      </c>
      <c r="GR104">
        <v>0</v>
      </c>
      <c r="GS104">
        <v>3</v>
      </c>
      <c r="GT104">
        <v>0</v>
      </c>
      <c r="GU104" t="s">
        <v>6</v>
      </c>
      <c r="GV104">
        <f t="shared" si="147"/>
        <v>0</v>
      </c>
      <c r="GW104">
        <v>1</v>
      </c>
      <c r="GX104">
        <f t="shared" si="148"/>
        <v>0</v>
      </c>
      <c r="HA104">
        <v>0</v>
      </c>
      <c r="HB104">
        <v>0</v>
      </c>
      <c r="HC104">
        <f t="shared" si="149"/>
        <v>0</v>
      </c>
      <c r="IK104">
        <v>0</v>
      </c>
    </row>
    <row r="105" spans="1:245" x14ac:dyDescent="0.2">
      <c r="A105">
        <v>17</v>
      </c>
      <c r="B105">
        <v>1</v>
      </c>
      <c r="E105" t="s">
        <v>346</v>
      </c>
      <c r="F105" t="s">
        <v>347</v>
      </c>
      <c r="G105" t="s">
        <v>348</v>
      </c>
      <c r="H105" t="s">
        <v>349</v>
      </c>
      <c r="I105">
        <v>12.5</v>
      </c>
      <c r="J105">
        <v>0</v>
      </c>
      <c r="O105">
        <f>0</f>
        <v>0</v>
      </c>
      <c r="P105">
        <f>0</f>
        <v>0</v>
      </c>
      <c r="Q105">
        <f>0</f>
        <v>0</v>
      </c>
      <c r="R105">
        <f>0</f>
        <v>0</v>
      </c>
      <c r="S105">
        <f>0</f>
        <v>0</v>
      </c>
      <c r="T105">
        <f>0</f>
        <v>0</v>
      </c>
      <c r="U105">
        <f>0</f>
        <v>0</v>
      </c>
      <c r="V105">
        <f>0</f>
        <v>0</v>
      </c>
      <c r="W105">
        <f>0</f>
        <v>0</v>
      </c>
      <c r="X105">
        <f>0</f>
        <v>0</v>
      </c>
      <c r="Y105">
        <f>0</f>
        <v>0</v>
      </c>
      <c r="AA105">
        <v>16812721</v>
      </c>
      <c r="AB105">
        <f>ROUND((AK105),2)</f>
        <v>42.98</v>
      </c>
      <c r="AC105">
        <f>0</f>
        <v>0</v>
      </c>
      <c r="AD105">
        <f>0</f>
        <v>0</v>
      </c>
      <c r="AE105">
        <f>0</f>
        <v>0</v>
      </c>
      <c r="AF105">
        <f>0</f>
        <v>0</v>
      </c>
      <c r="AG105">
        <f>0</f>
        <v>0</v>
      </c>
      <c r="AH105">
        <f>0</f>
        <v>0</v>
      </c>
      <c r="AI105">
        <f>0</f>
        <v>0</v>
      </c>
      <c r="AJ105">
        <f>0</f>
        <v>0</v>
      </c>
      <c r="AK105">
        <v>42.98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1</v>
      </c>
      <c r="AW105">
        <v>1</v>
      </c>
      <c r="AZ105">
        <v>6.71</v>
      </c>
      <c r="BA105">
        <v>1</v>
      </c>
      <c r="BB105">
        <v>1</v>
      </c>
      <c r="BC105">
        <v>1</v>
      </c>
      <c r="BD105" t="s">
        <v>6</v>
      </c>
      <c r="BE105" t="s">
        <v>6</v>
      </c>
      <c r="BF105" t="s">
        <v>6</v>
      </c>
      <c r="BG105" t="s">
        <v>6</v>
      </c>
      <c r="BH105">
        <v>0</v>
      </c>
      <c r="BI105">
        <v>1</v>
      </c>
      <c r="BJ105" t="s">
        <v>350</v>
      </c>
      <c r="BM105">
        <v>700004</v>
      </c>
      <c r="BN105">
        <v>0</v>
      </c>
      <c r="BO105" t="s">
        <v>6</v>
      </c>
      <c r="BP105">
        <v>0</v>
      </c>
      <c r="BQ105">
        <v>19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0</v>
      </c>
      <c r="CA105">
        <v>0</v>
      </c>
      <c r="CE105">
        <v>0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>AB105*AZ105</f>
        <v>288.39579999999995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1013</v>
      </c>
      <c r="DV105" t="s">
        <v>349</v>
      </c>
      <c r="DW105" t="s">
        <v>349</v>
      </c>
      <c r="DX105">
        <v>1</v>
      </c>
      <c r="EE105">
        <v>16510675</v>
      </c>
      <c r="EF105">
        <v>19</v>
      </c>
      <c r="EG105" t="s">
        <v>351</v>
      </c>
      <c r="EH105">
        <v>0</v>
      </c>
      <c r="EI105" t="s">
        <v>6</v>
      </c>
      <c r="EJ105">
        <v>1</v>
      </c>
      <c r="EK105">
        <v>700004</v>
      </c>
      <c r="EL105" t="s">
        <v>352</v>
      </c>
      <c r="EM105" t="s">
        <v>353</v>
      </c>
      <c r="EO105" t="s">
        <v>6</v>
      </c>
      <c r="EQ105">
        <v>131072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FQ105">
        <v>0</v>
      </c>
      <c r="FR105">
        <f t="shared" si="141"/>
        <v>0</v>
      </c>
      <c r="FS105">
        <v>0</v>
      </c>
      <c r="FX105">
        <v>0</v>
      </c>
      <c r="FY105">
        <v>0</v>
      </c>
      <c r="GA105" t="s">
        <v>6</v>
      </c>
      <c r="GD105">
        <v>0</v>
      </c>
      <c r="GF105">
        <v>811861299</v>
      </c>
      <c r="GG105">
        <v>1</v>
      </c>
      <c r="GH105">
        <v>1</v>
      </c>
      <c r="GI105">
        <v>4</v>
      </c>
      <c r="GJ105">
        <v>2</v>
      </c>
      <c r="GK105">
        <f>ROUND(R105*(R12)/100,2)</f>
        <v>0</v>
      </c>
      <c r="GL105">
        <f t="shared" si="142"/>
        <v>0</v>
      </c>
      <c r="GM105">
        <f>ROUND(CP105*I105,2)</f>
        <v>3604.95</v>
      </c>
      <c r="GN105">
        <f>IF(OR(BI105=0,BI105=1),ROUND(CP105*I105,2),0)</f>
        <v>3604.95</v>
      </c>
      <c r="GO105">
        <f>IF(BI105=2,ROUND(CP105*I105,2),0)</f>
        <v>0</v>
      </c>
      <c r="GP105">
        <f>IF(BI105=4,ROUND(CP105*I105,2)+GX105,0)</f>
        <v>0</v>
      </c>
      <c r="GR105">
        <v>0</v>
      </c>
      <c r="GS105">
        <v>3</v>
      </c>
      <c r="GT105">
        <v>0</v>
      </c>
      <c r="GU105" t="s">
        <v>6</v>
      </c>
      <c r="GV105">
        <f>0</f>
        <v>0</v>
      </c>
      <c r="GW105">
        <v>1</v>
      </c>
      <c r="GX105">
        <f>0</f>
        <v>0</v>
      </c>
      <c r="HA105">
        <v>0</v>
      </c>
      <c r="HB105">
        <v>0</v>
      </c>
      <c r="HC105">
        <v>0</v>
      </c>
      <c r="IK105">
        <v>0</v>
      </c>
    </row>
    <row r="106" spans="1:245" x14ac:dyDescent="0.2">
      <c r="A106">
        <v>17</v>
      </c>
      <c r="B106">
        <v>1</v>
      </c>
      <c r="E106" t="s">
        <v>354</v>
      </c>
      <c r="F106" t="s">
        <v>355</v>
      </c>
      <c r="G106" t="s">
        <v>356</v>
      </c>
      <c r="H106" t="s">
        <v>349</v>
      </c>
      <c r="I106">
        <v>12.5</v>
      </c>
      <c r="J106">
        <v>0</v>
      </c>
      <c r="O106">
        <f>0</f>
        <v>0</v>
      </c>
      <c r="P106">
        <f>0</f>
        <v>0</v>
      </c>
      <c r="Q106">
        <f>0</f>
        <v>0</v>
      </c>
      <c r="R106">
        <f>0</f>
        <v>0</v>
      </c>
      <c r="S106">
        <f>0</f>
        <v>0</v>
      </c>
      <c r="T106">
        <f>0</f>
        <v>0</v>
      </c>
      <c r="U106">
        <f>0</f>
        <v>0</v>
      </c>
      <c r="V106">
        <f>0</f>
        <v>0</v>
      </c>
      <c r="W106">
        <f>0</f>
        <v>0</v>
      </c>
      <c r="X106">
        <f>0</f>
        <v>0</v>
      </c>
      <c r="Y106">
        <f>0</f>
        <v>0</v>
      </c>
      <c r="AA106">
        <v>16812721</v>
      </c>
      <c r="AB106">
        <f>ROUND((AK106),2)</f>
        <v>19.54</v>
      </c>
      <c r="AC106">
        <f>0</f>
        <v>0</v>
      </c>
      <c r="AD106">
        <f>0</f>
        <v>0</v>
      </c>
      <c r="AE106">
        <f>0</f>
        <v>0</v>
      </c>
      <c r="AF106">
        <f>0</f>
        <v>0</v>
      </c>
      <c r="AG106">
        <f>0</f>
        <v>0</v>
      </c>
      <c r="AH106">
        <f>0</f>
        <v>0</v>
      </c>
      <c r="AI106">
        <f>0</f>
        <v>0</v>
      </c>
      <c r="AJ106">
        <f>0</f>
        <v>0</v>
      </c>
      <c r="AK106">
        <v>19.54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1</v>
      </c>
      <c r="AW106">
        <v>1</v>
      </c>
      <c r="AZ106">
        <v>6.71</v>
      </c>
      <c r="BA106">
        <v>1</v>
      </c>
      <c r="BB106">
        <v>1</v>
      </c>
      <c r="BC106">
        <v>1</v>
      </c>
      <c r="BD106" t="s">
        <v>6</v>
      </c>
      <c r="BE106" t="s">
        <v>6</v>
      </c>
      <c r="BF106" t="s">
        <v>6</v>
      </c>
      <c r="BG106" t="s">
        <v>6</v>
      </c>
      <c r="BH106">
        <v>0</v>
      </c>
      <c r="BI106">
        <v>1</v>
      </c>
      <c r="BJ106" t="s">
        <v>357</v>
      </c>
      <c r="BM106">
        <v>700005</v>
      </c>
      <c r="BN106">
        <v>0</v>
      </c>
      <c r="BO106" t="s">
        <v>6</v>
      </c>
      <c r="BP106">
        <v>0</v>
      </c>
      <c r="BQ106">
        <v>10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6</v>
      </c>
      <c r="BZ106">
        <v>0</v>
      </c>
      <c r="CA106">
        <v>0</v>
      </c>
      <c r="CE106">
        <v>0</v>
      </c>
      <c r="CF106">
        <v>0</v>
      </c>
      <c r="CG106">
        <v>0</v>
      </c>
      <c r="CM106">
        <v>0</v>
      </c>
      <c r="CN106" t="s">
        <v>6</v>
      </c>
      <c r="CO106">
        <v>0</v>
      </c>
      <c r="CP106">
        <f>AB106*AZ106</f>
        <v>131.11339999999998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C106" t="s">
        <v>6</v>
      </c>
      <c r="DD106" t="s">
        <v>6</v>
      </c>
      <c r="DE106" t="s">
        <v>6</v>
      </c>
      <c r="DF106" t="s">
        <v>6</v>
      </c>
      <c r="DG106" t="s">
        <v>6</v>
      </c>
      <c r="DH106" t="s">
        <v>6</v>
      </c>
      <c r="DI106" t="s">
        <v>6</v>
      </c>
      <c r="DJ106" t="s">
        <v>6</v>
      </c>
      <c r="DK106" t="s">
        <v>6</v>
      </c>
      <c r="DL106" t="s">
        <v>6</v>
      </c>
      <c r="DM106" t="s">
        <v>6</v>
      </c>
      <c r="DN106">
        <v>0</v>
      </c>
      <c r="DO106">
        <v>0</v>
      </c>
      <c r="DP106">
        <v>1</v>
      </c>
      <c r="DQ106">
        <v>1</v>
      </c>
      <c r="DU106">
        <v>1013</v>
      </c>
      <c r="DV106" t="s">
        <v>349</v>
      </c>
      <c r="DW106" t="s">
        <v>349</v>
      </c>
      <c r="DX106">
        <v>1</v>
      </c>
      <c r="EE106">
        <v>16510679</v>
      </c>
      <c r="EF106">
        <v>10</v>
      </c>
      <c r="EG106" t="s">
        <v>358</v>
      </c>
      <c r="EH106">
        <v>0</v>
      </c>
      <c r="EI106" t="s">
        <v>6</v>
      </c>
      <c r="EJ106">
        <v>1</v>
      </c>
      <c r="EK106">
        <v>700005</v>
      </c>
      <c r="EL106" t="s">
        <v>359</v>
      </c>
      <c r="EM106" t="s">
        <v>360</v>
      </c>
      <c r="EO106" t="s">
        <v>6</v>
      </c>
      <c r="EQ106">
        <v>131072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FQ106">
        <v>0</v>
      </c>
      <c r="FR106">
        <f t="shared" si="141"/>
        <v>0</v>
      </c>
      <c r="FS106">
        <v>0</v>
      </c>
      <c r="FX106">
        <v>0</v>
      </c>
      <c r="FY106">
        <v>0</v>
      </c>
      <c r="GA106" t="s">
        <v>6</v>
      </c>
      <c r="GD106">
        <v>0</v>
      </c>
      <c r="GF106">
        <v>-587392605</v>
      </c>
      <c r="GG106">
        <v>1</v>
      </c>
      <c r="GH106">
        <v>1</v>
      </c>
      <c r="GI106">
        <v>4</v>
      </c>
      <c r="GJ106">
        <v>2</v>
      </c>
      <c r="GK106">
        <f>ROUND(R106*(R12)/100,2)</f>
        <v>0</v>
      </c>
      <c r="GL106">
        <f t="shared" si="142"/>
        <v>0</v>
      </c>
      <c r="GM106">
        <f>ROUND(CP106*I106,2)</f>
        <v>1638.92</v>
      </c>
      <c r="GN106">
        <f>IF(OR(BI106=0,BI106=1),ROUND(CP106*I106,2),0)</f>
        <v>1638.92</v>
      </c>
      <c r="GO106">
        <f>IF(BI106=2,ROUND(CP106*I106,2),0)</f>
        <v>0</v>
      </c>
      <c r="GP106">
        <f>IF(BI106=4,ROUND(CP106*I106,2)+GX106,0)</f>
        <v>0</v>
      </c>
      <c r="GR106">
        <v>0</v>
      </c>
      <c r="GS106">
        <v>3</v>
      </c>
      <c r="GT106">
        <v>0</v>
      </c>
      <c r="GU106" t="s">
        <v>6</v>
      </c>
      <c r="GV106">
        <f>0</f>
        <v>0</v>
      </c>
      <c r="GW106">
        <v>1</v>
      </c>
      <c r="GX106">
        <f>0</f>
        <v>0</v>
      </c>
      <c r="HA106">
        <v>0</v>
      </c>
      <c r="HB106">
        <v>0</v>
      </c>
      <c r="HC106">
        <v>0</v>
      </c>
      <c r="IK106">
        <v>0</v>
      </c>
    </row>
    <row r="108" spans="1:245" x14ac:dyDescent="0.2">
      <c r="A108" s="2">
        <v>51</v>
      </c>
      <c r="B108" s="2">
        <f>B24</f>
        <v>1</v>
      </c>
      <c r="C108" s="2">
        <f>A24</f>
        <v>4</v>
      </c>
      <c r="D108" s="2">
        <f>ROW(A24)</f>
        <v>24</v>
      </c>
      <c r="E108" s="2"/>
      <c r="F108" s="2" t="str">
        <f>IF(F24&lt;&gt;"",F24,"")</f>
        <v>Новый раздел</v>
      </c>
      <c r="G108" s="2" t="str">
        <f>IF(G24&lt;&gt;"",G24,"")</f>
        <v>1 Общестроительные работы</v>
      </c>
      <c r="H108" s="2">
        <v>0</v>
      </c>
      <c r="I108" s="2"/>
      <c r="J108" s="2"/>
      <c r="K108" s="2"/>
      <c r="L108" s="2"/>
      <c r="M108" s="2"/>
      <c r="N108" s="2"/>
      <c r="O108" s="2">
        <f t="shared" ref="O108:T108" si="152">ROUND(AB108,2)</f>
        <v>995743.89</v>
      </c>
      <c r="P108" s="2">
        <f t="shared" si="152"/>
        <v>935402.41</v>
      </c>
      <c r="Q108" s="2">
        <f t="shared" si="152"/>
        <v>7073.06</v>
      </c>
      <c r="R108" s="2">
        <f t="shared" si="152"/>
        <v>1401.4</v>
      </c>
      <c r="S108" s="2">
        <f t="shared" si="152"/>
        <v>53268.42</v>
      </c>
      <c r="T108" s="2">
        <f t="shared" si="152"/>
        <v>0</v>
      </c>
      <c r="U108" s="2">
        <f>AH108</f>
        <v>888.2400303999998</v>
      </c>
      <c r="V108" s="2">
        <f>AI108</f>
        <v>17.226777374999994</v>
      </c>
      <c r="W108" s="2">
        <f>ROUND(AJ108,2)</f>
        <v>0</v>
      </c>
      <c r="X108" s="2">
        <f>ROUND(AK108,2)</f>
        <v>50913.96</v>
      </c>
      <c r="Y108" s="2">
        <f>ROUND(AL108,2)</f>
        <v>29411.87</v>
      </c>
      <c r="Z108" s="2"/>
      <c r="AA108" s="2"/>
      <c r="AB108" s="2">
        <f>ROUND(SUMIF(AA28:AA106,"=16812721",O28:O106),2)</f>
        <v>995743.89</v>
      </c>
      <c r="AC108" s="2">
        <f>ROUND(SUMIF(AA28:AA106,"=16812721",P28:P106),2)</f>
        <v>935402.41</v>
      </c>
      <c r="AD108" s="2">
        <f>ROUND(SUMIF(AA28:AA106,"=16812721",Q28:Q106),2)</f>
        <v>7073.06</v>
      </c>
      <c r="AE108" s="2">
        <f>ROUND(SUMIF(AA28:AA106,"=16812721",R28:R106),2)</f>
        <v>1401.4</v>
      </c>
      <c r="AF108" s="2">
        <f>ROUND(SUMIF(AA28:AA106,"=16812721",S28:S106),2)</f>
        <v>53268.42</v>
      </c>
      <c r="AG108" s="2">
        <f>ROUND(SUMIF(AA28:AA106,"=16812721",T28:T106),2)</f>
        <v>0</v>
      </c>
      <c r="AH108" s="2">
        <f>SUMIF(AA28:AA106,"=16812721",U28:U106)</f>
        <v>888.2400303999998</v>
      </c>
      <c r="AI108" s="2">
        <f>SUMIF(AA28:AA106,"=16812721",V28:V106)</f>
        <v>17.226777374999994</v>
      </c>
      <c r="AJ108" s="2">
        <f>ROUND(SUMIF(AA28:AA106,"=16812721",W28:W106),2)</f>
        <v>0</v>
      </c>
      <c r="AK108" s="2">
        <f>ROUND(SUMIF(AA28:AA106,"=16812721",X28:X106),2)</f>
        <v>50913.96</v>
      </c>
      <c r="AL108" s="2">
        <f>ROUND(SUMIF(AA28:AA106,"=16812721",Y28:Y106),2)</f>
        <v>29411.87</v>
      </c>
      <c r="AM108" s="2"/>
      <c r="AN108" s="2"/>
      <c r="AO108" s="2">
        <f t="shared" ref="AO108:BC108" si="153">ROUND(BX108,2)</f>
        <v>0</v>
      </c>
      <c r="AP108" s="2">
        <f t="shared" si="153"/>
        <v>0</v>
      </c>
      <c r="AQ108" s="2">
        <f t="shared" si="153"/>
        <v>0</v>
      </c>
      <c r="AR108" s="2">
        <f t="shared" si="153"/>
        <v>1081313.5900000001</v>
      </c>
      <c r="AS108" s="2">
        <f t="shared" si="153"/>
        <v>1081313.5900000001</v>
      </c>
      <c r="AT108" s="2">
        <f t="shared" si="153"/>
        <v>0</v>
      </c>
      <c r="AU108" s="2">
        <f t="shared" si="153"/>
        <v>0</v>
      </c>
      <c r="AV108" s="2">
        <f t="shared" si="153"/>
        <v>935402.41</v>
      </c>
      <c r="AW108" s="2">
        <f t="shared" si="153"/>
        <v>935402.41</v>
      </c>
      <c r="AX108" s="2">
        <f t="shared" si="153"/>
        <v>0</v>
      </c>
      <c r="AY108" s="2">
        <f t="shared" si="153"/>
        <v>935402.41</v>
      </c>
      <c r="AZ108" s="2">
        <f t="shared" si="153"/>
        <v>0</v>
      </c>
      <c r="BA108" s="2">
        <f t="shared" si="153"/>
        <v>0</v>
      </c>
      <c r="BB108" s="2">
        <f t="shared" si="153"/>
        <v>0</v>
      </c>
      <c r="BC108" s="2">
        <f t="shared" si="153"/>
        <v>0</v>
      </c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>
        <f>ROUND(SUMIF(AA28:AA106,"=16812721",FQ28:FQ106),2)</f>
        <v>0</v>
      </c>
      <c r="BY108" s="2">
        <f>ROUND(SUMIF(AA28:AA106,"=16812721",FR28:FR106),2)</f>
        <v>0</v>
      </c>
      <c r="BZ108" s="2">
        <f>ROUND(SUMIF(AA28:AA106,"=16812721",GL28:GL106),2)</f>
        <v>0</v>
      </c>
      <c r="CA108" s="2">
        <f>ROUND(SUMIF(AA28:AA106,"=16812721",GM28:GM106),2)</f>
        <v>1081313.5900000001</v>
      </c>
      <c r="CB108" s="2">
        <f>ROUND(SUMIF(AA28:AA106,"=16812721",GN28:GN106),2)</f>
        <v>1081313.5900000001</v>
      </c>
      <c r="CC108" s="2">
        <f>ROUND(SUMIF(AA28:AA106,"=16812721",GO28:GO106),2)</f>
        <v>0</v>
      </c>
      <c r="CD108" s="2">
        <f>ROUND(SUMIF(AA28:AA106,"=16812721",GP28:GP106),2)</f>
        <v>0</v>
      </c>
      <c r="CE108" s="2">
        <f>AC108-BX108</f>
        <v>935402.41</v>
      </c>
      <c r="CF108" s="2">
        <f>AC108-BY108</f>
        <v>935402.41</v>
      </c>
      <c r="CG108" s="2">
        <f>BX108-BZ108</f>
        <v>0</v>
      </c>
      <c r="CH108" s="2">
        <f>AC108-BX108-BY108+BZ108</f>
        <v>935402.41</v>
      </c>
      <c r="CI108" s="2">
        <f>BY108-BZ108</f>
        <v>0</v>
      </c>
      <c r="CJ108" s="2">
        <f>ROUND(SUMIF(AA28:AA106,"=16812721",GX28:GX106),2)</f>
        <v>0</v>
      </c>
      <c r="CK108" s="2">
        <f>ROUND(SUMIF(AA28:AA106,"=16812721",GY28:GY106),2)</f>
        <v>0</v>
      </c>
      <c r="CL108" s="2">
        <f>ROUND(SUMIF(AA28:AA106,"=16812721",GZ28:GZ106),2)</f>
        <v>0</v>
      </c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3"/>
      <c r="EF108" s="3"/>
      <c r="EG108" s="3"/>
      <c r="EH108" s="3"/>
      <c r="EI108" s="3"/>
      <c r="EJ108" s="3"/>
      <c r="EK108" s="3"/>
      <c r="EL108" s="3"/>
      <c r="EM108" s="3"/>
      <c r="EN108" s="3"/>
      <c r="EO108" s="3"/>
      <c r="EP108" s="3"/>
      <c r="EQ108" s="3"/>
      <c r="ER108" s="3"/>
      <c r="ES108" s="3"/>
      <c r="ET108" s="3"/>
      <c r="EU108" s="3"/>
      <c r="EV108" s="3"/>
      <c r="EW108" s="3"/>
      <c r="EX108" s="3"/>
      <c r="EY108" s="3"/>
      <c r="EZ108" s="3"/>
      <c r="FA108" s="3"/>
      <c r="FB108" s="3"/>
      <c r="FC108" s="3"/>
      <c r="FD108" s="3"/>
      <c r="FE108" s="3"/>
      <c r="FF108" s="3"/>
      <c r="FG108" s="3"/>
      <c r="FH108" s="3"/>
      <c r="FI108" s="3"/>
      <c r="FJ108" s="3"/>
      <c r="FK108" s="3"/>
      <c r="FL108" s="3"/>
      <c r="FM108" s="3"/>
      <c r="FN108" s="3"/>
      <c r="FO108" s="3"/>
      <c r="FP108" s="3"/>
      <c r="FQ108" s="3"/>
      <c r="FR108" s="3"/>
      <c r="FS108" s="3"/>
      <c r="FT108" s="3"/>
      <c r="FU108" s="3"/>
      <c r="FV108" s="3"/>
      <c r="FW108" s="3"/>
      <c r="FX108" s="3"/>
      <c r="FY108" s="3"/>
      <c r="FZ108" s="3"/>
      <c r="GA108" s="3"/>
      <c r="GB108" s="3"/>
      <c r="GC108" s="3"/>
      <c r="GD108" s="3"/>
      <c r="GE108" s="3"/>
      <c r="GF108" s="3"/>
      <c r="GG108" s="3"/>
      <c r="GH108" s="3"/>
      <c r="GI108" s="3"/>
      <c r="GJ108" s="3"/>
      <c r="GK108" s="3"/>
      <c r="GL108" s="3"/>
      <c r="GM108" s="3"/>
      <c r="GN108" s="3"/>
      <c r="GO108" s="3"/>
      <c r="GP108" s="3"/>
      <c r="GQ108" s="3"/>
      <c r="GR108" s="3"/>
      <c r="GS108" s="3"/>
      <c r="GT108" s="3"/>
      <c r="GU108" s="3"/>
      <c r="GV108" s="3"/>
      <c r="GW108" s="3"/>
      <c r="GX108" s="3">
        <v>0</v>
      </c>
    </row>
    <row r="110" spans="1:245" x14ac:dyDescent="0.2">
      <c r="A110" s="4">
        <v>50</v>
      </c>
      <c r="B110" s="4">
        <v>0</v>
      </c>
      <c r="C110" s="4">
        <v>0</v>
      </c>
      <c r="D110" s="4">
        <v>1</v>
      </c>
      <c r="E110" s="4">
        <v>201</v>
      </c>
      <c r="F110" s="4">
        <f>ROUND(Source!O108,O110)</f>
        <v>995743.89</v>
      </c>
      <c r="G110" s="4" t="s">
        <v>361</v>
      </c>
      <c r="H110" s="4" t="s">
        <v>362</v>
      </c>
      <c r="I110" s="4"/>
      <c r="J110" s="4"/>
      <c r="K110" s="4">
        <v>201</v>
      </c>
      <c r="L110" s="4">
        <v>1</v>
      </c>
      <c r="M110" s="4">
        <v>3</v>
      </c>
      <c r="N110" s="4" t="s">
        <v>6</v>
      </c>
      <c r="O110" s="4">
        <v>2</v>
      </c>
      <c r="P110" s="4"/>
      <c r="Q110" s="4"/>
      <c r="R110" s="4"/>
      <c r="S110" s="4"/>
      <c r="T110" s="4"/>
      <c r="U110" s="4"/>
      <c r="V110" s="4"/>
      <c r="W110" s="4"/>
    </row>
    <row r="111" spans="1:245" x14ac:dyDescent="0.2">
      <c r="A111" s="4">
        <v>50</v>
      </c>
      <c r="B111" s="4">
        <v>0</v>
      </c>
      <c r="C111" s="4">
        <v>0</v>
      </c>
      <c r="D111" s="4">
        <v>1</v>
      </c>
      <c r="E111" s="4">
        <v>202</v>
      </c>
      <c r="F111" s="4">
        <f>ROUND(Source!P108,O111)</f>
        <v>935402.41</v>
      </c>
      <c r="G111" s="4" t="s">
        <v>363</v>
      </c>
      <c r="H111" s="4" t="s">
        <v>364</v>
      </c>
      <c r="I111" s="4"/>
      <c r="J111" s="4"/>
      <c r="K111" s="4">
        <v>202</v>
      </c>
      <c r="L111" s="4">
        <v>2</v>
      </c>
      <c r="M111" s="4">
        <v>3</v>
      </c>
      <c r="N111" s="4" t="s">
        <v>6</v>
      </c>
      <c r="O111" s="4">
        <v>2</v>
      </c>
      <c r="P111" s="4"/>
      <c r="Q111" s="4"/>
      <c r="R111" s="4"/>
      <c r="S111" s="4"/>
      <c r="T111" s="4"/>
      <c r="U111" s="4"/>
      <c r="V111" s="4"/>
      <c r="W111" s="4"/>
    </row>
    <row r="112" spans="1:245" x14ac:dyDescent="0.2">
      <c r="A112" s="4">
        <v>50</v>
      </c>
      <c r="B112" s="4">
        <v>0</v>
      </c>
      <c r="C112" s="4">
        <v>0</v>
      </c>
      <c r="D112" s="4">
        <v>1</v>
      </c>
      <c r="E112" s="4">
        <v>222</v>
      </c>
      <c r="F112" s="4">
        <f>ROUND(Source!AO108,O112)</f>
        <v>0</v>
      </c>
      <c r="G112" s="4" t="s">
        <v>365</v>
      </c>
      <c r="H112" s="4" t="s">
        <v>366</v>
      </c>
      <c r="I112" s="4"/>
      <c r="J112" s="4"/>
      <c r="K112" s="4">
        <v>222</v>
      </c>
      <c r="L112" s="4">
        <v>3</v>
      </c>
      <c r="M112" s="4">
        <v>3</v>
      </c>
      <c r="N112" s="4" t="s">
        <v>6</v>
      </c>
      <c r="O112" s="4">
        <v>2</v>
      </c>
      <c r="P112" s="4"/>
      <c r="Q112" s="4"/>
      <c r="R112" s="4"/>
      <c r="S112" s="4"/>
      <c r="T112" s="4"/>
      <c r="U112" s="4"/>
      <c r="V112" s="4"/>
      <c r="W112" s="4"/>
    </row>
    <row r="113" spans="1:23" x14ac:dyDescent="0.2">
      <c r="A113" s="4">
        <v>50</v>
      </c>
      <c r="B113" s="4">
        <v>0</v>
      </c>
      <c r="C113" s="4">
        <v>0</v>
      </c>
      <c r="D113" s="4">
        <v>1</v>
      </c>
      <c r="E113" s="4">
        <v>225</v>
      </c>
      <c r="F113" s="4">
        <f>ROUND(Source!AV108,O113)</f>
        <v>935402.41</v>
      </c>
      <c r="G113" s="4" t="s">
        <v>367</v>
      </c>
      <c r="H113" s="4" t="s">
        <v>368</v>
      </c>
      <c r="I113" s="4"/>
      <c r="J113" s="4"/>
      <c r="K113" s="4">
        <v>225</v>
      </c>
      <c r="L113" s="4">
        <v>4</v>
      </c>
      <c r="M113" s="4">
        <v>3</v>
      </c>
      <c r="N113" s="4" t="s">
        <v>6</v>
      </c>
      <c r="O113" s="4">
        <v>2</v>
      </c>
      <c r="P113" s="4"/>
      <c r="Q113" s="4"/>
      <c r="R113" s="4"/>
      <c r="S113" s="4"/>
      <c r="T113" s="4"/>
      <c r="U113" s="4"/>
      <c r="V113" s="4"/>
      <c r="W113" s="4"/>
    </row>
    <row r="114" spans="1:23" x14ac:dyDescent="0.2">
      <c r="A114" s="4">
        <v>50</v>
      </c>
      <c r="B114" s="4">
        <v>0</v>
      </c>
      <c r="C114" s="4">
        <v>0</v>
      </c>
      <c r="D114" s="4">
        <v>1</v>
      </c>
      <c r="E114" s="4">
        <v>226</v>
      </c>
      <c r="F114" s="4">
        <f>ROUND(Source!AW108,O114)</f>
        <v>935402.41</v>
      </c>
      <c r="G114" s="4" t="s">
        <v>369</v>
      </c>
      <c r="H114" s="4" t="s">
        <v>370</v>
      </c>
      <c r="I114" s="4"/>
      <c r="J114" s="4"/>
      <c r="K114" s="4">
        <v>226</v>
      </c>
      <c r="L114" s="4">
        <v>5</v>
      </c>
      <c r="M114" s="4">
        <v>3</v>
      </c>
      <c r="N114" s="4" t="s">
        <v>6</v>
      </c>
      <c r="O114" s="4">
        <v>2</v>
      </c>
      <c r="P114" s="4"/>
      <c r="Q114" s="4"/>
      <c r="R114" s="4"/>
      <c r="S114" s="4"/>
      <c r="T114" s="4"/>
      <c r="U114" s="4"/>
      <c r="V114" s="4"/>
      <c r="W114" s="4"/>
    </row>
    <row r="115" spans="1:23" x14ac:dyDescent="0.2">
      <c r="A115" s="4">
        <v>50</v>
      </c>
      <c r="B115" s="4">
        <v>0</v>
      </c>
      <c r="C115" s="4">
        <v>0</v>
      </c>
      <c r="D115" s="4">
        <v>1</v>
      </c>
      <c r="E115" s="4">
        <v>227</v>
      </c>
      <c r="F115" s="4">
        <f>ROUND(Source!AX108,O115)</f>
        <v>0</v>
      </c>
      <c r="G115" s="4" t="s">
        <v>371</v>
      </c>
      <c r="H115" s="4" t="s">
        <v>372</v>
      </c>
      <c r="I115" s="4"/>
      <c r="J115" s="4"/>
      <c r="K115" s="4">
        <v>227</v>
      </c>
      <c r="L115" s="4">
        <v>6</v>
      </c>
      <c r="M115" s="4">
        <v>3</v>
      </c>
      <c r="N115" s="4" t="s">
        <v>6</v>
      </c>
      <c r="O115" s="4">
        <v>2</v>
      </c>
      <c r="P115" s="4"/>
      <c r="Q115" s="4"/>
      <c r="R115" s="4"/>
      <c r="S115" s="4"/>
      <c r="T115" s="4"/>
      <c r="U115" s="4"/>
      <c r="V115" s="4"/>
      <c r="W115" s="4"/>
    </row>
    <row r="116" spans="1:23" x14ac:dyDescent="0.2">
      <c r="A116" s="4">
        <v>50</v>
      </c>
      <c r="B116" s="4">
        <v>0</v>
      </c>
      <c r="C116" s="4">
        <v>0</v>
      </c>
      <c r="D116" s="4">
        <v>1</v>
      </c>
      <c r="E116" s="4">
        <v>228</v>
      </c>
      <c r="F116" s="4">
        <f>ROUND(Source!AY108,O116)</f>
        <v>935402.41</v>
      </c>
      <c r="G116" s="4" t="s">
        <v>373</v>
      </c>
      <c r="H116" s="4" t="s">
        <v>374</v>
      </c>
      <c r="I116" s="4"/>
      <c r="J116" s="4"/>
      <c r="K116" s="4">
        <v>228</v>
      </c>
      <c r="L116" s="4">
        <v>7</v>
      </c>
      <c r="M116" s="4">
        <v>3</v>
      </c>
      <c r="N116" s="4" t="s">
        <v>6</v>
      </c>
      <c r="O116" s="4">
        <v>2</v>
      </c>
      <c r="P116" s="4"/>
      <c r="Q116" s="4"/>
      <c r="R116" s="4"/>
      <c r="S116" s="4"/>
      <c r="T116" s="4"/>
      <c r="U116" s="4"/>
      <c r="V116" s="4"/>
      <c r="W116" s="4"/>
    </row>
    <row r="117" spans="1:23" x14ac:dyDescent="0.2">
      <c r="A117" s="4">
        <v>50</v>
      </c>
      <c r="B117" s="4">
        <v>0</v>
      </c>
      <c r="C117" s="4">
        <v>0</v>
      </c>
      <c r="D117" s="4">
        <v>1</v>
      </c>
      <c r="E117" s="4">
        <v>216</v>
      </c>
      <c r="F117" s="4">
        <f>ROUND(Source!AP108,O117)</f>
        <v>0</v>
      </c>
      <c r="G117" s="4" t="s">
        <v>375</v>
      </c>
      <c r="H117" s="4" t="s">
        <v>376</v>
      </c>
      <c r="I117" s="4"/>
      <c r="J117" s="4"/>
      <c r="K117" s="4">
        <v>216</v>
      </c>
      <c r="L117" s="4">
        <v>8</v>
      </c>
      <c r="M117" s="4">
        <v>3</v>
      </c>
      <c r="N117" s="4" t="s">
        <v>6</v>
      </c>
      <c r="O117" s="4">
        <v>2</v>
      </c>
      <c r="P117" s="4"/>
      <c r="Q117" s="4"/>
      <c r="R117" s="4"/>
      <c r="S117" s="4"/>
      <c r="T117" s="4"/>
      <c r="U117" s="4"/>
      <c r="V117" s="4"/>
      <c r="W117" s="4"/>
    </row>
    <row r="118" spans="1:23" x14ac:dyDescent="0.2">
      <c r="A118" s="4">
        <v>50</v>
      </c>
      <c r="B118" s="4">
        <v>0</v>
      </c>
      <c r="C118" s="4">
        <v>0</v>
      </c>
      <c r="D118" s="4">
        <v>1</v>
      </c>
      <c r="E118" s="4">
        <v>223</v>
      </c>
      <c r="F118" s="4">
        <f>ROUND(Source!AQ108,O118)</f>
        <v>0</v>
      </c>
      <c r="G118" s="4" t="s">
        <v>377</v>
      </c>
      <c r="H118" s="4" t="s">
        <v>378</v>
      </c>
      <c r="I118" s="4"/>
      <c r="J118" s="4"/>
      <c r="K118" s="4">
        <v>223</v>
      </c>
      <c r="L118" s="4">
        <v>9</v>
      </c>
      <c r="M118" s="4">
        <v>3</v>
      </c>
      <c r="N118" s="4" t="s">
        <v>6</v>
      </c>
      <c r="O118" s="4">
        <v>2</v>
      </c>
      <c r="P118" s="4"/>
      <c r="Q118" s="4"/>
      <c r="R118" s="4"/>
      <c r="S118" s="4"/>
      <c r="T118" s="4"/>
      <c r="U118" s="4"/>
      <c r="V118" s="4"/>
      <c r="W118" s="4"/>
    </row>
    <row r="119" spans="1:23" x14ac:dyDescent="0.2">
      <c r="A119" s="4">
        <v>50</v>
      </c>
      <c r="B119" s="4">
        <v>0</v>
      </c>
      <c r="C119" s="4">
        <v>0</v>
      </c>
      <c r="D119" s="4">
        <v>1</v>
      </c>
      <c r="E119" s="4">
        <v>229</v>
      </c>
      <c r="F119" s="4">
        <f>ROUND(Source!AZ108,O119)</f>
        <v>0</v>
      </c>
      <c r="G119" s="4" t="s">
        <v>379</v>
      </c>
      <c r="H119" s="4" t="s">
        <v>380</v>
      </c>
      <c r="I119" s="4"/>
      <c r="J119" s="4"/>
      <c r="K119" s="4">
        <v>229</v>
      </c>
      <c r="L119" s="4">
        <v>10</v>
      </c>
      <c r="M119" s="4">
        <v>3</v>
      </c>
      <c r="N119" s="4" t="s">
        <v>6</v>
      </c>
      <c r="O119" s="4">
        <v>2</v>
      </c>
      <c r="P119" s="4"/>
      <c r="Q119" s="4"/>
      <c r="R119" s="4"/>
      <c r="S119" s="4"/>
      <c r="T119" s="4"/>
      <c r="U119" s="4"/>
      <c r="V119" s="4"/>
      <c r="W119" s="4"/>
    </row>
    <row r="120" spans="1:23" x14ac:dyDescent="0.2">
      <c r="A120" s="4">
        <v>50</v>
      </c>
      <c r="B120" s="4">
        <v>0</v>
      </c>
      <c r="C120" s="4">
        <v>0</v>
      </c>
      <c r="D120" s="4">
        <v>1</v>
      </c>
      <c r="E120" s="4">
        <v>203</v>
      </c>
      <c r="F120" s="4">
        <f>ROUND(Source!Q108,O120)</f>
        <v>7073.06</v>
      </c>
      <c r="G120" s="4" t="s">
        <v>381</v>
      </c>
      <c r="H120" s="4" t="s">
        <v>382</v>
      </c>
      <c r="I120" s="4"/>
      <c r="J120" s="4"/>
      <c r="K120" s="4">
        <v>203</v>
      </c>
      <c r="L120" s="4">
        <v>11</v>
      </c>
      <c r="M120" s="4">
        <v>3</v>
      </c>
      <c r="N120" s="4" t="s">
        <v>6</v>
      </c>
      <c r="O120" s="4">
        <v>2</v>
      </c>
      <c r="P120" s="4"/>
      <c r="Q120" s="4"/>
      <c r="R120" s="4"/>
      <c r="S120" s="4"/>
      <c r="T120" s="4"/>
      <c r="U120" s="4"/>
      <c r="V120" s="4"/>
      <c r="W120" s="4"/>
    </row>
    <row r="121" spans="1:23" x14ac:dyDescent="0.2">
      <c r="A121" s="4">
        <v>50</v>
      </c>
      <c r="B121" s="4">
        <v>0</v>
      </c>
      <c r="C121" s="4">
        <v>0</v>
      </c>
      <c r="D121" s="4">
        <v>1</v>
      </c>
      <c r="E121" s="4">
        <v>231</v>
      </c>
      <c r="F121" s="4">
        <f>ROUND(Source!BB108,O121)</f>
        <v>0</v>
      </c>
      <c r="G121" s="4" t="s">
        <v>383</v>
      </c>
      <c r="H121" s="4" t="s">
        <v>384</v>
      </c>
      <c r="I121" s="4"/>
      <c r="J121" s="4"/>
      <c r="K121" s="4">
        <v>231</v>
      </c>
      <c r="L121" s="4">
        <v>12</v>
      </c>
      <c r="M121" s="4">
        <v>3</v>
      </c>
      <c r="N121" s="4" t="s">
        <v>6</v>
      </c>
      <c r="O121" s="4">
        <v>2</v>
      </c>
      <c r="P121" s="4"/>
      <c r="Q121" s="4"/>
      <c r="R121" s="4"/>
      <c r="S121" s="4"/>
      <c r="T121" s="4"/>
      <c r="U121" s="4"/>
      <c r="V121" s="4"/>
      <c r="W121" s="4"/>
    </row>
    <row r="122" spans="1:23" x14ac:dyDescent="0.2">
      <c r="A122" s="4">
        <v>50</v>
      </c>
      <c r="B122" s="4">
        <v>0</v>
      </c>
      <c r="C122" s="4">
        <v>0</v>
      </c>
      <c r="D122" s="4">
        <v>1</v>
      </c>
      <c r="E122" s="4">
        <v>204</v>
      </c>
      <c r="F122" s="4">
        <f>ROUND(Source!R108,O122)</f>
        <v>1401.4</v>
      </c>
      <c r="G122" s="4" t="s">
        <v>385</v>
      </c>
      <c r="H122" s="4" t="s">
        <v>386</v>
      </c>
      <c r="I122" s="4"/>
      <c r="J122" s="4"/>
      <c r="K122" s="4">
        <v>204</v>
      </c>
      <c r="L122" s="4">
        <v>13</v>
      </c>
      <c r="M122" s="4">
        <v>3</v>
      </c>
      <c r="N122" s="4" t="s">
        <v>6</v>
      </c>
      <c r="O122" s="4">
        <v>2</v>
      </c>
      <c r="P122" s="4"/>
      <c r="Q122" s="4"/>
      <c r="R122" s="4"/>
      <c r="S122" s="4"/>
      <c r="T122" s="4"/>
      <c r="U122" s="4"/>
      <c r="V122" s="4"/>
      <c r="W122" s="4"/>
    </row>
    <row r="123" spans="1:23" x14ac:dyDescent="0.2">
      <c r="A123" s="4">
        <v>50</v>
      </c>
      <c r="B123" s="4">
        <v>0</v>
      </c>
      <c r="C123" s="4">
        <v>0</v>
      </c>
      <c r="D123" s="4">
        <v>1</v>
      </c>
      <c r="E123" s="4">
        <v>205</v>
      </c>
      <c r="F123" s="4">
        <f>ROUND(Source!S108,O123)</f>
        <v>53268.42</v>
      </c>
      <c r="G123" s="4" t="s">
        <v>387</v>
      </c>
      <c r="H123" s="4" t="s">
        <v>388</v>
      </c>
      <c r="I123" s="4"/>
      <c r="J123" s="4"/>
      <c r="K123" s="4">
        <v>205</v>
      </c>
      <c r="L123" s="4">
        <v>14</v>
      </c>
      <c r="M123" s="4">
        <v>3</v>
      </c>
      <c r="N123" s="4" t="s">
        <v>6</v>
      </c>
      <c r="O123" s="4">
        <v>2</v>
      </c>
      <c r="P123" s="4"/>
      <c r="Q123" s="4"/>
      <c r="R123" s="4"/>
      <c r="S123" s="4"/>
      <c r="T123" s="4"/>
      <c r="U123" s="4"/>
      <c r="V123" s="4"/>
      <c r="W123" s="4"/>
    </row>
    <row r="124" spans="1:23" x14ac:dyDescent="0.2">
      <c r="A124" s="4">
        <v>50</v>
      </c>
      <c r="B124" s="4">
        <v>0</v>
      </c>
      <c r="C124" s="4">
        <v>0</v>
      </c>
      <c r="D124" s="4">
        <v>1</v>
      </c>
      <c r="E124" s="4">
        <v>232</v>
      </c>
      <c r="F124" s="4">
        <f>ROUND(Source!BC108,O124)</f>
        <v>0</v>
      </c>
      <c r="G124" s="4" t="s">
        <v>389</v>
      </c>
      <c r="H124" s="4" t="s">
        <v>390</v>
      </c>
      <c r="I124" s="4"/>
      <c r="J124" s="4"/>
      <c r="K124" s="4">
        <v>232</v>
      </c>
      <c r="L124" s="4">
        <v>15</v>
      </c>
      <c r="M124" s="4">
        <v>3</v>
      </c>
      <c r="N124" s="4" t="s">
        <v>6</v>
      </c>
      <c r="O124" s="4">
        <v>2</v>
      </c>
      <c r="P124" s="4"/>
      <c r="Q124" s="4"/>
      <c r="R124" s="4"/>
      <c r="S124" s="4"/>
      <c r="T124" s="4"/>
      <c r="U124" s="4"/>
      <c r="V124" s="4"/>
      <c r="W124" s="4"/>
    </row>
    <row r="125" spans="1:23" x14ac:dyDescent="0.2">
      <c r="A125" s="4">
        <v>50</v>
      </c>
      <c r="B125" s="4">
        <v>0</v>
      </c>
      <c r="C125" s="4">
        <v>0</v>
      </c>
      <c r="D125" s="4">
        <v>1</v>
      </c>
      <c r="E125" s="4">
        <v>214</v>
      </c>
      <c r="F125" s="4">
        <f>ROUND(Source!AS108,O125)</f>
        <v>1081313.5900000001</v>
      </c>
      <c r="G125" s="4" t="s">
        <v>391</v>
      </c>
      <c r="H125" s="4" t="s">
        <v>392</v>
      </c>
      <c r="I125" s="4"/>
      <c r="J125" s="4"/>
      <c r="K125" s="4">
        <v>214</v>
      </c>
      <c r="L125" s="4">
        <v>16</v>
      </c>
      <c r="M125" s="4">
        <v>3</v>
      </c>
      <c r="N125" s="4" t="s">
        <v>6</v>
      </c>
      <c r="O125" s="4">
        <v>2</v>
      </c>
      <c r="P125" s="4"/>
      <c r="Q125" s="4"/>
      <c r="R125" s="4"/>
      <c r="S125" s="4"/>
      <c r="T125" s="4"/>
      <c r="U125" s="4"/>
      <c r="V125" s="4"/>
      <c r="W125" s="4"/>
    </row>
    <row r="126" spans="1:23" x14ac:dyDescent="0.2">
      <c r="A126" s="4">
        <v>50</v>
      </c>
      <c r="B126" s="4">
        <v>0</v>
      </c>
      <c r="C126" s="4">
        <v>0</v>
      </c>
      <c r="D126" s="4">
        <v>1</v>
      </c>
      <c r="E126" s="4">
        <v>215</v>
      </c>
      <c r="F126" s="4">
        <f>ROUND(Source!AT108,O126)</f>
        <v>0</v>
      </c>
      <c r="G126" s="4" t="s">
        <v>393</v>
      </c>
      <c r="H126" s="4" t="s">
        <v>394</v>
      </c>
      <c r="I126" s="4"/>
      <c r="J126" s="4"/>
      <c r="K126" s="4">
        <v>215</v>
      </c>
      <c r="L126" s="4">
        <v>17</v>
      </c>
      <c r="M126" s="4">
        <v>3</v>
      </c>
      <c r="N126" s="4" t="s">
        <v>6</v>
      </c>
      <c r="O126" s="4">
        <v>2</v>
      </c>
      <c r="P126" s="4"/>
      <c r="Q126" s="4"/>
      <c r="R126" s="4"/>
      <c r="S126" s="4"/>
      <c r="T126" s="4"/>
      <c r="U126" s="4"/>
      <c r="V126" s="4"/>
      <c r="W126" s="4"/>
    </row>
    <row r="127" spans="1:23" x14ac:dyDescent="0.2">
      <c r="A127" s="4">
        <v>50</v>
      </c>
      <c r="B127" s="4">
        <v>0</v>
      </c>
      <c r="C127" s="4">
        <v>0</v>
      </c>
      <c r="D127" s="4">
        <v>1</v>
      </c>
      <c r="E127" s="4">
        <v>217</v>
      </c>
      <c r="F127" s="4">
        <f>ROUND(Source!AU108,O127)</f>
        <v>0</v>
      </c>
      <c r="G127" s="4" t="s">
        <v>395</v>
      </c>
      <c r="H127" s="4" t="s">
        <v>396</v>
      </c>
      <c r="I127" s="4"/>
      <c r="J127" s="4"/>
      <c r="K127" s="4">
        <v>217</v>
      </c>
      <c r="L127" s="4">
        <v>18</v>
      </c>
      <c r="M127" s="4">
        <v>3</v>
      </c>
      <c r="N127" s="4" t="s">
        <v>6</v>
      </c>
      <c r="O127" s="4">
        <v>2</v>
      </c>
      <c r="P127" s="4"/>
      <c r="Q127" s="4"/>
      <c r="R127" s="4"/>
      <c r="S127" s="4"/>
      <c r="T127" s="4"/>
      <c r="U127" s="4"/>
      <c r="V127" s="4"/>
      <c r="W127" s="4"/>
    </row>
    <row r="128" spans="1:23" x14ac:dyDescent="0.2">
      <c r="A128" s="4">
        <v>50</v>
      </c>
      <c r="B128" s="4">
        <v>0</v>
      </c>
      <c r="C128" s="4">
        <v>0</v>
      </c>
      <c r="D128" s="4">
        <v>1</v>
      </c>
      <c r="E128" s="4">
        <v>230</v>
      </c>
      <c r="F128" s="4">
        <f>ROUND(Source!BA108,O128)</f>
        <v>0</v>
      </c>
      <c r="G128" s="4" t="s">
        <v>397</v>
      </c>
      <c r="H128" s="4" t="s">
        <v>398</v>
      </c>
      <c r="I128" s="4"/>
      <c r="J128" s="4"/>
      <c r="K128" s="4">
        <v>230</v>
      </c>
      <c r="L128" s="4">
        <v>19</v>
      </c>
      <c r="M128" s="4">
        <v>3</v>
      </c>
      <c r="N128" s="4" t="s">
        <v>6</v>
      </c>
      <c r="O128" s="4">
        <v>2</v>
      </c>
      <c r="P128" s="4"/>
      <c r="Q128" s="4"/>
      <c r="R128" s="4"/>
      <c r="S128" s="4"/>
      <c r="T128" s="4"/>
      <c r="U128" s="4"/>
      <c r="V128" s="4"/>
      <c r="W128" s="4"/>
    </row>
    <row r="129" spans="1:245" x14ac:dyDescent="0.2">
      <c r="A129" s="4">
        <v>50</v>
      </c>
      <c r="B129" s="4">
        <v>0</v>
      </c>
      <c r="C129" s="4">
        <v>0</v>
      </c>
      <c r="D129" s="4">
        <v>1</v>
      </c>
      <c r="E129" s="4">
        <v>206</v>
      </c>
      <c r="F129" s="4">
        <f>ROUND(Source!T108,O129)</f>
        <v>0</v>
      </c>
      <c r="G129" s="4" t="s">
        <v>399</v>
      </c>
      <c r="H129" s="4" t="s">
        <v>400</v>
      </c>
      <c r="I129" s="4"/>
      <c r="J129" s="4"/>
      <c r="K129" s="4">
        <v>206</v>
      </c>
      <c r="L129" s="4">
        <v>20</v>
      </c>
      <c r="M129" s="4">
        <v>3</v>
      </c>
      <c r="N129" s="4" t="s">
        <v>6</v>
      </c>
      <c r="O129" s="4">
        <v>2</v>
      </c>
      <c r="P129" s="4"/>
      <c r="Q129" s="4"/>
      <c r="R129" s="4"/>
      <c r="S129" s="4"/>
      <c r="T129" s="4"/>
      <c r="U129" s="4"/>
      <c r="V129" s="4"/>
      <c r="W129" s="4"/>
    </row>
    <row r="130" spans="1:245" x14ac:dyDescent="0.2">
      <c r="A130" s="4">
        <v>50</v>
      </c>
      <c r="B130" s="4">
        <v>0</v>
      </c>
      <c r="C130" s="4">
        <v>0</v>
      </c>
      <c r="D130" s="4">
        <v>1</v>
      </c>
      <c r="E130" s="4">
        <v>207</v>
      </c>
      <c r="F130" s="4">
        <f>Source!U108</f>
        <v>888.2400303999998</v>
      </c>
      <c r="G130" s="4" t="s">
        <v>401</v>
      </c>
      <c r="H130" s="4" t="s">
        <v>402</v>
      </c>
      <c r="I130" s="4"/>
      <c r="J130" s="4"/>
      <c r="K130" s="4">
        <v>207</v>
      </c>
      <c r="L130" s="4">
        <v>21</v>
      </c>
      <c r="M130" s="4">
        <v>3</v>
      </c>
      <c r="N130" s="4" t="s">
        <v>6</v>
      </c>
      <c r="O130" s="4">
        <v>-1</v>
      </c>
      <c r="P130" s="4"/>
      <c r="Q130" s="4"/>
      <c r="R130" s="4"/>
      <c r="S130" s="4"/>
      <c r="T130" s="4"/>
      <c r="U130" s="4"/>
      <c r="V130" s="4"/>
      <c r="W130" s="4"/>
    </row>
    <row r="131" spans="1:245" x14ac:dyDescent="0.2">
      <c r="A131" s="4">
        <v>50</v>
      </c>
      <c r="B131" s="4">
        <v>0</v>
      </c>
      <c r="C131" s="4">
        <v>0</v>
      </c>
      <c r="D131" s="4">
        <v>1</v>
      </c>
      <c r="E131" s="4">
        <v>208</v>
      </c>
      <c r="F131" s="4">
        <f>Source!V108</f>
        <v>17.226777374999994</v>
      </c>
      <c r="G131" s="4" t="s">
        <v>403</v>
      </c>
      <c r="H131" s="4" t="s">
        <v>404</v>
      </c>
      <c r="I131" s="4"/>
      <c r="J131" s="4"/>
      <c r="K131" s="4">
        <v>208</v>
      </c>
      <c r="L131" s="4">
        <v>22</v>
      </c>
      <c r="M131" s="4">
        <v>3</v>
      </c>
      <c r="N131" s="4" t="s">
        <v>6</v>
      </c>
      <c r="O131" s="4">
        <v>-1</v>
      </c>
      <c r="P131" s="4"/>
      <c r="Q131" s="4"/>
      <c r="R131" s="4"/>
      <c r="S131" s="4"/>
      <c r="T131" s="4"/>
      <c r="U131" s="4"/>
      <c r="V131" s="4"/>
      <c r="W131" s="4"/>
    </row>
    <row r="132" spans="1:245" x14ac:dyDescent="0.2">
      <c r="A132" s="4">
        <v>50</v>
      </c>
      <c r="B132" s="4">
        <v>0</v>
      </c>
      <c r="C132" s="4">
        <v>0</v>
      </c>
      <c r="D132" s="4">
        <v>1</v>
      </c>
      <c r="E132" s="4">
        <v>209</v>
      </c>
      <c r="F132" s="4">
        <f>ROUND(Source!W108,O132)</f>
        <v>0</v>
      </c>
      <c r="G132" s="4" t="s">
        <v>405</v>
      </c>
      <c r="H132" s="4" t="s">
        <v>406</v>
      </c>
      <c r="I132" s="4"/>
      <c r="J132" s="4"/>
      <c r="K132" s="4">
        <v>209</v>
      </c>
      <c r="L132" s="4">
        <v>23</v>
      </c>
      <c r="M132" s="4">
        <v>3</v>
      </c>
      <c r="N132" s="4" t="s">
        <v>6</v>
      </c>
      <c r="O132" s="4">
        <v>2</v>
      </c>
      <c r="P132" s="4"/>
      <c r="Q132" s="4"/>
      <c r="R132" s="4"/>
      <c r="S132" s="4"/>
      <c r="T132" s="4"/>
      <c r="U132" s="4"/>
      <c r="V132" s="4"/>
      <c r="W132" s="4"/>
    </row>
    <row r="133" spans="1:245" x14ac:dyDescent="0.2">
      <c r="A133" s="4">
        <v>50</v>
      </c>
      <c r="B133" s="4">
        <v>0</v>
      </c>
      <c r="C133" s="4">
        <v>0</v>
      </c>
      <c r="D133" s="4">
        <v>1</v>
      </c>
      <c r="E133" s="4">
        <v>210</v>
      </c>
      <c r="F133" s="4">
        <f>ROUND(Source!X108,O133)</f>
        <v>50913.96</v>
      </c>
      <c r="G133" s="4" t="s">
        <v>407</v>
      </c>
      <c r="H133" s="4" t="s">
        <v>408</v>
      </c>
      <c r="I133" s="4"/>
      <c r="J133" s="4"/>
      <c r="K133" s="4">
        <v>210</v>
      </c>
      <c r="L133" s="4">
        <v>24</v>
      </c>
      <c r="M133" s="4">
        <v>3</v>
      </c>
      <c r="N133" s="4" t="s">
        <v>6</v>
      </c>
      <c r="O133" s="4">
        <v>2</v>
      </c>
      <c r="P133" s="4"/>
      <c r="Q133" s="4"/>
      <c r="R133" s="4"/>
      <c r="S133" s="4"/>
      <c r="T133" s="4"/>
      <c r="U133" s="4"/>
      <c r="V133" s="4"/>
      <c r="W133" s="4"/>
    </row>
    <row r="134" spans="1:245" x14ac:dyDescent="0.2">
      <c r="A134" s="4">
        <v>50</v>
      </c>
      <c r="B134" s="4">
        <v>0</v>
      </c>
      <c r="C134" s="4">
        <v>0</v>
      </c>
      <c r="D134" s="4">
        <v>1</v>
      </c>
      <c r="E134" s="4">
        <v>211</v>
      </c>
      <c r="F134" s="4">
        <f>ROUND(Source!Y108,O134)</f>
        <v>29411.87</v>
      </c>
      <c r="G134" s="4" t="s">
        <v>409</v>
      </c>
      <c r="H134" s="4" t="s">
        <v>410</v>
      </c>
      <c r="I134" s="4"/>
      <c r="J134" s="4"/>
      <c r="K134" s="4">
        <v>211</v>
      </c>
      <c r="L134" s="4">
        <v>25</v>
      </c>
      <c r="M134" s="4">
        <v>3</v>
      </c>
      <c r="N134" s="4" t="s">
        <v>6</v>
      </c>
      <c r="O134" s="4">
        <v>2</v>
      </c>
      <c r="P134" s="4"/>
      <c r="Q134" s="4"/>
      <c r="R134" s="4"/>
      <c r="S134" s="4"/>
      <c r="T134" s="4"/>
      <c r="U134" s="4"/>
      <c r="V134" s="4"/>
      <c r="W134" s="4"/>
    </row>
    <row r="135" spans="1:245" x14ac:dyDescent="0.2">
      <c r="A135" s="4">
        <v>50</v>
      </c>
      <c r="B135" s="4">
        <v>0</v>
      </c>
      <c r="C135" s="4">
        <v>0</v>
      </c>
      <c r="D135" s="4">
        <v>1</v>
      </c>
      <c r="E135" s="4">
        <v>224</v>
      </c>
      <c r="F135" s="4">
        <f>ROUND(Source!AR108,O135)</f>
        <v>1081313.5900000001</v>
      </c>
      <c r="G135" s="4" t="s">
        <v>411</v>
      </c>
      <c r="H135" s="4" t="s">
        <v>412</v>
      </c>
      <c r="I135" s="4"/>
      <c r="J135" s="4"/>
      <c r="K135" s="4">
        <v>224</v>
      </c>
      <c r="L135" s="4">
        <v>26</v>
      </c>
      <c r="M135" s="4">
        <v>3</v>
      </c>
      <c r="N135" s="4" t="s">
        <v>6</v>
      </c>
      <c r="O135" s="4">
        <v>2</v>
      </c>
      <c r="P135" s="4"/>
      <c r="Q135" s="4"/>
      <c r="R135" s="4"/>
      <c r="S135" s="4"/>
      <c r="T135" s="4"/>
      <c r="U135" s="4"/>
      <c r="V135" s="4"/>
      <c r="W135" s="4"/>
    </row>
    <row r="137" spans="1:245" x14ac:dyDescent="0.2">
      <c r="A137" s="1">
        <v>4</v>
      </c>
      <c r="B137" s="1">
        <v>1</v>
      </c>
      <c r="C137" s="1"/>
      <c r="D137" s="1">
        <f>ROW(A152)</f>
        <v>152</v>
      </c>
      <c r="E137" s="1"/>
      <c r="F137" s="1" t="s">
        <v>13</v>
      </c>
      <c r="G137" s="1" t="s">
        <v>413</v>
      </c>
      <c r="H137" s="1" t="s">
        <v>6</v>
      </c>
      <c r="I137" s="1">
        <v>0</v>
      </c>
      <c r="J137" s="1"/>
      <c r="K137" s="1">
        <v>0</v>
      </c>
      <c r="L137" s="1"/>
      <c r="M137" s="1"/>
      <c r="N137" s="1"/>
      <c r="O137" s="1"/>
      <c r="P137" s="1"/>
      <c r="Q137" s="1"/>
      <c r="R137" s="1"/>
      <c r="S137" s="1"/>
      <c r="T137" s="1"/>
      <c r="U137" s="1" t="s">
        <v>6</v>
      </c>
      <c r="V137" s="1">
        <v>0</v>
      </c>
      <c r="W137" s="1"/>
      <c r="X137" s="1"/>
      <c r="Y137" s="1"/>
      <c r="Z137" s="1"/>
      <c r="AA137" s="1"/>
      <c r="AB137" s="1" t="s">
        <v>6</v>
      </c>
      <c r="AC137" s="1" t="s">
        <v>6</v>
      </c>
      <c r="AD137" s="1" t="s">
        <v>6</v>
      </c>
      <c r="AE137" s="1" t="s">
        <v>6</v>
      </c>
      <c r="AF137" s="1" t="s">
        <v>6</v>
      </c>
      <c r="AG137" s="1" t="s">
        <v>6</v>
      </c>
      <c r="AH137" s="1"/>
      <c r="AI137" s="1"/>
      <c r="AJ137" s="1"/>
      <c r="AK137" s="1"/>
      <c r="AL137" s="1"/>
      <c r="AM137" s="1"/>
      <c r="AN137" s="1"/>
      <c r="AO137" s="1"/>
      <c r="AP137" s="1" t="s">
        <v>6</v>
      </c>
      <c r="AQ137" s="1" t="s">
        <v>6</v>
      </c>
      <c r="AR137" s="1" t="s">
        <v>6</v>
      </c>
      <c r="AS137" s="1"/>
      <c r="AT137" s="1"/>
      <c r="AU137" s="1"/>
      <c r="AV137" s="1"/>
      <c r="AW137" s="1"/>
      <c r="AX137" s="1"/>
      <c r="AY137" s="1"/>
      <c r="AZ137" s="1" t="s">
        <v>6</v>
      </c>
      <c r="BA137" s="1"/>
      <c r="BB137" s="1" t="s">
        <v>6</v>
      </c>
      <c r="BC137" s="1" t="s">
        <v>6</v>
      </c>
      <c r="BD137" s="1" t="s">
        <v>6</v>
      </c>
      <c r="BE137" s="1" t="s">
        <v>6</v>
      </c>
      <c r="BF137" s="1" t="s">
        <v>6</v>
      </c>
      <c r="BG137" s="1" t="s">
        <v>6</v>
      </c>
      <c r="BH137" s="1" t="s">
        <v>6</v>
      </c>
      <c r="BI137" s="1" t="s">
        <v>6</v>
      </c>
      <c r="BJ137" s="1" t="s">
        <v>6</v>
      </c>
      <c r="BK137" s="1" t="s">
        <v>6</v>
      </c>
      <c r="BL137" s="1" t="s">
        <v>6</v>
      </c>
      <c r="BM137" s="1" t="s">
        <v>6</v>
      </c>
      <c r="BN137" s="1" t="s">
        <v>6</v>
      </c>
      <c r="BO137" s="1" t="s">
        <v>6</v>
      </c>
      <c r="BP137" s="1" t="s">
        <v>6</v>
      </c>
      <c r="BQ137" s="1"/>
      <c r="BR137" s="1"/>
      <c r="BS137" s="1"/>
      <c r="BT137" s="1"/>
      <c r="BU137" s="1"/>
      <c r="BV137" s="1"/>
      <c r="BW137" s="1"/>
      <c r="BX137" s="1">
        <v>0</v>
      </c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>
        <v>0</v>
      </c>
    </row>
    <row r="139" spans="1:245" x14ac:dyDescent="0.2">
      <c r="A139" s="2">
        <v>52</v>
      </c>
      <c r="B139" s="2">
        <f t="shared" ref="B139:G139" si="154">B152</f>
        <v>1</v>
      </c>
      <c r="C139" s="2">
        <f t="shared" si="154"/>
        <v>4</v>
      </c>
      <c r="D139" s="2">
        <f t="shared" si="154"/>
        <v>137</v>
      </c>
      <c r="E139" s="2">
        <f t="shared" si="154"/>
        <v>0</v>
      </c>
      <c r="F139" s="2" t="str">
        <f t="shared" si="154"/>
        <v>Новый раздел</v>
      </c>
      <c r="G139" s="2" t="str">
        <f t="shared" si="154"/>
        <v>2 Отопление</v>
      </c>
      <c r="H139" s="2"/>
      <c r="I139" s="2"/>
      <c r="J139" s="2"/>
      <c r="K139" s="2"/>
      <c r="L139" s="2"/>
      <c r="M139" s="2"/>
      <c r="N139" s="2"/>
      <c r="O139" s="2">
        <f t="shared" ref="O139:AT139" si="155">O152</f>
        <v>129804.42</v>
      </c>
      <c r="P139" s="2">
        <f t="shared" si="155"/>
        <v>125058.3</v>
      </c>
      <c r="Q139" s="2">
        <f t="shared" si="155"/>
        <v>867.03</v>
      </c>
      <c r="R139" s="2">
        <f t="shared" si="155"/>
        <v>100.15</v>
      </c>
      <c r="S139" s="2">
        <f t="shared" si="155"/>
        <v>3879.09</v>
      </c>
      <c r="T139" s="2">
        <f t="shared" si="155"/>
        <v>0</v>
      </c>
      <c r="U139" s="2">
        <f t="shared" si="155"/>
        <v>65.718683999999996</v>
      </c>
      <c r="V139" s="2">
        <f t="shared" si="155"/>
        <v>1.190048</v>
      </c>
      <c r="W139" s="2">
        <f t="shared" si="155"/>
        <v>0</v>
      </c>
      <c r="X139" s="2">
        <f t="shared" si="155"/>
        <v>4211.62</v>
      </c>
      <c r="Y139" s="2">
        <f t="shared" si="155"/>
        <v>2602.2800000000002</v>
      </c>
      <c r="Z139" s="2">
        <f t="shared" si="155"/>
        <v>0</v>
      </c>
      <c r="AA139" s="2">
        <f t="shared" si="155"/>
        <v>0</v>
      </c>
      <c r="AB139" s="2">
        <f t="shared" si="155"/>
        <v>129804.42</v>
      </c>
      <c r="AC139" s="2">
        <f t="shared" si="155"/>
        <v>125058.3</v>
      </c>
      <c r="AD139" s="2">
        <f t="shared" si="155"/>
        <v>867.03</v>
      </c>
      <c r="AE139" s="2">
        <f t="shared" si="155"/>
        <v>100.15</v>
      </c>
      <c r="AF139" s="2">
        <f t="shared" si="155"/>
        <v>3879.09</v>
      </c>
      <c r="AG139" s="2">
        <f t="shared" si="155"/>
        <v>0</v>
      </c>
      <c r="AH139" s="2">
        <f t="shared" si="155"/>
        <v>65.718683999999996</v>
      </c>
      <c r="AI139" s="2">
        <f t="shared" si="155"/>
        <v>1.190048</v>
      </c>
      <c r="AJ139" s="2">
        <f t="shared" si="155"/>
        <v>0</v>
      </c>
      <c r="AK139" s="2">
        <f t="shared" si="155"/>
        <v>4211.62</v>
      </c>
      <c r="AL139" s="2">
        <f t="shared" si="155"/>
        <v>2602.2800000000002</v>
      </c>
      <c r="AM139" s="2">
        <f t="shared" si="155"/>
        <v>0</v>
      </c>
      <c r="AN139" s="2">
        <f t="shared" si="155"/>
        <v>0</v>
      </c>
      <c r="AO139" s="2">
        <f t="shared" si="155"/>
        <v>0</v>
      </c>
      <c r="AP139" s="2">
        <f t="shared" si="155"/>
        <v>0</v>
      </c>
      <c r="AQ139" s="2">
        <f t="shared" si="155"/>
        <v>0</v>
      </c>
      <c r="AR139" s="2">
        <f t="shared" si="155"/>
        <v>136618.32</v>
      </c>
      <c r="AS139" s="2">
        <f t="shared" si="155"/>
        <v>136618.32</v>
      </c>
      <c r="AT139" s="2">
        <f t="shared" si="155"/>
        <v>0</v>
      </c>
      <c r="AU139" s="2">
        <f t="shared" ref="AU139:BZ139" si="156">AU152</f>
        <v>0</v>
      </c>
      <c r="AV139" s="2">
        <f t="shared" si="156"/>
        <v>125058.3</v>
      </c>
      <c r="AW139" s="2">
        <f t="shared" si="156"/>
        <v>125058.3</v>
      </c>
      <c r="AX139" s="2">
        <f t="shared" si="156"/>
        <v>0</v>
      </c>
      <c r="AY139" s="2">
        <f t="shared" si="156"/>
        <v>125058.3</v>
      </c>
      <c r="AZ139" s="2">
        <f t="shared" si="156"/>
        <v>0</v>
      </c>
      <c r="BA139" s="2">
        <f t="shared" si="156"/>
        <v>0</v>
      </c>
      <c r="BB139" s="2">
        <f t="shared" si="156"/>
        <v>0</v>
      </c>
      <c r="BC139" s="2">
        <f t="shared" si="156"/>
        <v>0</v>
      </c>
      <c r="BD139" s="2">
        <f t="shared" si="156"/>
        <v>0</v>
      </c>
      <c r="BE139" s="2">
        <f t="shared" si="156"/>
        <v>0</v>
      </c>
      <c r="BF139" s="2">
        <f t="shared" si="156"/>
        <v>0</v>
      </c>
      <c r="BG139" s="2">
        <f t="shared" si="156"/>
        <v>0</v>
      </c>
      <c r="BH139" s="2">
        <f t="shared" si="156"/>
        <v>0</v>
      </c>
      <c r="BI139" s="2">
        <f t="shared" si="156"/>
        <v>0</v>
      </c>
      <c r="BJ139" s="2">
        <f t="shared" si="156"/>
        <v>0</v>
      </c>
      <c r="BK139" s="2">
        <f t="shared" si="156"/>
        <v>0</v>
      </c>
      <c r="BL139" s="2">
        <f t="shared" si="156"/>
        <v>0</v>
      </c>
      <c r="BM139" s="2">
        <f t="shared" si="156"/>
        <v>0</v>
      </c>
      <c r="BN139" s="2">
        <f t="shared" si="156"/>
        <v>0</v>
      </c>
      <c r="BO139" s="2">
        <f t="shared" si="156"/>
        <v>0</v>
      </c>
      <c r="BP139" s="2">
        <f t="shared" si="156"/>
        <v>0</v>
      </c>
      <c r="BQ139" s="2">
        <f t="shared" si="156"/>
        <v>0</v>
      </c>
      <c r="BR139" s="2">
        <f t="shared" si="156"/>
        <v>0</v>
      </c>
      <c r="BS139" s="2">
        <f t="shared" si="156"/>
        <v>0</v>
      </c>
      <c r="BT139" s="2">
        <f t="shared" si="156"/>
        <v>0</v>
      </c>
      <c r="BU139" s="2">
        <f t="shared" si="156"/>
        <v>0</v>
      </c>
      <c r="BV139" s="2">
        <f t="shared" si="156"/>
        <v>0</v>
      </c>
      <c r="BW139" s="2">
        <f t="shared" si="156"/>
        <v>0</v>
      </c>
      <c r="BX139" s="2">
        <f t="shared" si="156"/>
        <v>0</v>
      </c>
      <c r="BY139" s="2">
        <f t="shared" si="156"/>
        <v>0</v>
      </c>
      <c r="BZ139" s="2">
        <f t="shared" si="156"/>
        <v>0</v>
      </c>
      <c r="CA139" s="2">
        <f t="shared" ref="CA139:DF139" si="157">CA152</f>
        <v>136618.32</v>
      </c>
      <c r="CB139" s="2">
        <f t="shared" si="157"/>
        <v>136618.32</v>
      </c>
      <c r="CC139" s="2">
        <f t="shared" si="157"/>
        <v>0</v>
      </c>
      <c r="CD139" s="2">
        <f t="shared" si="157"/>
        <v>0</v>
      </c>
      <c r="CE139" s="2">
        <f t="shared" si="157"/>
        <v>125058.3</v>
      </c>
      <c r="CF139" s="2">
        <f t="shared" si="157"/>
        <v>125058.3</v>
      </c>
      <c r="CG139" s="2">
        <f t="shared" si="157"/>
        <v>0</v>
      </c>
      <c r="CH139" s="2">
        <f t="shared" si="157"/>
        <v>125058.3</v>
      </c>
      <c r="CI139" s="2">
        <f t="shared" si="157"/>
        <v>0</v>
      </c>
      <c r="CJ139" s="2">
        <f t="shared" si="157"/>
        <v>0</v>
      </c>
      <c r="CK139" s="2">
        <f t="shared" si="157"/>
        <v>0</v>
      </c>
      <c r="CL139" s="2">
        <f t="shared" si="157"/>
        <v>0</v>
      </c>
      <c r="CM139" s="2">
        <f t="shared" si="157"/>
        <v>0</v>
      </c>
      <c r="CN139" s="2">
        <f t="shared" si="157"/>
        <v>0</v>
      </c>
      <c r="CO139" s="2">
        <f t="shared" si="157"/>
        <v>0</v>
      </c>
      <c r="CP139" s="2">
        <f t="shared" si="157"/>
        <v>0</v>
      </c>
      <c r="CQ139" s="2">
        <f t="shared" si="157"/>
        <v>0</v>
      </c>
      <c r="CR139" s="2">
        <f t="shared" si="157"/>
        <v>0</v>
      </c>
      <c r="CS139" s="2">
        <f t="shared" si="157"/>
        <v>0</v>
      </c>
      <c r="CT139" s="2">
        <f t="shared" si="157"/>
        <v>0</v>
      </c>
      <c r="CU139" s="2">
        <f t="shared" si="157"/>
        <v>0</v>
      </c>
      <c r="CV139" s="2">
        <f t="shared" si="157"/>
        <v>0</v>
      </c>
      <c r="CW139" s="2">
        <f t="shared" si="157"/>
        <v>0</v>
      </c>
      <c r="CX139" s="2">
        <f t="shared" si="157"/>
        <v>0</v>
      </c>
      <c r="CY139" s="2">
        <f t="shared" si="157"/>
        <v>0</v>
      </c>
      <c r="CZ139" s="2">
        <f t="shared" si="157"/>
        <v>0</v>
      </c>
      <c r="DA139" s="2">
        <f t="shared" si="157"/>
        <v>0</v>
      </c>
      <c r="DB139" s="2">
        <f t="shared" si="157"/>
        <v>0</v>
      </c>
      <c r="DC139" s="2">
        <f t="shared" si="157"/>
        <v>0</v>
      </c>
      <c r="DD139" s="2">
        <f t="shared" si="157"/>
        <v>0</v>
      </c>
      <c r="DE139" s="2">
        <f t="shared" si="157"/>
        <v>0</v>
      </c>
      <c r="DF139" s="2">
        <f t="shared" si="157"/>
        <v>0</v>
      </c>
      <c r="DG139" s="3">
        <f t="shared" ref="DG139:EL139" si="158">DG152</f>
        <v>0</v>
      </c>
      <c r="DH139" s="3">
        <f t="shared" si="158"/>
        <v>0</v>
      </c>
      <c r="DI139" s="3">
        <f t="shared" si="158"/>
        <v>0</v>
      </c>
      <c r="DJ139" s="3">
        <f t="shared" si="158"/>
        <v>0</v>
      </c>
      <c r="DK139" s="3">
        <f t="shared" si="158"/>
        <v>0</v>
      </c>
      <c r="DL139" s="3">
        <f t="shared" si="158"/>
        <v>0</v>
      </c>
      <c r="DM139" s="3">
        <f t="shared" si="158"/>
        <v>0</v>
      </c>
      <c r="DN139" s="3">
        <f t="shared" si="158"/>
        <v>0</v>
      </c>
      <c r="DO139" s="3">
        <f t="shared" si="158"/>
        <v>0</v>
      </c>
      <c r="DP139" s="3">
        <f t="shared" si="158"/>
        <v>0</v>
      </c>
      <c r="DQ139" s="3">
        <f t="shared" si="158"/>
        <v>0</v>
      </c>
      <c r="DR139" s="3">
        <f t="shared" si="158"/>
        <v>0</v>
      </c>
      <c r="DS139" s="3">
        <f t="shared" si="158"/>
        <v>0</v>
      </c>
      <c r="DT139" s="3">
        <f t="shared" si="158"/>
        <v>0</v>
      </c>
      <c r="DU139" s="3">
        <f t="shared" si="158"/>
        <v>0</v>
      </c>
      <c r="DV139" s="3">
        <f t="shared" si="158"/>
        <v>0</v>
      </c>
      <c r="DW139" s="3">
        <f t="shared" si="158"/>
        <v>0</v>
      </c>
      <c r="DX139" s="3">
        <f t="shared" si="158"/>
        <v>0</v>
      </c>
      <c r="DY139" s="3">
        <f t="shared" si="158"/>
        <v>0</v>
      </c>
      <c r="DZ139" s="3">
        <f t="shared" si="158"/>
        <v>0</v>
      </c>
      <c r="EA139" s="3">
        <f t="shared" si="158"/>
        <v>0</v>
      </c>
      <c r="EB139" s="3">
        <f t="shared" si="158"/>
        <v>0</v>
      </c>
      <c r="EC139" s="3">
        <f t="shared" si="158"/>
        <v>0</v>
      </c>
      <c r="ED139" s="3">
        <f t="shared" si="158"/>
        <v>0</v>
      </c>
      <c r="EE139" s="3">
        <f t="shared" si="158"/>
        <v>0</v>
      </c>
      <c r="EF139" s="3">
        <f t="shared" si="158"/>
        <v>0</v>
      </c>
      <c r="EG139" s="3">
        <f t="shared" si="158"/>
        <v>0</v>
      </c>
      <c r="EH139" s="3">
        <f t="shared" si="158"/>
        <v>0</v>
      </c>
      <c r="EI139" s="3">
        <f t="shared" si="158"/>
        <v>0</v>
      </c>
      <c r="EJ139" s="3">
        <f t="shared" si="158"/>
        <v>0</v>
      </c>
      <c r="EK139" s="3">
        <f t="shared" si="158"/>
        <v>0</v>
      </c>
      <c r="EL139" s="3">
        <f t="shared" si="158"/>
        <v>0</v>
      </c>
      <c r="EM139" s="3">
        <f t="shared" ref="EM139:FR139" si="159">EM152</f>
        <v>0</v>
      </c>
      <c r="EN139" s="3">
        <f t="shared" si="159"/>
        <v>0</v>
      </c>
      <c r="EO139" s="3">
        <f t="shared" si="159"/>
        <v>0</v>
      </c>
      <c r="EP139" s="3">
        <f t="shared" si="159"/>
        <v>0</v>
      </c>
      <c r="EQ139" s="3">
        <f t="shared" si="159"/>
        <v>0</v>
      </c>
      <c r="ER139" s="3">
        <f t="shared" si="159"/>
        <v>0</v>
      </c>
      <c r="ES139" s="3">
        <f t="shared" si="159"/>
        <v>0</v>
      </c>
      <c r="ET139" s="3">
        <f t="shared" si="159"/>
        <v>0</v>
      </c>
      <c r="EU139" s="3">
        <f t="shared" si="159"/>
        <v>0</v>
      </c>
      <c r="EV139" s="3">
        <f t="shared" si="159"/>
        <v>0</v>
      </c>
      <c r="EW139" s="3">
        <f t="shared" si="159"/>
        <v>0</v>
      </c>
      <c r="EX139" s="3">
        <f t="shared" si="159"/>
        <v>0</v>
      </c>
      <c r="EY139" s="3">
        <f t="shared" si="159"/>
        <v>0</v>
      </c>
      <c r="EZ139" s="3">
        <f t="shared" si="159"/>
        <v>0</v>
      </c>
      <c r="FA139" s="3">
        <f t="shared" si="159"/>
        <v>0</v>
      </c>
      <c r="FB139" s="3">
        <f t="shared" si="159"/>
        <v>0</v>
      </c>
      <c r="FC139" s="3">
        <f t="shared" si="159"/>
        <v>0</v>
      </c>
      <c r="FD139" s="3">
        <f t="shared" si="159"/>
        <v>0</v>
      </c>
      <c r="FE139" s="3">
        <f t="shared" si="159"/>
        <v>0</v>
      </c>
      <c r="FF139" s="3">
        <f t="shared" si="159"/>
        <v>0</v>
      </c>
      <c r="FG139" s="3">
        <f t="shared" si="159"/>
        <v>0</v>
      </c>
      <c r="FH139" s="3">
        <f t="shared" si="159"/>
        <v>0</v>
      </c>
      <c r="FI139" s="3">
        <f t="shared" si="159"/>
        <v>0</v>
      </c>
      <c r="FJ139" s="3">
        <f t="shared" si="159"/>
        <v>0</v>
      </c>
      <c r="FK139" s="3">
        <f t="shared" si="159"/>
        <v>0</v>
      </c>
      <c r="FL139" s="3">
        <f t="shared" si="159"/>
        <v>0</v>
      </c>
      <c r="FM139" s="3">
        <f t="shared" si="159"/>
        <v>0</v>
      </c>
      <c r="FN139" s="3">
        <f t="shared" si="159"/>
        <v>0</v>
      </c>
      <c r="FO139" s="3">
        <f t="shared" si="159"/>
        <v>0</v>
      </c>
      <c r="FP139" s="3">
        <f t="shared" si="159"/>
        <v>0</v>
      </c>
      <c r="FQ139" s="3">
        <f t="shared" si="159"/>
        <v>0</v>
      </c>
      <c r="FR139" s="3">
        <f t="shared" si="159"/>
        <v>0</v>
      </c>
      <c r="FS139" s="3">
        <f t="shared" ref="FS139:GX139" si="160">FS152</f>
        <v>0</v>
      </c>
      <c r="FT139" s="3">
        <f t="shared" si="160"/>
        <v>0</v>
      </c>
      <c r="FU139" s="3">
        <f t="shared" si="160"/>
        <v>0</v>
      </c>
      <c r="FV139" s="3">
        <f t="shared" si="160"/>
        <v>0</v>
      </c>
      <c r="FW139" s="3">
        <f t="shared" si="160"/>
        <v>0</v>
      </c>
      <c r="FX139" s="3">
        <f t="shared" si="160"/>
        <v>0</v>
      </c>
      <c r="FY139" s="3">
        <f t="shared" si="160"/>
        <v>0</v>
      </c>
      <c r="FZ139" s="3">
        <f t="shared" si="160"/>
        <v>0</v>
      </c>
      <c r="GA139" s="3">
        <f t="shared" si="160"/>
        <v>0</v>
      </c>
      <c r="GB139" s="3">
        <f t="shared" si="160"/>
        <v>0</v>
      </c>
      <c r="GC139" s="3">
        <f t="shared" si="160"/>
        <v>0</v>
      </c>
      <c r="GD139" s="3">
        <f t="shared" si="160"/>
        <v>0</v>
      </c>
      <c r="GE139" s="3">
        <f t="shared" si="160"/>
        <v>0</v>
      </c>
      <c r="GF139" s="3">
        <f t="shared" si="160"/>
        <v>0</v>
      </c>
      <c r="GG139" s="3">
        <f t="shared" si="160"/>
        <v>0</v>
      </c>
      <c r="GH139" s="3">
        <f t="shared" si="160"/>
        <v>0</v>
      </c>
      <c r="GI139" s="3">
        <f t="shared" si="160"/>
        <v>0</v>
      </c>
      <c r="GJ139" s="3">
        <f t="shared" si="160"/>
        <v>0</v>
      </c>
      <c r="GK139" s="3">
        <f t="shared" si="160"/>
        <v>0</v>
      </c>
      <c r="GL139" s="3">
        <f t="shared" si="160"/>
        <v>0</v>
      </c>
      <c r="GM139" s="3">
        <f t="shared" si="160"/>
        <v>0</v>
      </c>
      <c r="GN139" s="3">
        <f t="shared" si="160"/>
        <v>0</v>
      </c>
      <c r="GO139" s="3">
        <f t="shared" si="160"/>
        <v>0</v>
      </c>
      <c r="GP139" s="3">
        <f t="shared" si="160"/>
        <v>0</v>
      </c>
      <c r="GQ139" s="3">
        <f t="shared" si="160"/>
        <v>0</v>
      </c>
      <c r="GR139" s="3">
        <f t="shared" si="160"/>
        <v>0</v>
      </c>
      <c r="GS139" s="3">
        <f t="shared" si="160"/>
        <v>0</v>
      </c>
      <c r="GT139" s="3">
        <f t="shared" si="160"/>
        <v>0</v>
      </c>
      <c r="GU139" s="3">
        <f t="shared" si="160"/>
        <v>0</v>
      </c>
      <c r="GV139" s="3">
        <f t="shared" si="160"/>
        <v>0</v>
      </c>
      <c r="GW139" s="3">
        <f t="shared" si="160"/>
        <v>0</v>
      </c>
      <c r="GX139" s="3">
        <f t="shared" si="160"/>
        <v>0</v>
      </c>
    </row>
    <row r="141" spans="1:245" x14ac:dyDescent="0.2">
      <c r="A141">
        <v>17</v>
      </c>
      <c r="B141">
        <v>1</v>
      </c>
      <c r="C141">
        <f>ROW(SmtRes!A204)</f>
        <v>204</v>
      </c>
      <c r="D141">
        <f>ROW(EtalonRes!A198)</f>
        <v>198</v>
      </c>
      <c r="E141" t="s">
        <v>414</v>
      </c>
      <c r="F141" t="s">
        <v>415</v>
      </c>
      <c r="G141" t="s">
        <v>416</v>
      </c>
      <c r="H141" t="s">
        <v>55</v>
      </c>
      <c r="I141">
        <f>ROUND(11/100,9)</f>
        <v>0.11</v>
      </c>
      <c r="J141">
        <v>0</v>
      </c>
      <c r="O141">
        <f t="shared" ref="O141:O150" si="161">ROUND(CP141,2)</f>
        <v>690.65</v>
      </c>
      <c r="P141">
        <f t="shared" ref="P141:P150" si="162">ROUND(CQ141*I141,2)</f>
        <v>0</v>
      </c>
      <c r="Q141">
        <f t="shared" ref="Q141:Q150" si="163">ROUND(CR141*I141,2)</f>
        <v>51.68</v>
      </c>
      <c r="R141">
        <f t="shared" ref="R141:R150" si="164">ROUND(CS141*I141,2)</f>
        <v>22.32</v>
      </c>
      <c r="S141">
        <f t="shared" ref="S141:S150" si="165">ROUND(CT141*I141,2)</f>
        <v>638.97</v>
      </c>
      <c r="T141">
        <f t="shared" ref="T141:T150" si="166">ROUND(CU141*I141,2)</f>
        <v>0</v>
      </c>
      <c r="U141">
        <f t="shared" ref="U141:U150" si="167">CV141*I141</f>
        <v>12.1</v>
      </c>
      <c r="V141">
        <f t="shared" ref="V141:V150" si="168">CW141*I141</f>
        <v>0.24640000000000004</v>
      </c>
      <c r="W141">
        <f t="shared" ref="W141:W150" si="169">ROUND(CX141*I141,2)</f>
        <v>0</v>
      </c>
      <c r="X141">
        <f t="shared" ref="X141:X150" si="170">ROUND(CY141,2)</f>
        <v>489.35</v>
      </c>
      <c r="Y141">
        <f t="shared" ref="Y141:Y150" si="171">ROUND(CZ141,2)</f>
        <v>330.65</v>
      </c>
      <c r="AA141">
        <v>16812721</v>
      </c>
      <c r="AB141">
        <f t="shared" ref="AB141:AB150" si="172">ROUND((AC141+AD141+AF141),2)</f>
        <v>935.72</v>
      </c>
      <c r="AC141">
        <f t="shared" ref="AC141:AC150" si="173">ROUND((ES141),2)</f>
        <v>0</v>
      </c>
      <c r="AD141">
        <f t="shared" ref="AD141:AD150" si="174">ROUND((((ET141)-(EU141))+AE141),2)</f>
        <v>70.02</v>
      </c>
      <c r="AE141">
        <f t="shared" ref="AE141:AE150" si="175">ROUND((EU141),2)</f>
        <v>30.24</v>
      </c>
      <c r="AF141">
        <f t="shared" ref="AF141:AF150" si="176">ROUND((EV141),2)</f>
        <v>865.7</v>
      </c>
      <c r="AG141">
        <f t="shared" ref="AG141:AG150" si="177">ROUND((AP141),2)</f>
        <v>0</v>
      </c>
      <c r="AH141">
        <f t="shared" ref="AH141:AH150" si="178">(EW141)</f>
        <v>110</v>
      </c>
      <c r="AI141">
        <f t="shared" ref="AI141:AI150" si="179">(EX141)</f>
        <v>2.2400000000000002</v>
      </c>
      <c r="AJ141">
        <f t="shared" ref="AJ141:AJ150" si="180">(AS141)</f>
        <v>0</v>
      </c>
      <c r="AK141">
        <v>935.72</v>
      </c>
      <c r="AL141">
        <v>0</v>
      </c>
      <c r="AM141">
        <v>70.02</v>
      </c>
      <c r="AN141">
        <v>30.24</v>
      </c>
      <c r="AO141">
        <v>865.7</v>
      </c>
      <c r="AP141">
        <v>0</v>
      </c>
      <c r="AQ141">
        <v>110</v>
      </c>
      <c r="AR141">
        <v>2.2400000000000002</v>
      </c>
      <c r="AS141">
        <v>0</v>
      </c>
      <c r="AT141">
        <v>74</v>
      </c>
      <c r="AU141">
        <v>50</v>
      </c>
      <c r="AV141">
        <v>1</v>
      </c>
      <c r="AW141">
        <v>1</v>
      </c>
      <c r="AZ141">
        <v>6.71</v>
      </c>
      <c r="BA141">
        <v>6.71</v>
      </c>
      <c r="BB141">
        <v>6.71</v>
      </c>
      <c r="BC141">
        <v>6.71</v>
      </c>
      <c r="BD141" t="s">
        <v>6</v>
      </c>
      <c r="BE141" t="s">
        <v>6</v>
      </c>
      <c r="BF141" t="s">
        <v>6</v>
      </c>
      <c r="BG141" t="s">
        <v>6</v>
      </c>
      <c r="BH141">
        <v>0</v>
      </c>
      <c r="BI141">
        <v>1</v>
      </c>
      <c r="BJ141" t="s">
        <v>417</v>
      </c>
      <c r="BM141">
        <v>65003</v>
      </c>
      <c r="BN141">
        <v>0</v>
      </c>
      <c r="BO141" t="s">
        <v>6</v>
      </c>
      <c r="BP141">
        <v>0</v>
      </c>
      <c r="BQ141">
        <v>6</v>
      </c>
      <c r="BR141">
        <v>0</v>
      </c>
      <c r="BS141">
        <v>6.71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74</v>
      </c>
      <c r="CA141">
        <v>50</v>
      </c>
      <c r="CE141">
        <v>0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ref="CP141:CP150" si="181">(P141+Q141+S141)</f>
        <v>690.65</v>
      </c>
      <c r="CQ141">
        <f t="shared" ref="CQ141:CQ150" si="182">AC141*BC141</f>
        <v>0</v>
      </c>
      <c r="CR141">
        <f t="shared" ref="CR141:CR150" si="183">AD141*BB141</f>
        <v>469.83419999999995</v>
      </c>
      <c r="CS141">
        <f t="shared" ref="CS141:CS150" si="184">AE141*BS141</f>
        <v>202.91039999999998</v>
      </c>
      <c r="CT141">
        <f t="shared" ref="CT141:CT150" si="185">AF141*BA141</f>
        <v>5808.8470000000007</v>
      </c>
      <c r="CU141">
        <f t="shared" ref="CU141:CU150" si="186">AG141</f>
        <v>0</v>
      </c>
      <c r="CV141">
        <f t="shared" ref="CV141:CV150" si="187">AH141</f>
        <v>110</v>
      </c>
      <c r="CW141">
        <f t="shared" ref="CW141:CW150" si="188">AI141</f>
        <v>2.2400000000000002</v>
      </c>
      <c r="CX141">
        <f t="shared" ref="CX141:CX150" si="189">AJ141</f>
        <v>0</v>
      </c>
      <c r="CY141">
        <f t="shared" ref="CY141:CY150" si="190">(((S141+R141)*AT141)/100)</f>
        <v>489.35460000000006</v>
      </c>
      <c r="CZ141">
        <f t="shared" ref="CZ141:CZ150" si="191">(((S141+R141)*AU141)/100)</f>
        <v>330.6450000000001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1013</v>
      </c>
      <c r="DV141" t="s">
        <v>55</v>
      </c>
      <c r="DW141" t="s">
        <v>55</v>
      </c>
      <c r="DX141">
        <v>1</v>
      </c>
      <c r="EE141">
        <v>16510578</v>
      </c>
      <c r="EF141">
        <v>6</v>
      </c>
      <c r="EG141" t="s">
        <v>41</v>
      </c>
      <c r="EH141">
        <v>0</v>
      </c>
      <c r="EI141" t="s">
        <v>6</v>
      </c>
      <c r="EJ141">
        <v>1</v>
      </c>
      <c r="EK141">
        <v>65003</v>
      </c>
      <c r="EL141" t="s">
        <v>418</v>
      </c>
      <c r="EM141" t="s">
        <v>58</v>
      </c>
      <c r="EO141" t="s">
        <v>6</v>
      </c>
      <c r="EQ141">
        <v>131072</v>
      </c>
      <c r="ER141">
        <v>935.72</v>
      </c>
      <c r="ES141">
        <v>0</v>
      </c>
      <c r="ET141">
        <v>70.02</v>
      </c>
      <c r="EU141">
        <v>30.24</v>
      </c>
      <c r="EV141">
        <v>865.7</v>
      </c>
      <c r="EW141">
        <v>110</v>
      </c>
      <c r="EX141">
        <v>2.2400000000000002</v>
      </c>
      <c r="EY141">
        <v>0</v>
      </c>
      <c r="FQ141">
        <v>0</v>
      </c>
      <c r="FR141">
        <f t="shared" ref="FR141:FR150" si="192">ROUND(IF(AND(BH141=3,BI141=3),P141,0),2)</f>
        <v>0</v>
      </c>
      <c r="FS141">
        <v>0</v>
      </c>
      <c r="FX141">
        <v>74</v>
      </c>
      <c r="FY141">
        <v>50</v>
      </c>
      <c r="GA141" t="s">
        <v>6</v>
      </c>
      <c r="GD141">
        <v>0</v>
      </c>
      <c r="GF141">
        <v>-741186539</v>
      </c>
      <c r="GG141">
        <v>1</v>
      </c>
      <c r="GH141">
        <v>1</v>
      </c>
      <c r="GI141">
        <v>4</v>
      </c>
      <c r="GJ141">
        <v>0</v>
      </c>
      <c r="GK141">
        <f>ROUND(R141*(R12)/100,2)</f>
        <v>0</v>
      </c>
      <c r="GL141">
        <f t="shared" ref="GL141:GL150" si="193">ROUND(IF(AND(BH141=3,BI141=3,FS141&lt;&gt;0),P141,0),2)</f>
        <v>0</v>
      </c>
      <c r="GM141">
        <f t="shared" ref="GM141:GM150" si="194">ROUND(O141+X141+Y141+GK141,2)+GX141</f>
        <v>1510.65</v>
      </c>
      <c r="GN141">
        <f t="shared" ref="GN141:GN150" si="195">IF(OR(BI141=0,BI141=1),ROUND(O141+X141+Y141+GK141,2),0)</f>
        <v>1510.65</v>
      </c>
      <c r="GO141">
        <f t="shared" ref="GO141:GO150" si="196">IF(BI141=2,ROUND(O141+X141+Y141+GK141,2),0)</f>
        <v>0</v>
      </c>
      <c r="GP141">
        <f t="shared" ref="GP141:GP150" si="197">IF(BI141=4,ROUND(O141+X141+Y141+GK141,2)+GX141,0)</f>
        <v>0</v>
      </c>
      <c r="GR141">
        <v>0</v>
      </c>
      <c r="GS141">
        <v>0</v>
      </c>
      <c r="GT141">
        <v>0</v>
      </c>
      <c r="GU141" t="s">
        <v>6</v>
      </c>
      <c r="GV141">
        <f t="shared" ref="GV141:GV150" si="198">ROUND((GT141),2)</f>
        <v>0</v>
      </c>
      <c r="GW141">
        <v>1</v>
      </c>
      <c r="GX141">
        <f t="shared" ref="GX141:GX150" si="199">ROUND(HC141*I141,2)</f>
        <v>0</v>
      </c>
      <c r="HA141">
        <v>0</v>
      </c>
      <c r="HB141">
        <v>0</v>
      </c>
      <c r="HC141">
        <f t="shared" ref="HC141:HC150" si="200">GV141*GW141</f>
        <v>0</v>
      </c>
      <c r="IK141">
        <v>0</v>
      </c>
    </row>
    <row r="142" spans="1:245" x14ac:dyDescent="0.2">
      <c r="A142">
        <v>17</v>
      </c>
      <c r="B142">
        <v>1</v>
      </c>
      <c r="C142">
        <f>ROW(SmtRes!A215)</f>
        <v>215</v>
      </c>
      <c r="D142">
        <f>ROW(EtalonRes!A210)</f>
        <v>210</v>
      </c>
      <c r="E142" t="s">
        <v>419</v>
      </c>
      <c r="F142" t="s">
        <v>420</v>
      </c>
      <c r="G142" t="s">
        <v>421</v>
      </c>
      <c r="H142" t="s">
        <v>422</v>
      </c>
      <c r="I142">
        <f>ROUND(23.04/100,9)</f>
        <v>0.23039999999999999</v>
      </c>
      <c r="J142">
        <v>0</v>
      </c>
      <c r="O142">
        <f t="shared" si="161"/>
        <v>3002.72</v>
      </c>
      <c r="P142">
        <f t="shared" si="162"/>
        <v>1795.29</v>
      </c>
      <c r="Q142">
        <f t="shared" si="163"/>
        <v>297.73</v>
      </c>
      <c r="R142">
        <f t="shared" si="164"/>
        <v>59.91</v>
      </c>
      <c r="S142">
        <f t="shared" si="165"/>
        <v>909.7</v>
      </c>
      <c r="T142">
        <f t="shared" si="166"/>
        <v>0</v>
      </c>
      <c r="U142">
        <f t="shared" si="167"/>
        <v>15.114239999999999</v>
      </c>
      <c r="V142">
        <f t="shared" si="168"/>
        <v>0.7211519999999999</v>
      </c>
      <c r="W142">
        <f t="shared" si="169"/>
        <v>0</v>
      </c>
      <c r="X142">
        <f t="shared" si="170"/>
        <v>1115.05</v>
      </c>
      <c r="Y142">
        <f t="shared" si="171"/>
        <v>688.42</v>
      </c>
      <c r="AA142">
        <v>16812721</v>
      </c>
      <c r="AB142">
        <f t="shared" si="172"/>
        <v>1942.27</v>
      </c>
      <c r="AC142">
        <f t="shared" si="173"/>
        <v>1161.26</v>
      </c>
      <c r="AD142">
        <f t="shared" si="174"/>
        <v>192.58</v>
      </c>
      <c r="AE142">
        <f t="shared" si="175"/>
        <v>38.75</v>
      </c>
      <c r="AF142">
        <f t="shared" si="176"/>
        <v>588.42999999999995</v>
      </c>
      <c r="AG142">
        <f t="shared" si="177"/>
        <v>0</v>
      </c>
      <c r="AH142">
        <f t="shared" si="178"/>
        <v>65.599999999999994</v>
      </c>
      <c r="AI142">
        <f t="shared" si="179"/>
        <v>3.13</v>
      </c>
      <c r="AJ142">
        <f t="shared" si="180"/>
        <v>0</v>
      </c>
      <c r="AK142">
        <v>1942.27</v>
      </c>
      <c r="AL142">
        <v>1161.26</v>
      </c>
      <c r="AM142">
        <v>192.58</v>
      </c>
      <c r="AN142">
        <v>38.75</v>
      </c>
      <c r="AO142">
        <v>588.42999999999995</v>
      </c>
      <c r="AP142">
        <v>0</v>
      </c>
      <c r="AQ142">
        <v>65.599999999999994</v>
      </c>
      <c r="AR142">
        <v>3.13</v>
      </c>
      <c r="AS142">
        <v>0</v>
      </c>
      <c r="AT142">
        <v>115</v>
      </c>
      <c r="AU142">
        <v>71</v>
      </c>
      <c r="AV142">
        <v>1</v>
      </c>
      <c r="AW142">
        <v>1</v>
      </c>
      <c r="AZ142">
        <v>6.71</v>
      </c>
      <c r="BA142">
        <v>6.71</v>
      </c>
      <c r="BB142">
        <v>6.71</v>
      </c>
      <c r="BC142">
        <v>6.71</v>
      </c>
      <c r="BD142" t="s">
        <v>6</v>
      </c>
      <c r="BE142" t="s">
        <v>6</v>
      </c>
      <c r="BF142" t="s">
        <v>6</v>
      </c>
      <c r="BG142" t="s">
        <v>6</v>
      </c>
      <c r="BH142">
        <v>0</v>
      </c>
      <c r="BI142">
        <v>1</v>
      </c>
      <c r="BJ142" t="s">
        <v>423</v>
      </c>
      <c r="BM142">
        <v>18001</v>
      </c>
      <c r="BN142">
        <v>0</v>
      </c>
      <c r="BO142" t="s">
        <v>6</v>
      </c>
      <c r="BP142">
        <v>0</v>
      </c>
      <c r="BQ142">
        <v>2</v>
      </c>
      <c r="BR142">
        <v>0</v>
      </c>
      <c r="BS142">
        <v>6.71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6</v>
      </c>
      <c r="BZ142">
        <v>128</v>
      </c>
      <c r="CA142">
        <v>83</v>
      </c>
      <c r="CE142">
        <v>0</v>
      </c>
      <c r="CF142">
        <v>0</v>
      </c>
      <c r="CG142">
        <v>0</v>
      </c>
      <c r="CM142">
        <v>0</v>
      </c>
      <c r="CN142" t="s">
        <v>6</v>
      </c>
      <c r="CO142">
        <v>0</v>
      </c>
      <c r="CP142">
        <f t="shared" si="181"/>
        <v>3002.7200000000003</v>
      </c>
      <c r="CQ142">
        <f t="shared" si="182"/>
        <v>7792.0545999999995</v>
      </c>
      <c r="CR142">
        <f t="shared" si="183"/>
        <v>1292.2118</v>
      </c>
      <c r="CS142">
        <f t="shared" si="184"/>
        <v>260.01249999999999</v>
      </c>
      <c r="CT142">
        <f t="shared" si="185"/>
        <v>3948.3652999999995</v>
      </c>
      <c r="CU142">
        <f t="shared" si="186"/>
        <v>0</v>
      </c>
      <c r="CV142">
        <f t="shared" si="187"/>
        <v>65.599999999999994</v>
      </c>
      <c r="CW142">
        <f t="shared" si="188"/>
        <v>3.13</v>
      </c>
      <c r="CX142">
        <f t="shared" si="189"/>
        <v>0</v>
      </c>
      <c r="CY142">
        <f t="shared" si="190"/>
        <v>1115.0515</v>
      </c>
      <c r="CZ142">
        <f t="shared" si="191"/>
        <v>688.42309999999998</v>
      </c>
      <c r="DC142" t="s">
        <v>6</v>
      </c>
      <c r="DD142" t="s">
        <v>6</v>
      </c>
      <c r="DE142" t="s">
        <v>6</v>
      </c>
      <c r="DF142" t="s">
        <v>6</v>
      </c>
      <c r="DG142" t="s">
        <v>6</v>
      </c>
      <c r="DH142" t="s">
        <v>6</v>
      </c>
      <c r="DI142" t="s">
        <v>6</v>
      </c>
      <c r="DJ142" t="s">
        <v>6</v>
      </c>
      <c r="DK142" t="s">
        <v>6</v>
      </c>
      <c r="DL142" t="s">
        <v>6</v>
      </c>
      <c r="DM142" t="s">
        <v>6</v>
      </c>
      <c r="DN142">
        <v>0</v>
      </c>
      <c r="DO142">
        <v>0</v>
      </c>
      <c r="DP142">
        <v>1</v>
      </c>
      <c r="DQ142">
        <v>1</v>
      </c>
      <c r="DU142">
        <v>1013</v>
      </c>
      <c r="DV142" t="s">
        <v>422</v>
      </c>
      <c r="DW142" t="s">
        <v>422</v>
      </c>
      <c r="DX142">
        <v>1</v>
      </c>
      <c r="EE142">
        <v>16510516</v>
      </c>
      <c r="EF142">
        <v>2</v>
      </c>
      <c r="EG142" t="s">
        <v>20</v>
      </c>
      <c r="EH142">
        <v>0</v>
      </c>
      <c r="EI142" t="s">
        <v>6</v>
      </c>
      <c r="EJ142">
        <v>1</v>
      </c>
      <c r="EK142">
        <v>18001</v>
      </c>
      <c r="EL142" t="s">
        <v>424</v>
      </c>
      <c r="EM142" t="s">
        <v>425</v>
      </c>
      <c r="EO142" t="s">
        <v>6</v>
      </c>
      <c r="EQ142">
        <v>131072</v>
      </c>
      <c r="ER142">
        <v>1942.27</v>
      </c>
      <c r="ES142">
        <v>1161.26</v>
      </c>
      <c r="ET142">
        <v>192.58</v>
      </c>
      <c r="EU142">
        <v>38.75</v>
      </c>
      <c r="EV142">
        <v>588.42999999999995</v>
      </c>
      <c r="EW142">
        <v>65.599999999999994</v>
      </c>
      <c r="EX142">
        <v>3.13</v>
      </c>
      <c r="EY142">
        <v>0</v>
      </c>
      <c r="FQ142">
        <v>0</v>
      </c>
      <c r="FR142">
        <f t="shared" si="192"/>
        <v>0</v>
      </c>
      <c r="FS142">
        <v>0</v>
      </c>
      <c r="FT142" t="s">
        <v>23</v>
      </c>
      <c r="FU142" t="s">
        <v>24</v>
      </c>
      <c r="FX142">
        <v>115.2</v>
      </c>
      <c r="FY142">
        <v>70.55</v>
      </c>
      <c r="GA142" t="s">
        <v>6</v>
      </c>
      <c r="GD142">
        <v>0</v>
      </c>
      <c r="GF142">
        <v>-243626587</v>
      </c>
      <c r="GG142">
        <v>1</v>
      </c>
      <c r="GH142">
        <v>1</v>
      </c>
      <c r="GI142">
        <v>4</v>
      </c>
      <c r="GJ142">
        <v>0</v>
      </c>
      <c r="GK142">
        <f>ROUND(R142*(R12)/100,2)</f>
        <v>0</v>
      </c>
      <c r="GL142">
        <f t="shared" si="193"/>
        <v>0</v>
      </c>
      <c r="GM142">
        <f t="shared" si="194"/>
        <v>4806.1899999999996</v>
      </c>
      <c r="GN142">
        <f t="shared" si="195"/>
        <v>4806.1899999999996</v>
      </c>
      <c r="GO142">
        <f t="shared" si="196"/>
        <v>0</v>
      </c>
      <c r="GP142">
        <f t="shared" si="197"/>
        <v>0</v>
      </c>
      <c r="GR142">
        <v>0</v>
      </c>
      <c r="GS142">
        <v>0</v>
      </c>
      <c r="GT142">
        <v>0</v>
      </c>
      <c r="GU142" t="s">
        <v>6</v>
      </c>
      <c r="GV142">
        <f t="shared" si="198"/>
        <v>0</v>
      </c>
      <c r="GW142">
        <v>1</v>
      </c>
      <c r="GX142">
        <f t="shared" si="199"/>
        <v>0</v>
      </c>
      <c r="HA142">
        <v>0</v>
      </c>
      <c r="HB142">
        <v>0</v>
      </c>
      <c r="HC142">
        <f t="shared" si="200"/>
        <v>0</v>
      </c>
      <c r="IK142">
        <v>0</v>
      </c>
    </row>
    <row r="143" spans="1:245" x14ac:dyDescent="0.2">
      <c r="A143">
        <v>18</v>
      </c>
      <c r="B143">
        <v>1</v>
      </c>
      <c r="C143">
        <v>214</v>
      </c>
      <c r="E143" t="s">
        <v>426</v>
      </c>
      <c r="F143" t="s">
        <v>427</v>
      </c>
      <c r="G143" t="s">
        <v>428</v>
      </c>
      <c r="H143" t="s">
        <v>62</v>
      </c>
      <c r="I143">
        <f>I142*J143</f>
        <v>11</v>
      </c>
      <c r="J143">
        <v>47.743055555555557</v>
      </c>
      <c r="O143">
        <f t="shared" si="161"/>
        <v>110987.36</v>
      </c>
      <c r="P143">
        <f t="shared" si="162"/>
        <v>110987.36</v>
      </c>
      <c r="Q143">
        <f t="shared" si="163"/>
        <v>0</v>
      </c>
      <c r="R143">
        <f t="shared" si="164"/>
        <v>0</v>
      </c>
      <c r="S143">
        <f t="shared" si="165"/>
        <v>0</v>
      </c>
      <c r="T143">
        <f t="shared" si="166"/>
        <v>0</v>
      </c>
      <c r="U143">
        <f t="shared" si="167"/>
        <v>0</v>
      </c>
      <c r="V143">
        <f t="shared" si="168"/>
        <v>0</v>
      </c>
      <c r="W143">
        <f t="shared" si="169"/>
        <v>0</v>
      </c>
      <c r="X143">
        <f t="shared" si="170"/>
        <v>0</v>
      </c>
      <c r="Y143">
        <f t="shared" si="171"/>
        <v>0</v>
      </c>
      <c r="AA143">
        <v>16812721</v>
      </c>
      <c r="AB143">
        <f t="shared" si="172"/>
        <v>1503.69</v>
      </c>
      <c r="AC143">
        <f t="shared" si="173"/>
        <v>1503.69</v>
      </c>
      <c r="AD143">
        <f t="shared" si="174"/>
        <v>0</v>
      </c>
      <c r="AE143">
        <f t="shared" si="175"/>
        <v>0</v>
      </c>
      <c r="AF143">
        <f t="shared" si="176"/>
        <v>0</v>
      </c>
      <c r="AG143">
        <f t="shared" si="177"/>
        <v>0</v>
      </c>
      <c r="AH143">
        <f t="shared" si="178"/>
        <v>0</v>
      </c>
      <c r="AI143">
        <f t="shared" si="179"/>
        <v>0</v>
      </c>
      <c r="AJ143">
        <f t="shared" si="180"/>
        <v>0</v>
      </c>
      <c r="AK143">
        <v>1503.69</v>
      </c>
      <c r="AL143">
        <v>1503.69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115</v>
      </c>
      <c r="AU143">
        <v>71</v>
      </c>
      <c r="AV143">
        <v>1</v>
      </c>
      <c r="AW143">
        <v>1</v>
      </c>
      <c r="AZ143">
        <v>6.71</v>
      </c>
      <c r="BA143">
        <v>1</v>
      </c>
      <c r="BB143">
        <v>1</v>
      </c>
      <c r="BC143">
        <v>6.71</v>
      </c>
      <c r="BD143" t="s">
        <v>6</v>
      </c>
      <c r="BE143" t="s">
        <v>6</v>
      </c>
      <c r="BF143" t="s">
        <v>6</v>
      </c>
      <c r="BG143" t="s">
        <v>6</v>
      </c>
      <c r="BH143">
        <v>3</v>
      </c>
      <c r="BI143">
        <v>1</v>
      </c>
      <c r="BJ143" t="s">
        <v>429</v>
      </c>
      <c r="BM143">
        <v>18001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128</v>
      </c>
      <c r="CA143">
        <v>83</v>
      </c>
      <c r="CE143">
        <v>0</v>
      </c>
      <c r="CF143">
        <v>0</v>
      </c>
      <c r="CG143">
        <v>0</v>
      </c>
      <c r="CM143">
        <v>0</v>
      </c>
      <c r="CN143" t="s">
        <v>6</v>
      </c>
      <c r="CO143">
        <v>0</v>
      </c>
      <c r="CP143">
        <f t="shared" si="181"/>
        <v>110987.36</v>
      </c>
      <c r="CQ143">
        <f t="shared" si="182"/>
        <v>10089.759900000001</v>
      </c>
      <c r="CR143">
        <f t="shared" si="183"/>
        <v>0</v>
      </c>
      <c r="CS143">
        <f t="shared" si="184"/>
        <v>0</v>
      </c>
      <c r="CT143">
        <f t="shared" si="185"/>
        <v>0</v>
      </c>
      <c r="CU143">
        <f t="shared" si="186"/>
        <v>0</v>
      </c>
      <c r="CV143">
        <f t="shared" si="187"/>
        <v>0</v>
      </c>
      <c r="CW143">
        <f t="shared" si="188"/>
        <v>0</v>
      </c>
      <c r="CX143">
        <f t="shared" si="189"/>
        <v>0</v>
      </c>
      <c r="CY143">
        <f t="shared" si="190"/>
        <v>0</v>
      </c>
      <c r="CZ143">
        <f t="shared" si="191"/>
        <v>0</v>
      </c>
      <c r="DC143" t="s">
        <v>6</v>
      </c>
      <c r="DD143" t="s">
        <v>6</v>
      </c>
      <c r="DE143" t="s">
        <v>6</v>
      </c>
      <c r="DF143" t="s">
        <v>6</v>
      </c>
      <c r="DG143" t="s">
        <v>6</v>
      </c>
      <c r="DH143" t="s">
        <v>6</v>
      </c>
      <c r="DI143" t="s">
        <v>6</v>
      </c>
      <c r="DJ143" t="s">
        <v>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1010</v>
      </c>
      <c r="DV143" t="s">
        <v>62</v>
      </c>
      <c r="DW143" t="s">
        <v>62</v>
      </c>
      <c r="DX143">
        <v>1</v>
      </c>
      <c r="EE143">
        <v>16510516</v>
      </c>
      <c r="EF143">
        <v>2</v>
      </c>
      <c r="EG143" t="s">
        <v>20</v>
      </c>
      <c r="EH143">
        <v>0</v>
      </c>
      <c r="EI143" t="s">
        <v>6</v>
      </c>
      <c r="EJ143">
        <v>1</v>
      </c>
      <c r="EK143">
        <v>18001</v>
      </c>
      <c r="EL143" t="s">
        <v>424</v>
      </c>
      <c r="EM143" t="s">
        <v>425</v>
      </c>
      <c r="EO143" t="s">
        <v>6</v>
      </c>
      <c r="EQ143">
        <v>0</v>
      </c>
      <c r="ER143">
        <v>1503.69</v>
      </c>
      <c r="ES143">
        <v>1503.69</v>
      </c>
      <c r="ET143">
        <v>0</v>
      </c>
      <c r="EU143">
        <v>0</v>
      </c>
      <c r="EV143">
        <v>0</v>
      </c>
      <c r="EW143">
        <v>0</v>
      </c>
      <c r="EX143">
        <v>0</v>
      </c>
      <c r="FQ143">
        <v>0</v>
      </c>
      <c r="FR143">
        <f t="shared" si="192"/>
        <v>0</v>
      </c>
      <c r="FS143">
        <v>0</v>
      </c>
      <c r="FT143" t="s">
        <v>23</v>
      </c>
      <c r="FU143" t="s">
        <v>24</v>
      </c>
      <c r="FX143">
        <v>115.2</v>
      </c>
      <c r="FY143">
        <v>70.55</v>
      </c>
      <c r="GA143" t="s">
        <v>6</v>
      </c>
      <c r="GD143">
        <v>0</v>
      </c>
      <c r="GF143">
        <v>-2076158712</v>
      </c>
      <c r="GG143">
        <v>1</v>
      </c>
      <c r="GH143">
        <v>1</v>
      </c>
      <c r="GI143">
        <v>4</v>
      </c>
      <c r="GJ143">
        <v>0</v>
      </c>
      <c r="GK143">
        <f>ROUND(R143*(R12)/100,2)</f>
        <v>0</v>
      </c>
      <c r="GL143">
        <f t="shared" si="193"/>
        <v>0</v>
      </c>
      <c r="GM143">
        <f t="shared" si="194"/>
        <v>110987.36</v>
      </c>
      <c r="GN143">
        <f t="shared" si="195"/>
        <v>110987.36</v>
      </c>
      <c r="GO143">
        <f t="shared" si="196"/>
        <v>0</v>
      </c>
      <c r="GP143">
        <f t="shared" si="197"/>
        <v>0</v>
      </c>
      <c r="GR143">
        <v>0</v>
      </c>
      <c r="GS143">
        <v>0</v>
      </c>
      <c r="GT143">
        <v>0</v>
      </c>
      <c r="GU143" t="s">
        <v>6</v>
      </c>
      <c r="GV143">
        <f t="shared" si="198"/>
        <v>0</v>
      </c>
      <c r="GW143">
        <v>1</v>
      </c>
      <c r="GX143">
        <f t="shared" si="199"/>
        <v>0</v>
      </c>
      <c r="HA143">
        <v>0</v>
      </c>
      <c r="HB143">
        <v>0</v>
      </c>
      <c r="HC143">
        <f t="shared" si="200"/>
        <v>0</v>
      </c>
      <c r="IK143">
        <v>0</v>
      </c>
    </row>
    <row r="144" spans="1:245" x14ac:dyDescent="0.2">
      <c r="A144">
        <v>18</v>
      </c>
      <c r="B144">
        <v>1</v>
      </c>
      <c r="C144">
        <v>215</v>
      </c>
      <c r="E144" t="s">
        <v>430</v>
      </c>
      <c r="F144" t="s">
        <v>431</v>
      </c>
      <c r="G144" t="s">
        <v>432</v>
      </c>
      <c r="H144" t="s">
        <v>433</v>
      </c>
      <c r="I144">
        <f>I142*J144</f>
        <v>23.04</v>
      </c>
      <c r="J144">
        <v>100</v>
      </c>
      <c r="O144">
        <f t="shared" si="161"/>
        <v>0</v>
      </c>
      <c r="P144">
        <f t="shared" si="162"/>
        <v>0</v>
      </c>
      <c r="Q144">
        <f t="shared" si="163"/>
        <v>0</v>
      </c>
      <c r="R144">
        <f t="shared" si="164"/>
        <v>0</v>
      </c>
      <c r="S144">
        <f t="shared" si="165"/>
        <v>0</v>
      </c>
      <c r="T144">
        <f t="shared" si="166"/>
        <v>0</v>
      </c>
      <c r="U144">
        <f t="shared" si="167"/>
        <v>0</v>
      </c>
      <c r="V144">
        <f t="shared" si="168"/>
        <v>0</v>
      </c>
      <c r="W144">
        <f t="shared" si="169"/>
        <v>0</v>
      </c>
      <c r="X144">
        <f t="shared" si="170"/>
        <v>0</v>
      </c>
      <c r="Y144">
        <f t="shared" si="171"/>
        <v>0</v>
      </c>
      <c r="AA144">
        <v>16812721</v>
      </c>
      <c r="AB144">
        <f t="shared" si="172"/>
        <v>0</v>
      </c>
      <c r="AC144">
        <f t="shared" si="173"/>
        <v>0</v>
      </c>
      <c r="AD144">
        <f t="shared" si="174"/>
        <v>0</v>
      </c>
      <c r="AE144">
        <f t="shared" si="175"/>
        <v>0</v>
      </c>
      <c r="AF144">
        <f t="shared" si="176"/>
        <v>0</v>
      </c>
      <c r="AG144">
        <f t="shared" si="177"/>
        <v>0</v>
      </c>
      <c r="AH144">
        <f t="shared" si="178"/>
        <v>0</v>
      </c>
      <c r="AI144">
        <f t="shared" si="179"/>
        <v>0</v>
      </c>
      <c r="AJ144">
        <f t="shared" si="180"/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115</v>
      </c>
      <c r="AU144">
        <v>71</v>
      </c>
      <c r="AV144">
        <v>1</v>
      </c>
      <c r="AW144">
        <v>1</v>
      </c>
      <c r="AZ144">
        <v>6.71</v>
      </c>
      <c r="BA144">
        <v>1</v>
      </c>
      <c r="BB144">
        <v>1</v>
      </c>
      <c r="BC144">
        <v>6.71</v>
      </c>
      <c r="BD144" t="s">
        <v>6</v>
      </c>
      <c r="BE144" t="s">
        <v>6</v>
      </c>
      <c r="BF144" t="s">
        <v>6</v>
      </c>
      <c r="BG144" t="s">
        <v>6</v>
      </c>
      <c r="BH144">
        <v>3</v>
      </c>
      <c r="BI144">
        <v>1</v>
      </c>
      <c r="BJ144" t="s">
        <v>6</v>
      </c>
      <c r="BM144">
        <v>18001</v>
      </c>
      <c r="BN144">
        <v>0</v>
      </c>
      <c r="BO144" t="s">
        <v>6</v>
      </c>
      <c r="BP144">
        <v>0</v>
      </c>
      <c r="BQ144">
        <v>2</v>
      </c>
      <c r="BR144">
        <v>0</v>
      </c>
      <c r="BS144">
        <v>1</v>
      </c>
      <c r="BT144">
        <v>1</v>
      </c>
      <c r="BU144">
        <v>1</v>
      </c>
      <c r="BV144">
        <v>1</v>
      </c>
      <c r="BW144">
        <v>1</v>
      </c>
      <c r="BX144">
        <v>1</v>
      </c>
      <c r="BY144" t="s">
        <v>6</v>
      </c>
      <c r="BZ144">
        <v>128</v>
      </c>
      <c r="CA144">
        <v>83</v>
      </c>
      <c r="CE144">
        <v>0</v>
      </c>
      <c r="CF144">
        <v>0</v>
      </c>
      <c r="CG144">
        <v>0</v>
      </c>
      <c r="CM144">
        <v>0</v>
      </c>
      <c r="CN144" t="s">
        <v>6</v>
      </c>
      <c r="CO144">
        <v>0</v>
      </c>
      <c r="CP144">
        <f t="shared" si="181"/>
        <v>0</v>
      </c>
      <c r="CQ144">
        <f t="shared" si="182"/>
        <v>0</v>
      </c>
      <c r="CR144">
        <f t="shared" si="183"/>
        <v>0</v>
      </c>
      <c r="CS144">
        <f t="shared" si="184"/>
        <v>0</v>
      </c>
      <c r="CT144">
        <f t="shared" si="185"/>
        <v>0</v>
      </c>
      <c r="CU144">
        <f t="shared" si="186"/>
        <v>0</v>
      </c>
      <c r="CV144">
        <f t="shared" si="187"/>
        <v>0</v>
      </c>
      <c r="CW144">
        <f t="shared" si="188"/>
        <v>0</v>
      </c>
      <c r="CX144">
        <f t="shared" si="189"/>
        <v>0</v>
      </c>
      <c r="CY144">
        <f t="shared" si="190"/>
        <v>0</v>
      </c>
      <c r="CZ144">
        <f t="shared" si="191"/>
        <v>0</v>
      </c>
      <c r="DC144" t="s">
        <v>6</v>
      </c>
      <c r="DD144" t="s">
        <v>6</v>
      </c>
      <c r="DE144" t="s">
        <v>6</v>
      </c>
      <c r="DF144" t="s">
        <v>6</v>
      </c>
      <c r="DG144" t="s">
        <v>6</v>
      </c>
      <c r="DH144" t="s">
        <v>6</v>
      </c>
      <c r="DI144" t="s">
        <v>6</v>
      </c>
      <c r="DJ144" t="s">
        <v>6</v>
      </c>
      <c r="DK144" t="s">
        <v>6</v>
      </c>
      <c r="DL144" t="s">
        <v>6</v>
      </c>
      <c r="DM144" t="s">
        <v>6</v>
      </c>
      <c r="DN144">
        <v>0</v>
      </c>
      <c r="DO144">
        <v>0</v>
      </c>
      <c r="DP144">
        <v>1</v>
      </c>
      <c r="DQ144">
        <v>1</v>
      </c>
      <c r="DU144">
        <v>1013</v>
      </c>
      <c r="DV144" t="s">
        <v>433</v>
      </c>
      <c r="DW144" t="s">
        <v>433</v>
      </c>
      <c r="DX144">
        <v>1</v>
      </c>
      <c r="EE144">
        <v>16510516</v>
      </c>
      <c r="EF144">
        <v>2</v>
      </c>
      <c r="EG144" t="s">
        <v>20</v>
      </c>
      <c r="EH144">
        <v>0</v>
      </c>
      <c r="EI144" t="s">
        <v>6</v>
      </c>
      <c r="EJ144">
        <v>1</v>
      </c>
      <c r="EK144">
        <v>18001</v>
      </c>
      <c r="EL144" t="s">
        <v>424</v>
      </c>
      <c r="EM144" t="s">
        <v>425</v>
      </c>
      <c r="EO144" t="s">
        <v>6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FQ144">
        <v>0</v>
      </c>
      <c r="FR144">
        <f t="shared" si="192"/>
        <v>0</v>
      </c>
      <c r="FS144">
        <v>0</v>
      </c>
      <c r="FT144" t="s">
        <v>23</v>
      </c>
      <c r="FU144" t="s">
        <v>24</v>
      </c>
      <c r="FX144">
        <v>115.2</v>
      </c>
      <c r="FY144">
        <v>70.55</v>
      </c>
      <c r="GA144" t="s">
        <v>6</v>
      </c>
      <c r="GD144">
        <v>0</v>
      </c>
      <c r="GF144">
        <v>704408924</v>
      </c>
      <c r="GG144">
        <v>1</v>
      </c>
      <c r="GH144">
        <v>1</v>
      </c>
      <c r="GI144">
        <v>4</v>
      </c>
      <c r="GJ144">
        <v>0</v>
      </c>
      <c r="GK144">
        <f>ROUND(R144*(R12)/100,2)</f>
        <v>0</v>
      </c>
      <c r="GL144">
        <f t="shared" si="193"/>
        <v>0</v>
      </c>
      <c r="GM144">
        <f t="shared" si="194"/>
        <v>0</v>
      </c>
      <c r="GN144">
        <f t="shared" si="195"/>
        <v>0</v>
      </c>
      <c r="GO144">
        <f t="shared" si="196"/>
        <v>0</v>
      </c>
      <c r="GP144">
        <f t="shared" si="197"/>
        <v>0</v>
      </c>
      <c r="GR144">
        <v>0</v>
      </c>
      <c r="GS144">
        <v>3</v>
      </c>
      <c r="GT144">
        <v>0</v>
      </c>
      <c r="GU144" t="s">
        <v>6</v>
      </c>
      <c r="GV144">
        <f t="shared" si="198"/>
        <v>0</v>
      </c>
      <c r="GW144">
        <v>1</v>
      </c>
      <c r="GX144">
        <f t="shared" si="199"/>
        <v>0</v>
      </c>
      <c r="HA144">
        <v>0</v>
      </c>
      <c r="HB144">
        <v>0</v>
      </c>
      <c r="HC144">
        <f t="shared" si="200"/>
        <v>0</v>
      </c>
      <c r="IK144">
        <v>0</v>
      </c>
    </row>
    <row r="145" spans="1:245" x14ac:dyDescent="0.2">
      <c r="A145">
        <v>17</v>
      </c>
      <c r="B145">
        <v>1</v>
      </c>
      <c r="C145">
        <f>ROW(SmtRes!A223)</f>
        <v>223</v>
      </c>
      <c r="D145">
        <f>ROW(EtalonRes!A219)</f>
        <v>219</v>
      </c>
      <c r="E145" t="s">
        <v>434</v>
      </c>
      <c r="F145" t="s">
        <v>435</v>
      </c>
      <c r="G145" t="s">
        <v>436</v>
      </c>
      <c r="H145" t="s">
        <v>437</v>
      </c>
      <c r="I145">
        <v>22</v>
      </c>
      <c r="J145">
        <v>0</v>
      </c>
      <c r="O145">
        <f t="shared" si="161"/>
        <v>6205.94</v>
      </c>
      <c r="P145">
        <f t="shared" si="162"/>
        <v>3721.5</v>
      </c>
      <c r="Q145">
        <f t="shared" si="163"/>
        <v>516.66999999999996</v>
      </c>
      <c r="R145">
        <f t="shared" si="164"/>
        <v>17.71</v>
      </c>
      <c r="S145">
        <f t="shared" si="165"/>
        <v>1967.77</v>
      </c>
      <c r="T145">
        <f t="shared" si="166"/>
        <v>0</v>
      </c>
      <c r="U145">
        <f t="shared" si="167"/>
        <v>32.339999999999996</v>
      </c>
      <c r="V145">
        <f t="shared" si="168"/>
        <v>0.22</v>
      </c>
      <c r="W145">
        <f t="shared" si="169"/>
        <v>0</v>
      </c>
      <c r="X145">
        <f t="shared" si="170"/>
        <v>2283.3000000000002</v>
      </c>
      <c r="Y145">
        <f t="shared" si="171"/>
        <v>1409.69</v>
      </c>
      <c r="AA145">
        <v>16812721</v>
      </c>
      <c r="AB145">
        <f t="shared" si="172"/>
        <v>42.04</v>
      </c>
      <c r="AC145">
        <f t="shared" si="173"/>
        <v>25.21</v>
      </c>
      <c r="AD145">
        <f t="shared" si="174"/>
        <v>3.5</v>
      </c>
      <c r="AE145">
        <f t="shared" si="175"/>
        <v>0.12</v>
      </c>
      <c r="AF145">
        <f t="shared" si="176"/>
        <v>13.33</v>
      </c>
      <c r="AG145">
        <f t="shared" si="177"/>
        <v>0</v>
      </c>
      <c r="AH145">
        <f t="shared" si="178"/>
        <v>1.47</v>
      </c>
      <c r="AI145">
        <f t="shared" si="179"/>
        <v>0.01</v>
      </c>
      <c r="AJ145">
        <f t="shared" si="180"/>
        <v>0</v>
      </c>
      <c r="AK145">
        <v>42.04</v>
      </c>
      <c r="AL145">
        <v>25.21</v>
      </c>
      <c r="AM145">
        <v>3.5</v>
      </c>
      <c r="AN145">
        <v>0.12</v>
      </c>
      <c r="AO145">
        <v>13.33</v>
      </c>
      <c r="AP145">
        <v>0</v>
      </c>
      <c r="AQ145">
        <v>1.47</v>
      </c>
      <c r="AR145">
        <v>0.01</v>
      </c>
      <c r="AS145">
        <v>0</v>
      </c>
      <c r="AT145">
        <v>115</v>
      </c>
      <c r="AU145">
        <v>71</v>
      </c>
      <c r="AV145">
        <v>1</v>
      </c>
      <c r="AW145">
        <v>1</v>
      </c>
      <c r="AZ145">
        <v>6.71</v>
      </c>
      <c r="BA145">
        <v>6.71</v>
      </c>
      <c r="BB145">
        <v>6.71</v>
      </c>
      <c r="BC145">
        <v>6.71</v>
      </c>
      <c r="BD145" t="s">
        <v>6</v>
      </c>
      <c r="BE145" t="s">
        <v>6</v>
      </c>
      <c r="BF145" t="s">
        <v>6</v>
      </c>
      <c r="BG145" t="s">
        <v>6</v>
      </c>
      <c r="BH145">
        <v>0</v>
      </c>
      <c r="BI145">
        <v>1</v>
      </c>
      <c r="BJ145" t="s">
        <v>438</v>
      </c>
      <c r="BM145">
        <v>16001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6.71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128</v>
      </c>
      <c r="CA145">
        <v>83</v>
      </c>
      <c r="CE145">
        <v>0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81"/>
        <v>6205.9400000000005</v>
      </c>
      <c r="CQ145">
        <f t="shared" si="182"/>
        <v>169.1591</v>
      </c>
      <c r="CR145">
        <f t="shared" si="183"/>
        <v>23.484999999999999</v>
      </c>
      <c r="CS145">
        <f t="shared" si="184"/>
        <v>0.80519999999999992</v>
      </c>
      <c r="CT145">
        <f t="shared" si="185"/>
        <v>89.444299999999998</v>
      </c>
      <c r="CU145">
        <f t="shared" si="186"/>
        <v>0</v>
      </c>
      <c r="CV145">
        <f t="shared" si="187"/>
        <v>1.47</v>
      </c>
      <c r="CW145">
        <f t="shared" si="188"/>
        <v>0.01</v>
      </c>
      <c r="CX145">
        <f t="shared" si="189"/>
        <v>0</v>
      </c>
      <c r="CY145">
        <f t="shared" si="190"/>
        <v>2283.3020000000001</v>
      </c>
      <c r="CZ145">
        <f t="shared" si="191"/>
        <v>1409.6907999999999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1013</v>
      </c>
      <c r="DV145" t="s">
        <v>437</v>
      </c>
      <c r="DW145" t="s">
        <v>437</v>
      </c>
      <c r="DX145">
        <v>1</v>
      </c>
      <c r="EE145">
        <v>16510514</v>
      </c>
      <c r="EF145">
        <v>2</v>
      </c>
      <c r="EG145" t="s">
        <v>20</v>
      </c>
      <c r="EH145">
        <v>0</v>
      </c>
      <c r="EI145" t="s">
        <v>6</v>
      </c>
      <c r="EJ145">
        <v>1</v>
      </c>
      <c r="EK145">
        <v>16001</v>
      </c>
      <c r="EL145" t="s">
        <v>439</v>
      </c>
      <c r="EM145" t="s">
        <v>440</v>
      </c>
      <c r="EO145" t="s">
        <v>6</v>
      </c>
      <c r="EQ145">
        <v>131072</v>
      </c>
      <c r="ER145">
        <v>42.04</v>
      </c>
      <c r="ES145">
        <v>25.21</v>
      </c>
      <c r="ET145">
        <v>3.5</v>
      </c>
      <c r="EU145">
        <v>0.12</v>
      </c>
      <c r="EV145">
        <v>13.33</v>
      </c>
      <c r="EW145">
        <v>1.47</v>
      </c>
      <c r="EX145">
        <v>0.01</v>
      </c>
      <c r="EY145">
        <v>0</v>
      </c>
      <c r="FQ145">
        <v>0</v>
      </c>
      <c r="FR145">
        <f t="shared" si="192"/>
        <v>0</v>
      </c>
      <c r="FS145">
        <v>0</v>
      </c>
      <c r="FT145" t="s">
        <v>23</v>
      </c>
      <c r="FU145" t="s">
        <v>24</v>
      </c>
      <c r="FX145">
        <v>115.2</v>
      </c>
      <c r="FY145">
        <v>70.55</v>
      </c>
      <c r="GA145" t="s">
        <v>6</v>
      </c>
      <c r="GD145">
        <v>0</v>
      </c>
      <c r="GF145">
        <v>1420229388</v>
      </c>
      <c r="GG145">
        <v>1</v>
      </c>
      <c r="GH145">
        <v>1</v>
      </c>
      <c r="GI145">
        <v>4</v>
      </c>
      <c r="GJ145">
        <v>0</v>
      </c>
      <c r="GK145">
        <f>ROUND(R145*(R12)/100,2)</f>
        <v>0</v>
      </c>
      <c r="GL145">
        <f t="shared" si="193"/>
        <v>0</v>
      </c>
      <c r="GM145">
        <f t="shared" si="194"/>
        <v>9898.93</v>
      </c>
      <c r="GN145">
        <f t="shared" si="195"/>
        <v>9898.93</v>
      </c>
      <c r="GO145">
        <f t="shared" si="196"/>
        <v>0</v>
      </c>
      <c r="GP145">
        <f t="shared" si="197"/>
        <v>0</v>
      </c>
      <c r="GR145">
        <v>0</v>
      </c>
      <c r="GS145">
        <v>0</v>
      </c>
      <c r="GT145">
        <v>0</v>
      </c>
      <c r="GU145" t="s">
        <v>6</v>
      </c>
      <c r="GV145">
        <f t="shared" si="198"/>
        <v>0</v>
      </c>
      <c r="GW145">
        <v>1</v>
      </c>
      <c r="GX145">
        <f t="shared" si="199"/>
        <v>0</v>
      </c>
      <c r="HA145">
        <v>0</v>
      </c>
      <c r="HB145">
        <v>0</v>
      </c>
      <c r="HC145">
        <f t="shared" si="200"/>
        <v>0</v>
      </c>
      <c r="IK145">
        <v>0</v>
      </c>
    </row>
    <row r="146" spans="1:245" x14ac:dyDescent="0.2">
      <c r="A146">
        <v>18</v>
      </c>
      <c r="B146">
        <v>1</v>
      </c>
      <c r="C146">
        <v>223</v>
      </c>
      <c r="E146" t="s">
        <v>441</v>
      </c>
      <c r="F146" t="s">
        <v>442</v>
      </c>
      <c r="G146" t="s">
        <v>443</v>
      </c>
      <c r="H146" t="s">
        <v>62</v>
      </c>
      <c r="I146">
        <f>I145*J146</f>
        <v>22</v>
      </c>
      <c r="J146">
        <v>1</v>
      </c>
      <c r="O146">
        <f t="shared" si="161"/>
        <v>8079.24</v>
      </c>
      <c r="P146">
        <f t="shared" si="162"/>
        <v>8079.24</v>
      </c>
      <c r="Q146">
        <f t="shared" si="163"/>
        <v>0</v>
      </c>
      <c r="R146">
        <f t="shared" si="164"/>
        <v>0</v>
      </c>
      <c r="S146">
        <f t="shared" si="165"/>
        <v>0</v>
      </c>
      <c r="T146">
        <f t="shared" si="166"/>
        <v>0</v>
      </c>
      <c r="U146">
        <f t="shared" si="167"/>
        <v>0</v>
      </c>
      <c r="V146">
        <f t="shared" si="168"/>
        <v>0</v>
      </c>
      <c r="W146">
        <f t="shared" si="169"/>
        <v>0</v>
      </c>
      <c r="X146">
        <f t="shared" si="170"/>
        <v>0</v>
      </c>
      <c r="Y146">
        <f t="shared" si="171"/>
        <v>0</v>
      </c>
      <c r="AA146">
        <v>16812721</v>
      </c>
      <c r="AB146">
        <f t="shared" si="172"/>
        <v>54.73</v>
      </c>
      <c r="AC146">
        <f t="shared" si="173"/>
        <v>54.73</v>
      </c>
      <c r="AD146">
        <f t="shared" si="174"/>
        <v>0</v>
      </c>
      <c r="AE146">
        <f t="shared" si="175"/>
        <v>0</v>
      </c>
      <c r="AF146">
        <f t="shared" si="176"/>
        <v>0</v>
      </c>
      <c r="AG146">
        <f t="shared" si="177"/>
        <v>0</v>
      </c>
      <c r="AH146">
        <f t="shared" si="178"/>
        <v>0</v>
      </c>
      <c r="AI146">
        <f t="shared" si="179"/>
        <v>0</v>
      </c>
      <c r="AJ146">
        <f t="shared" si="180"/>
        <v>0</v>
      </c>
      <c r="AK146">
        <v>54.73</v>
      </c>
      <c r="AL146">
        <v>54.73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115</v>
      </c>
      <c r="AU146">
        <v>71</v>
      </c>
      <c r="AV146">
        <v>1</v>
      </c>
      <c r="AW146">
        <v>1</v>
      </c>
      <c r="AZ146">
        <v>6.71</v>
      </c>
      <c r="BA146">
        <v>1</v>
      </c>
      <c r="BB146">
        <v>1</v>
      </c>
      <c r="BC146">
        <v>6.71</v>
      </c>
      <c r="BD146" t="s">
        <v>6</v>
      </c>
      <c r="BE146" t="s">
        <v>6</v>
      </c>
      <c r="BF146" t="s">
        <v>6</v>
      </c>
      <c r="BG146" t="s">
        <v>6</v>
      </c>
      <c r="BH146">
        <v>3</v>
      </c>
      <c r="BI146">
        <v>1</v>
      </c>
      <c r="BJ146" t="s">
        <v>444</v>
      </c>
      <c r="BM146">
        <v>16001</v>
      </c>
      <c r="BN146">
        <v>0</v>
      </c>
      <c r="BO146" t="s">
        <v>6</v>
      </c>
      <c r="BP146">
        <v>0</v>
      </c>
      <c r="BQ146">
        <v>2</v>
      </c>
      <c r="BR146">
        <v>0</v>
      </c>
      <c r="BS146">
        <v>1</v>
      </c>
      <c r="BT146">
        <v>1</v>
      </c>
      <c r="BU146">
        <v>1</v>
      </c>
      <c r="BV146">
        <v>1</v>
      </c>
      <c r="BW146">
        <v>1</v>
      </c>
      <c r="BX146">
        <v>1</v>
      </c>
      <c r="BY146" t="s">
        <v>6</v>
      </c>
      <c r="BZ146">
        <v>128</v>
      </c>
      <c r="CA146">
        <v>83</v>
      </c>
      <c r="CE146">
        <v>0</v>
      </c>
      <c r="CF146">
        <v>0</v>
      </c>
      <c r="CG146">
        <v>0</v>
      </c>
      <c r="CM146">
        <v>0</v>
      </c>
      <c r="CN146" t="s">
        <v>6</v>
      </c>
      <c r="CO146">
        <v>0</v>
      </c>
      <c r="CP146">
        <f t="shared" si="181"/>
        <v>8079.24</v>
      </c>
      <c r="CQ146">
        <f t="shared" si="182"/>
        <v>367.23829999999998</v>
      </c>
      <c r="CR146">
        <f t="shared" si="183"/>
        <v>0</v>
      </c>
      <c r="CS146">
        <f t="shared" si="184"/>
        <v>0</v>
      </c>
      <c r="CT146">
        <f t="shared" si="185"/>
        <v>0</v>
      </c>
      <c r="CU146">
        <f t="shared" si="186"/>
        <v>0</v>
      </c>
      <c r="CV146">
        <f t="shared" si="187"/>
        <v>0</v>
      </c>
      <c r="CW146">
        <f t="shared" si="188"/>
        <v>0</v>
      </c>
      <c r="CX146">
        <f t="shared" si="189"/>
        <v>0</v>
      </c>
      <c r="CY146">
        <f t="shared" si="190"/>
        <v>0</v>
      </c>
      <c r="CZ146">
        <f t="shared" si="191"/>
        <v>0</v>
      </c>
      <c r="DC146" t="s">
        <v>6</v>
      </c>
      <c r="DD146" t="s">
        <v>6</v>
      </c>
      <c r="DE146" t="s">
        <v>6</v>
      </c>
      <c r="DF146" t="s">
        <v>6</v>
      </c>
      <c r="DG146" t="s">
        <v>6</v>
      </c>
      <c r="DH146" t="s">
        <v>6</v>
      </c>
      <c r="DI146" t="s">
        <v>6</v>
      </c>
      <c r="DJ146" t="s">
        <v>6</v>
      </c>
      <c r="DK146" t="s">
        <v>6</v>
      </c>
      <c r="DL146" t="s">
        <v>6</v>
      </c>
      <c r="DM146" t="s">
        <v>6</v>
      </c>
      <c r="DN146">
        <v>0</v>
      </c>
      <c r="DO146">
        <v>0</v>
      </c>
      <c r="DP146">
        <v>1</v>
      </c>
      <c r="DQ146">
        <v>1</v>
      </c>
      <c r="DU146">
        <v>1010</v>
      </c>
      <c r="DV146" t="s">
        <v>62</v>
      </c>
      <c r="DW146" t="s">
        <v>62</v>
      </c>
      <c r="DX146">
        <v>1</v>
      </c>
      <c r="EE146">
        <v>16510514</v>
      </c>
      <c r="EF146">
        <v>2</v>
      </c>
      <c r="EG146" t="s">
        <v>20</v>
      </c>
      <c r="EH146">
        <v>0</v>
      </c>
      <c r="EI146" t="s">
        <v>6</v>
      </c>
      <c r="EJ146">
        <v>1</v>
      </c>
      <c r="EK146">
        <v>16001</v>
      </c>
      <c r="EL146" t="s">
        <v>439</v>
      </c>
      <c r="EM146" t="s">
        <v>440</v>
      </c>
      <c r="EO146" t="s">
        <v>6</v>
      </c>
      <c r="EQ146">
        <v>0</v>
      </c>
      <c r="ER146">
        <v>54.73</v>
      </c>
      <c r="ES146">
        <v>54.73</v>
      </c>
      <c r="ET146">
        <v>0</v>
      </c>
      <c r="EU146">
        <v>0</v>
      </c>
      <c r="EV146">
        <v>0</v>
      </c>
      <c r="EW146">
        <v>0</v>
      </c>
      <c r="EX146">
        <v>0</v>
      </c>
      <c r="FQ146">
        <v>0</v>
      </c>
      <c r="FR146">
        <f t="shared" si="192"/>
        <v>0</v>
      </c>
      <c r="FS146">
        <v>0</v>
      </c>
      <c r="FT146" t="s">
        <v>23</v>
      </c>
      <c r="FU146" t="s">
        <v>24</v>
      </c>
      <c r="FX146">
        <v>115.2</v>
      </c>
      <c r="FY146">
        <v>70.55</v>
      </c>
      <c r="GA146" t="s">
        <v>6</v>
      </c>
      <c r="GD146">
        <v>0</v>
      </c>
      <c r="GF146">
        <v>898688576</v>
      </c>
      <c r="GG146">
        <v>1</v>
      </c>
      <c r="GH146">
        <v>1</v>
      </c>
      <c r="GI146">
        <v>4</v>
      </c>
      <c r="GJ146">
        <v>0</v>
      </c>
      <c r="GK146">
        <f>ROUND(R146*(R12)/100,2)</f>
        <v>0</v>
      </c>
      <c r="GL146">
        <f t="shared" si="193"/>
        <v>0</v>
      </c>
      <c r="GM146">
        <f t="shared" si="194"/>
        <v>8079.24</v>
      </c>
      <c r="GN146">
        <f t="shared" si="195"/>
        <v>8079.24</v>
      </c>
      <c r="GO146">
        <f t="shared" si="196"/>
        <v>0</v>
      </c>
      <c r="GP146">
        <f t="shared" si="197"/>
        <v>0</v>
      </c>
      <c r="GR146">
        <v>0</v>
      </c>
      <c r="GS146">
        <v>3</v>
      </c>
      <c r="GT146">
        <v>0</v>
      </c>
      <c r="GU146" t="s">
        <v>6</v>
      </c>
      <c r="GV146">
        <f t="shared" si="198"/>
        <v>0</v>
      </c>
      <c r="GW146">
        <v>1</v>
      </c>
      <c r="GX146">
        <f t="shared" si="199"/>
        <v>0</v>
      </c>
      <c r="HA146">
        <v>0</v>
      </c>
      <c r="HB146">
        <v>0</v>
      </c>
      <c r="HC146">
        <f t="shared" si="200"/>
        <v>0</v>
      </c>
      <c r="IK146">
        <v>0</v>
      </c>
    </row>
    <row r="147" spans="1:245" x14ac:dyDescent="0.2">
      <c r="A147">
        <v>17</v>
      </c>
      <c r="B147">
        <v>1</v>
      </c>
      <c r="C147">
        <f>ROW(SmtRes!A231)</f>
        <v>231</v>
      </c>
      <c r="D147">
        <f>ROW(EtalonRes!A226)</f>
        <v>226</v>
      </c>
      <c r="E147" t="s">
        <v>445</v>
      </c>
      <c r="F147" t="s">
        <v>446</v>
      </c>
      <c r="G147" t="s">
        <v>447</v>
      </c>
      <c r="H147" t="s">
        <v>18</v>
      </c>
      <c r="I147">
        <f>ROUND(6.24/100,9)</f>
        <v>6.2399999999999997E-2</v>
      </c>
      <c r="J147">
        <v>0</v>
      </c>
      <c r="O147">
        <f t="shared" si="161"/>
        <v>301.64</v>
      </c>
      <c r="P147">
        <f t="shared" si="162"/>
        <v>37.08</v>
      </c>
      <c r="Q147">
        <f t="shared" si="163"/>
        <v>0.95</v>
      </c>
      <c r="R147">
        <f t="shared" si="164"/>
        <v>0.21</v>
      </c>
      <c r="S147">
        <f t="shared" si="165"/>
        <v>263.61</v>
      </c>
      <c r="T147">
        <f t="shared" si="166"/>
        <v>0</v>
      </c>
      <c r="U147">
        <f t="shared" si="167"/>
        <v>4.4341439999999999</v>
      </c>
      <c r="V147">
        <f t="shared" si="168"/>
        <v>2.496E-3</v>
      </c>
      <c r="W147">
        <f t="shared" si="169"/>
        <v>0</v>
      </c>
      <c r="X147">
        <f t="shared" si="170"/>
        <v>250.63</v>
      </c>
      <c r="Y147">
        <f t="shared" si="171"/>
        <v>124</v>
      </c>
      <c r="AA147">
        <v>16812721</v>
      </c>
      <c r="AB147">
        <f t="shared" si="172"/>
        <v>720.44</v>
      </c>
      <c r="AC147">
        <f t="shared" si="173"/>
        <v>88.57</v>
      </c>
      <c r="AD147">
        <f t="shared" si="174"/>
        <v>2.2799999999999998</v>
      </c>
      <c r="AE147">
        <f t="shared" si="175"/>
        <v>0.49</v>
      </c>
      <c r="AF147">
        <f t="shared" si="176"/>
        <v>629.59</v>
      </c>
      <c r="AG147">
        <f t="shared" si="177"/>
        <v>0</v>
      </c>
      <c r="AH147">
        <f t="shared" si="178"/>
        <v>71.06</v>
      </c>
      <c r="AI147">
        <f t="shared" si="179"/>
        <v>0.04</v>
      </c>
      <c r="AJ147">
        <f t="shared" si="180"/>
        <v>0</v>
      </c>
      <c r="AK147">
        <v>720.44</v>
      </c>
      <c r="AL147">
        <v>88.57</v>
      </c>
      <c r="AM147">
        <v>2.2799999999999998</v>
      </c>
      <c r="AN147">
        <v>0.49</v>
      </c>
      <c r="AO147">
        <v>629.59</v>
      </c>
      <c r="AP147">
        <v>0</v>
      </c>
      <c r="AQ147">
        <v>71.06</v>
      </c>
      <c r="AR147">
        <v>0.04</v>
      </c>
      <c r="AS147">
        <v>0</v>
      </c>
      <c r="AT147">
        <v>95</v>
      </c>
      <c r="AU147">
        <v>47</v>
      </c>
      <c r="AV147">
        <v>1</v>
      </c>
      <c r="AW147">
        <v>1</v>
      </c>
      <c r="AZ147">
        <v>6.71</v>
      </c>
      <c r="BA147">
        <v>6.71</v>
      </c>
      <c r="BB147">
        <v>6.71</v>
      </c>
      <c r="BC147">
        <v>6.71</v>
      </c>
      <c r="BD147" t="s">
        <v>6</v>
      </c>
      <c r="BE147" t="s">
        <v>6</v>
      </c>
      <c r="BF147" t="s">
        <v>6</v>
      </c>
      <c r="BG147" t="s">
        <v>6</v>
      </c>
      <c r="BH147">
        <v>0</v>
      </c>
      <c r="BI147">
        <v>1</v>
      </c>
      <c r="BJ147" t="s">
        <v>448</v>
      </c>
      <c r="BM147">
        <v>15001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6.71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105</v>
      </c>
      <c r="CA147">
        <v>55</v>
      </c>
      <c r="CE147">
        <v>0</v>
      </c>
      <c r="CF147">
        <v>0</v>
      </c>
      <c r="CG147">
        <v>0</v>
      </c>
      <c r="CM147">
        <v>0</v>
      </c>
      <c r="CN147" t="s">
        <v>6</v>
      </c>
      <c r="CO147">
        <v>0</v>
      </c>
      <c r="CP147">
        <f t="shared" si="181"/>
        <v>301.64</v>
      </c>
      <c r="CQ147">
        <f t="shared" si="182"/>
        <v>594.30469999999991</v>
      </c>
      <c r="CR147">
        <f t="shared" si="183"/>
        <v>15.298799999999998</v>
      </c>
      <c r="CS147">
        <f t="shared" si="184"/>
        <v>3.2879</v>
      </c>
      <c r="CT147">
        <f t="shared" si="185"/>
        <v>4224.5488999999998</v>
      </c>
      <c r="CU147">
        <f t="shared" si="186"/>
        <v>0</v>
      </c>
      <c r="CV147">
        <f t="shared" si="187"/>
        <v>71.06</v>
      </c>
      <c r="CW147">
        <f t="shared" si="188"/>
        <v>0.04</v>
      </c>
      <c r="CX147">
        <f t="shared" si="189"/>
        <v>0</v>
      </c>
      <c r="CY147">
        <f t="shared" si="190"/>
        <v>250.62899999999999</v>
      </c>
      <c r="CZ147">
        <f t="shared" si="191"/>
        <v>123.99539999999999</v>
      </c>
      <c r="DC147" t="s">
        <v>6</v>
      </c>
      <c r="DD147" t="s">
        <v>6</v>
      </c>
      <c r="DE147" t="s">
        <v>6</v>
      </c>
      <c r="DF147" t="s">
        <v>6</v>
      </c>
      <c r="DG147" t="s">
        <v>6</v>
      </c>
      <c r="DH147" t="s">
        <v>6</v>
      </c>
      <c r="DI147" t="s">
        <v>6</v>
      </c>
      <c r="DJ147" t="s">
        <v>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1005</v>
      </c>
      <c r="DV147" t="s">
        <v>18</v>
      </c>
      <c r="DW147" t="s">
        <v>18</v>
      </c>
      <c r="DX147">
        <v>100</v>
      </c>
      <c r="EE147">
        <v>16510513</v>
      </c>
      <c r="EF147">
        <v>2</v>
      </c>
      <c r="EG147" t="s">
        <v>20</v>
      </c>
      <c r="EH147">
        <v>0</v>
      </c>
      <c r="EI147" t="s">
        <v>6</v>
      </c>
      <c r="EJ147">
        <v>1</v>
      </c>
      <c r="EK147">
        <v>15001</v>
      </c>
      <c r="EL147" t="s">
        <v>84</v>
      </c>
      <c r="EM147" t="s">
        <v>85</v>
      </c>
      <c r="EO147" t="s">
        <v>6</v>
      </c>
      <c r="EQ147">
        <v>131072</v>
      </c>
      <c r="ER147">
        <v>720.44</v>
      </c>
      <c r="ES147">
        <v>88.57</v>
      </c>
      <c r="ET147">
        <v>2.2799999999999998</v>
      </c>
      <c r="EU147">
        <v>0.49</v>
      </c>
      <c r="EV147">
        <v>629.59</v>
      </c>
      <c r="EW147">
        <v>71.06</v>
      </c>
      <c r="EX147">
        <v>0.04</v>
      </c>
      <c r="EY147">
        <v>0</v>
      </c>
      <c r="FQ147">
        <v>0</v>
      </c>
      <c r="FR147">
        <f t="shared" si="192"/>
        <v>0</v>
      </c>
      <c r="FS147">
        <v>0</v>
      </c>
      <c r="FT147" t="s">
        <v>23</v>
      </c>
      <c r="FU147" t="s">
        <v>24</v>
      </c>
      <c r="FX147">
        <v>94.5</v>
      </c>
      <c r="FY147">
        <v>46.75</v>
      </c>
      <c r="GA147" t="s">
        <v>6</v>
      </c>
      <c r="GD147">
        <v>0</v>
      </c>
      <c r="GF147">
        <v>-1311473070</v>
      </c>
      <c r="GG147">
        <v>1</v>
      </c>
      <c r="GH147">
        <v>1</v>
      </c>
      <c r="GI147">
        <v>4</v>
      </c>
      <c r="GJ147">
        <v>0</v>
      </c>
      <c r="GK147">
        <f>ROUND(R147*(R12)/100,2)</f>
        <v>0</v>
      </c>
      <c r="GL147">
        <f t="shared" si="193"/>
        <v>0</v>
      </c>
      <c r="GM147">
        <f t="shared" si="194"/>
        <v>676.27</v>
      </c>
      <c r="GN147">
        <f t="shared" si="195"/>
        <v>676.27</v>
      </c>
      <c r="GO147">
        <f t="shared" si="196"/>
        <v>0</v>
      </c>
      <c r="GP147">
        <f t="shared" si="197"/>
        <v>0</v>
      </c>
      <c r="GR147">
        <v>0</v>
      </c>
      <c r="GS147">
        <v>0</v>
      </c>
      <c r="GT147">
        <v>0</v>
      </c>
      <c r="GU147" t="s">
        <v>6</v>
      </c>
      <c r="GV147">
        <f t="shared" si="198"/>
        <v>0</v>
      </c>
      <c r="GW147">
        <v>1</v>
      </c>
      <c r="GX147">
        <f t="shared" si="199"/>
        <v>0</v>
      </c>
      <c r="HA147">
        <v>0</v>
      </c>
      <c r="HB147">
        <v>0</v>
      </c>
      <c r="HC147">
        <f t="shared" si="200"/>
        <v>0</v>
      </c>
      <c r="IK147">
        <v>0</v>
      </c>
    </row>
    <row r="148" spans="1:245" x14ac:dyDescent="0.2">
      <c r="A148">
        <v>18</v>
      </c>
      <c r="B148">
        <v>1</v>
      </c>
      <c r="C148">
        <v>229</v>
      </c>
      <c r="E148" t="s">
        <v>449</v>
      </c>
      <c r="F148" t="s">
        <v>450</v>
      </c>
      <c r="G148" t="s">
        <v>451</v>
      </c>
      <c r="H148" t="s">
        <v>145</v>
      </c>
      <c r="I148">
        <f>I147*J148</f>
        <v>1.5349999999999999E-3</v>
      </c>
      <c r="J148">
        <v>2.4599358974358974E-2</v>
      </c>
      <c r="O148">
        <f t="shared" si="161"/>
        <v>0</v>
      </c>
      <c r="P148">
        <f t="shared" si="162"/>
        <v>0</v>
      </c>
      <c r="Q148">
        <f t="shared" si="163"/>
        <v>0</v>
      </c>
      <c r="R148">
        <f t="shared" si="164"/>
        <v>0</v>
      </c>
      <c r="S148">
        <f t="shared" si="165"/>
        <v>0</v>
      </c>
      <c r="T148">
        <f t="shared" si="166"/>
        <v>0</v>
      </c>
      <c r="U148">
        <f t="shared" si="167"/>
        <v>0</v>
      </c>
      <c r="V148">
        <f t="shared" si="168"/>
        <v>0</v>
      </c>
      <c r="W148">
        <f t="shared" si="169"/>
        <v>0</v>
      </c>
      <c r="X148">
        <f t="shared" si="170"/>
        <v>0</v>
      </c>
      <c r="Y148">
        <f t="shared" si="171"/>
        <v>0</v>
      </c>
      <c r="AA148">
        <v>16812721</v>
      </c>
      <c r="AB148">
        <f t="shared" si="172"/>
        <v>0</v>
      </c>
      <c r="AC148">
        <f t="shared" si="173"/>
        <v>0</v>
      </c>
      <c r="AD148">
        <f t="shared" si="174"/>
        <v>0</v>
      </c>
      <c r="AE148">
        <f t="shared" si="175"/>
        <v>0</v>
      </c>
      <c r="AF148">
        <f t="shared" si="176"/>
        <v>0</v>
      </c>
      <c r="AG148">
        <f t="shared" si="177"/>
        <v>0</v>
      </c>
      <c r="AH148">
        <f t="shared" si="178"/>
        <v>0</v>
      </c>
      <c r="AI148">
        <f t="shared" si="179"/>
        <v>0</v>
      </c>
      <c r="AJ148">
        <f t="shared" si="180"/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  <c r="AS148">
        <v>0</v>
      </c>
      <c r="AT148">
        <v>95</v>
      </c>
      <c r="AU148">
        <v>47</v>
      </c>
      <c r="AV148">
        <v>1</v>
      </c>
      <c r="AW148">
        <v>1</v>
      </c>
      <c r="AZ148">
        <v>6.71</v>
      </c>
      <c r="BA148">
        <v>1</v>
      </c>
      <c r="BB148">
        <v>1</v>
      </c>
      <c r="BC148">
        <v>6.71</v>
      </c>
      <c r="BD148" t="s">
        <v>6</v>
      </c>
      <c r="BE148" t="s">
        <v>6</v>
      </c>
      <c r="BF148" t="s">
        <v>6</v>
      </c>
      <c r="BG148" t="s">
        <v>6</v>
      </c>
      <c r="BH148">
        <v>3</v>
      </c>
      <c r="BI148">
        <v>1</v>
      </c>
      <c r="BJ148" t="s">
        <v>6</v>
      </c>
      <c r="BM148">
        <v>15001</v>
      </c>
      <c r="BN148">
        <v>0</v>
      </c>
      <c r="BO148" t="s">
        <v>6</v>
      </c>
      <c r="BP148">
        <v>0</v>
      </c>
      <c r="BQ148">
        <v>2</v>
      </c>
      <c r="BR148">
        <v>0</v>
      </c>
      <c r="BS148">
        <v>1</v>
      </c>
      <c r="BT148">
        <v>1</v>
      </c>
      <c r="BU148">
        <v>1</v>
      </c>
      <c r="BV148">
        <v>1</v>
      </c>
      <c r="BW148">
        <v>1</v>
      </c>
      <c r="BX148">
        <v>1</v>
      </c>
      <c r="BY148" t="s">
        <v>6</v>
      </c>
      <c r="BZ148">
        <v>105</v>
      </c>
      <c r="CA148">
        <v>55</v>
      </c>
      <c r="CE148">
        <v>0</v>
      </c>
      <c r="CF148">
        <v>0</v>
      </c>
      <c r="CG148">
        <v>0</v>
      </c>
      <c r="CM148">
        <v>0</v>
      </c>
      <c r="CN148" t="s">
        <v>6</v>
      </c>
      <c r="CO148">
        <v>0</v>
      </c>
      <c r="CP148">
        <f t="shared" si="181"/>
        <v>0</v>
      </c>
      <c r="CQ148">
        <f t="shared" si="182"/>
        <v>0</v>
      </c>
      <c r="CR148">
        <f t="shared" si="183"/>
        <v>0</v>
      </c>
      <c r="CS148">
        <f t="shared" si="184"/>
        <v>0</v>
      </c>
      <c r="CT148">
        <f t="shared" si="185"/>
        <v>0</v>
      </c>
      <c r="CU148">
        <f t="shared" si="186"/>
        <v>0</v>
      </c>
      <c r="CV148">
        <f t="shared" si="187"/>
        <v>0</v>
      </c>
      <c r="CW148">
        <f t="shared" si="188"/>
        <v>0</v>
      </c>
      <c r="CX148">
        <f t="shared" si="189"/>
        <v>0</v>
      </c>
      <c r="CY148">
        <f t="shared" si="190"/>
        <v>0</v>
      </c>
      <c r="CZ148">
        <f t="shared" si="191"/>
        <v>0</v>
      </c>
      <c r="DC148" t="s">
        <v>6</v>
      </c>
      <c r="DD148" t="s">
        <v>6</v>
      </c>
      <c r="DE148" t="s">
        <v>6</v>
      </c>
      <c r="DF148" t="s">
        <v>6</v>
      </c>
      <c r="DG148" t="s">
        <v>6</v>
      </c>
      <c r="DH148" t="s">
        <v>6</v>
      </c>
      <c r="DI148" t="s">
        <v>6</v>
      </c>
      <c r="DJ148" t="s">
        <v>6</v>
      </c>
      <c r="DK148" t="s">
        <v>6</v>
      </c>
      <c r="DL148" t="s">
        <v>6</v>
      </c>
      <c r="DM148" t="s">
        <v>6</v>
      </c>
      <c r="DN148">
        <v>0</v>
      </c>
      <c r="DO148">
        <v>0</v>
      </c>
      <c r="DP148">
        <v>1</v>
      </c>
      <c r="DQ148">
        <v>1</v>
      </c>
      <c r="DU148">
        <v>1009</v>
      </c>
      <c r="DV148" t="s">
        <v>145</v>
      </c>
      <c r="DW148" t="s">
        <v>145</v>
      </c>
      <c r="DX148">
        <v>1000</v>
      </c>
      <c r="EE148">
        <v>16510513</v>
      </c>
      <c r="EF148">
        <v>2</v>
      </c>
      <c r="EG148" t="s">
        <v>20</v>
      </c>
      <c r="EH148">
        <v>0</v>
      </c>
      <c r="EI148" t="s">
        <v>6</v>
      </c>
      <c r="EJ148">
        <v>1</v>
      </c>
      <c r="EK148">
        <v>15001</v>
      </c>
      <c r="EL148" t="s">
        <v>84</v>
      </c>
      <c r="EM148" t="s">
        <v>85</v>
      </c>
      <c r="EO148" t="s">
        <v>6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FQ148">
        <v>0</v>
      </c>
      <c r="FR148">
        <f t="shared" si="192"/>
        <v>0</v>
      </c>
      <c r="FS148">
        <v>0</v>
      </c>
      <c r="FT148" t="s">
        <v>23</v>
      </c>
      <c r="FU148" t="s">
        <v>24</v>
      </c>
      <c r="FX148">
        <v>94.5</v>
      </c>
      <c r="FY148">
        <v>46.75</v>
      </c>
      <c r="GA148" t="s">
        <v>6</v>
      </c>
      <c r="GD148">
        <v>0</v>
      </c>
      <c r="GF148">
        <v>84301199</v>
      </c>
      <c r="GG148">
        <v>1</v>
      </c>
      <c r="GH148">
        <v>1</v>
      </c>
      <c r="GI148">
        <v>4</v>
      </c>
      <c r="GJ148">
        <v>0</v>
      </c>
      <c r="GK148">
        <f>ROUND(R148*(R12)/100,2)</f>
        <v>0</v>
      </c>
      <c r="GL148">
        <f t="shared" si="193"/>
        <v>0</v>
      </c>
      <c r="GM148">
        <f t="shared" si="194"/>
        <v>0</v>
      </c>
      <c r="GN148">
        <f t="shared" si="195"/>
        <v>0</v>
      </c>
      <c r="GO148">
        <f t="shared" si="196"/>
        <v>0</v>
      </c>
      <c r="GP148">
        <f t="shared" si="197"/>
        <v>0</v>
      </c>
      <c r="GR148">
        <v>0</v>
      </c>
      <c r="GS148">
        <v>3</v>
      </c>
      <c r="GT148">
        <v>0</v>
      </c>
      <c r="GU148" t="s">
        <v>6</v>
      </c>
      <c r="GV148">
        <f t="shared" si="198"/>
        <v>0</v>
      </c>
      <c r="GW148">
        <v>1</v>
      </c>
      <c r="GX148">
        <f t="shared" si="199"/>
        <v>0</v>
      </c>
      <c r="HA148">
        <v>0</v>
      </c>
      <c r="HB148">
        <v>0</v>
      </c>
      <c r="HC148">
        <f t="shared" si="200"/>
        <v>0</v>
      </c>
      <c r="IK148">
        <v>0</v>
      </c>
    </row>
    <row r="149" spans="1:245" x14ac:dyDescent="0.2">
      <c r="A149">
        <v>18</v>
      </c>
      <c r="B149">
        <v>1</v>
      </c>
      <c r="C149">
        <v>230</v>
      </c>
      <c r="E149" t="s">
        <v>452</v>
      </c>
      <c r="F149" t="s">
        <v>453</v>
      </c>
      <c r="G149" t="s">
        <v>454</v>
      </c>
      <c r="H149" t="s">
        <v>145</v>
      </c>
      <c r="I149">
        <f>I147*J149</f>
        <v>1.5349999999999999E-3</v>
      </c>
      <c r="J149">
        <v>2.4599358974358974E-2</v>
      </c>
      <c r="O149">
        <f t="shared" si="161"/>
        <v>437.83</v>
      </c>
      <c r="P149">
        <f t="shared" si="162"/>
        <v>437.83</v>
      </c>
      <c r="Q149">
        <f t="shared" si="163"/>
        <v>0</v>
      </c>
      <c r="R149">
        <f t="shared" si="164"/>
        <v>0</v>
      </c>
      <c r="S149">
        <f t="shared" si="165"/>
        <v>0</v>
      </c>
      <c r="T149">
        <f t="shared" si="166"/>
        <v>0</v>
      </c>
      <c r="U149">
        <f t="shared" si="167"/>
        <v>0</v>
      </c>
      <c r="V149">
        <f t="shared" si="168"/>
        <v>0</v>
      </c>
      <c r="W149">
        <f t="shared" si="169"/>
        <v>0</v>
      </c>
      <c r="X149">
        <f t="shared" si="170"/>
        <v>0</v>
      </c>
      <c r="Y149">
        <f t="shared" si="171"/>
        <v>0</v>
      </c>
      <c r="AA149">
        <v>16812721</v>
      </c>
      <c r="AB149">
        <f t="shared" si="172"/>
        <v>42508.19</v>
      </c>
      <c r="AC149">
        <f t="shared" si="173"/>
        <v>42508.19</v>
      </c>
      <c r="AD149">
        <f t="shared" si="174"/>
        <v>0</v>
      </c>
      <c r="AE149">
        <f t="shared" si="175"/>
        <v>0</v>
      </c>
      <c r="AF149">
        <f t="shared" si="176"/>
        <v>0</v>
      </c>
      <c r="AG149">
        <f t="shared" si="177"/>
        <v>0</v>
      </c>
      <c r="AH149">
        <f t="shared" si="178"/>
        <v>0</v>
      </c>
      <c r="AI149">
        <f t="shared" si="179"/>
        <v>0</v>
      </c>
      <c r="AJ149">
        <f t="shared" si="180"/>
        <v>0</v>
      </c>
      <c r="AK149">
        <v>42508.19</v>
      </c>
      <c r="AL149">
        <v>42508.19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95</v>
      </c>
      <c r="AU149">
        <v>47</v>
      </c>
      <c r="AV149">
        <v>1</v>
      </c>
      <c r="AW149">
        <v>1</v>
      </c>
      <c r="AZ149">
        <v>6.71</v>
      </c>
      <c r="BA149">
        <v>1</v>
      </c>
      <c r="BB149">
        <v>1</v>
      </c>
      <c r="BC149">
        <v>6.71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1</v>
      </c>
      <c r="BJ149" t="s">
        <v>455</v>
      </c>
      <c r="BM149">
        <v>15001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105</v>
      </c>
      <c r="CA149">
        <v>55</v>
      </c>
      <c r="CE149">
        <v>0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81"/>
        <v>437.83</v>
      </c>
      <c r="CQ149">
        <f t="shared" si="182"/>
        <v>285229.95490000001</v>
      </c>
      <c r="CR149">
        <f t="shared" si="183"/>
        <v>0</v>
      </c>
      <c r="CS149">
        <f t="shared" si="184"/>
        <v>0</v>
      </c>
      <c r="CT149">
        <f t="shared" si="185"/>
        <v>0</v>
      </c>
      <c r="CU149">
        <f t="shared" si="186"/>
        <v>0</v>
      </c>
      <c r="CV149">
        <f t="shared" si="187"/>
        <v>0</v>
      </c>
      <c r="CW149">
        <f t="shared" si="188"/>
        <v>0</v>
      </c>
      <c r="CX149">
        <f t="shared" si="189"/>
        <v>0</v>
      </c>
      <c r="CY149">
        <f t="shared" si="190"/>
        <v>0</v>
      </c>
      <c r="CZ149">
        <f t="shared" si="191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1009</v>
      </c>
      <c r="DV149" t="s">
        <v>145</v>
      </c>
      <c r="DW149" t="s">
        <v>145</v>
      </c>
      <c r="DX149">
        <v>1000</v>
      </c>
      <c r="EE149">
        <v>16510513</v>
      </c>
      <c r="EF149">
        <v>2</v>
      </c>
      <c r="EG149" t="s">
        <v>20</v>
      </c>
      <c r="EH149">
        <v>0</v>
      </c>
      <c r="EI149" t="s">
        <v>6</v>
      </c>
      <c r="EJ149">
        <v>1</v>
      </c>
      <c r="EK149">
        <v>15001</v>
      </c>
      <c r="EL149" t="s">
        <v>84</v>
      </c>
      <c r="EM149" t="s">
        <v>85</v>
      </c>
      <c r="EO149" t="s">
        <v>6</v>
      </c>
      <c r="EQ149">
        <v>0</v>
      </c>
      <c r="ER149">
        <v>42508.19</v>
      </c>
      <c r="ES149">
        <v>42508.19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92"/>
        <v>0</v>
      </c>
      <c r="FS149">
        <v>0</v>
      </c>
      <c r="FT149" t="s">
        <v>23</v>
      </c>
      <c r="FU149" t="s">
        <v>24</v>
      </c>
      <c r="FX149">
        <v>94.5</v>
      </c>
      <c r="FY149">
        <v>46.75</v>
      </c>
      <c r="GA149" t="s">
        <v>6</v>
      </c>
      <c r="GD149">
        <v>0</v>
      </c>
      <c r="GF149">
        <v>-777870615</v>
      </c>
      <c r="GG149">
        <v>1</v>
      </c>
      <c r="GH149">
        <v>1</v>
      </c>
      <c r="GI149">
        <v>4</v>
      </c>
      <c r="GJ149">
        <v>0</v>
      </c>
      <c r="GK149">
        <f>ROUND(R149*(R12)/100,2)</f>
        <v>0</v>
      </c>
      <c r="GL149">
        <f t="shared" si="193"/>
        <v>0</v>
      </c>
      <c r="GM149">
        <f t="shared" si="194"/>
        <v>437.83</v>
      </c>
      <c r="GN149">
        <f t="shared" si="195"/>
        <v>437.83</v>
      </c>
      <c r="GO149">
        <f t="shared" si="196"/>
        <v>0</v>
      </c>
      <c r="GP149">
        <f t="shared" si="197"/>
        <v>0</v>
      </c>
      <c r="GR149">
        <v>0</v>
      </c>
      <c r="GS149">
        <v>0</v>
      </c>
      <c r="GT149">
        <v>0</v>
      </c>
      <c r="GU149" t="s">
        <v>6</v>
      </c>
      <c r="GV149">
        <f t="shared" si="198"/>
        <v>0</v>
      </c>
      <c r="GW149">
        <v>1</v>
      </c>
      <c r="GX149">
        <f t="shared" si="199"/>
        <v>0</v>
      </c>
      <c r="HA149">
        <v>0</v>
      </c>
      <c r="HB149">
        <v>0</v>
      </c>
      <c r="HC149">
        <f t="shared" si="200"/>
        <v>0</v>
      </c>
      <c r="IK149">
        <v>0</v>
      </c>
    </row>
    <row r="150" spans="1:245" x14ac:dyDescent="0.2">
      <c r="A150">
        <v>17</v>
      </c>
      <c r="B150">
        <v>1</v>
      </c>
      <c r="C150">
        <f>ROW(SmtRes!A232)</f>
        <v>232</v>
      </c>
      <c r="D150">
        <f>ROW(EtalonRes!A227)</f>
        <v>227</v>
      </c>
      <c r="E150" t="s">
        <v>456</v>
      </c>
      <c r="F150" t="s">
        <v>457</v>
      </c>
      <c r="G150" t="s">
        <v>458</v>
      </c>
      <c r="H150" t="s">
        <v>55</v>
      </c>
      <c r="I150">
        <f>ROUND(11/100,9)</f>
        <v>0.11</v>
      </c>
      <c r="J150">
        <v>0</v>
      </c>
      <c r="O150">
        <f t="shared" si="161"/>
        <v>99.04</v>
      </c>
      <c r="P150">
        <f t="shared" si="162"/>
        <v>0</v>
      </c>
      <c r="Q150">
        <f t="shared" si="163"/>
        <v>0</v>
      </c>
      <c r="R150">
        <f t="shared" si="164"/>
        <v>0</v>
      </c>
      <c r="S150">
        <f t="shared" si="165"/>
        <v>99.04</v>
      </c>
      <c r="T150">
        <f t="shared" si="166"/>
        <v>0</v>
      </c>
      <c r="U150">
        <f t="shared" si="167"/>
        <v>1.7302999999999999</v>
      </c>
      <c r="V150">
        <f t="shared" si="168"/>
        <v>0</v>
      </c>
      <c r="W150">
        <f t="shared" si="169"/>
        <v>0</v>
      </c>
      <c r="X150">
        <f t="shared" si="170"/>
        <v>73.290000000000006</v>
      </c>
      <c r="Y150">
        <f t="shared" si="171"/>
        <v>49.52</v>
      </c>
      <c r="AA150">
        <v>16812721</v>
      </c>
      <c r="AB150">
        <f t="shared" si="172"/>
        <v>134.18</v>
      </c>
      <c r="AC150">
        <f t="shared" si="173"/>
        <v>0</v>
      </c>
      <c r="AD150">
        <f t="shared" si="174"/>
        <v>0</v>
      </c>
      <c r="AE150">
        <f t="shared" si="175"/>
        <v>0</v>
      </c>
      <c r="AF150">
        <f t="shared" si="176"/>
        <v>134.18</v>
      </c>
      <c r="AG150">
        <f t="shared" si="177"/>
        <v>0</v>
      </c>
      <c r="AH150">
        <f t="shared" si="178"/>
        <v>15.73</v>
      </c>
      <c r="AI150">
        <f t="shared" si="179"/>
        <v>0</v>
      </c>
      <c r="AJ150">
        <f t="shared" si="180"/>
        <v>0</v>
      </c>
      <c r="AK150">
        <v>134.18</v>
      </c>
      <c r="AL150">
        <v>0</v>
      </c>
      <c r="AM150">
        <v>0</v>
      </c>
      <c r="AN150">
        <v>0</v>
      </c>
      <c r="AO150">
        <v>134.18</v>
      </c>
      <c r="AP150">
        <v>0</v>
      </c>
      <c r="AQ150">
        <v>15.73</v>
      </c>
      <c r="AR150">
        <v>0</v>
      </c>
      <c r="AS150">
        <v>0</v>
      </c>
      <c r="AT150">
        <v>74</v>
      </c>
      <c r="AU150">
        <v>50</v>
      </c>
      <c r="AV150">
        <v>1</v>
      </c>
      <c r="AW150">
        <v>1</v>
      </c>
      <c r="AZ150">
        <v>6.71</v>
      </c>
      <c r="BA150">
        <v>6.71</v>
      </c>
      <c r="BB150">
        <v>6.71</v>
      </c>
      <c r="BC150">
        <v>6.71</v>
      </c>
      <c r="BD150" t="s">
        <v>6</v>
      </c>
      <c r="BE150" t="s">
        <v>6</v>
      </c>
      <c r="BF150" t="s">
        <v>6</v>
      </c>
      <c r="BG150" t="s">
        <v>6</v>
      </c>
      <c r="BH150">
        <v>0</v>
      </c>
      <c r="BI150">
        <v>1</v>
      </c>
      <c r="BJ150" t="s">
        <v>459</v>
      </c>
      <c r="BM150">
        <v>65004</v>
      </c>
      <c r="BN150">
        <v>0</v>
      </c>
      <c r="BO150" t="s">
        <v>6</v>
      </c>
      <c r="BP150">
        <v>0</v>
      </c>
      <c r="BQ150">
        <v>6</v>
      </c>
      <c r="BR150">
        <v>0</v>
      </c>
      <c r="BS150">
        <v>6.71</v>
      </c>
      <c r="BT150">
        <v>1</v>
      </c>
      <c r="BU150">
        <v>1</v>
      </c>
      <c r="BV150">
        <v>1</v>
      </c>
      <c r="BW150">
        <v>1</v>
      </c>
      <c r="BX150">
        <v>1</v>
      </c>
      <c r="BY150" t="s">
        <v>6</v>
      </c>
      <c r="BZ150">
        <v>74</v>
      </c>
      <c r="CA150">
        <v>50</v>
      </c>
      <c r="CE150">
        <v>0</v>
      </c>
      <c r="CF150">
        <v>0</v>
      </c>
      <c r="CG150">
        <v>0</v>
      </c>
      <c r="CM150">
        <v>0</v>
      </c>
      <c r="CN150" t="s">
        <v>6</v>
      </c>
      <c r="CO150">
        <v>0</v>
      </c>
      <c r="CP150">
        <f t="shared" si="181"/>
        <v>99.04</v>
      </c>
      <c r="CQ150">
        <f t="shared" si="182"/>
        <v>0</v>
      </c>
      <c r="CR150">
        <f t="shared" si="183"/>
        <v>0</v>
      </c>
      <c r="CS150">
        <f t="shared" si="184"/>
        <v>0</v>
      </c>
      <c r="CT150">
        <f t="shared" si="185"/>
        <v>900.34780000000001</v>
      </c>
      <c r="CU150">
        <f t="shared" si="186"/>
        <v>0</v>
      </c>
      <c r="CV150">
        <f t="shared" si="187"/>
        <v>15.73</v>
      </c>
      <c r="CW150">
        <f t="shared" si="188"/>
        <v>0</v>
      </c>
      <c r="CX150">
        <f t="shared" si="189"/>
        <v>0</v>
      </c>
      <c r="CY150">
        <f t="shared" si="190"/>
        <v>73.289600000000007</v>
      </c>
      <c r="CZ150">
        <f t="shared" si="191"/>
        <v>49.52</v>
      </c>
      <c r="DC150" t="s">
        <v>6</v>
      </c>
      <c r="DD150" t="s">
        <v>6</v>
      </c>
      <c r="DE150" t="s">
        <v>6</v>
      </c>
      <c r="DF150" t="s">
        <v>6</v>
      </c>
      <c r="DG150" t="s">
        <v>6</v>
      </c>
      <c r="DH150" t="s">
        <v>6</v>
      </c>
      <c r="DI150" t="s">
        <v>6</v>
      </c>
      <c r="DJ150" t="s">
        <v>6</v>
      </c>
      <c r="DK150" t="s">
        <v>6</v>
      </c>
      <c r="DL150" t="s">
        <v>6</v>
      </c>
      <c r="DM150" t="s">
        <v>6</v>
      </c>
      <c r="DN150">
        <v>0</v>
      </c>
      <c r="DO150">
        <v>0</v>
      </c>
      <c r="DP150">
        <v>1</v>
      </c>
      <c r="DQ150">
        <v>1</v>
      </c>
      <c r="DU150">
        <v>1013</v>
      </c>
      <c r="DV150" t="s">
        <v>55</v>
      </c>
      <c r="DW150" t="s">
        <v>55</v>
      </c>
      <c r="DX150">
        <v>1</v>
      </c>
      <c r="EE150">
        <v>16510579</v>
      </c>
      <c r="EF150">
        <v>6</v>
      </c>
      <c r="EG150" t="s">
        <v>41</v>
      </c>
      <c r="EH150">
        <v>0</v>
      </c>
      <c r="EI150" t="s">
        <v>6</v>
      </c>
      <c r="EJ150">
        <v>1</v>
      </c>
      <c r="EK150">
        <v>65004</v>
      </c>
      <c r="EL150" t="s">
        <v>418</v>
      </c>
      <c r="EM150" t="s">
        <v>58</v>
      </c>
      <c r="EO150" t="s">
        <v>6</v>
      </c>
      <c r="EQ150">
        <v>131072</v>
      </c>
      <c r="ER150">
        <v>134.18</v>
      </c>
      <c r="ES150">
        <v>0</v>
      </c>
      <c r="ET150">
        <v>0</v>
      </c>
      <c r="EU150">
        <v>0</v>
      </c>
      <c r="EV150">
        <v>134.18</v>
      </c>
      <c r="EW150">
        <v>15.73</v>
      </c>
      <c r="EX150">
        <v>0</v>
      </c>
      <c r="EY150">
        <v>0</v>
      </c>
      <c r="FQ150">
        <v>0</v>
      </c>
      <c r="FR150">
        <f t="shared" si="192"/>
        <v>0</v>
      </c>
      <c r="FS150">
        <v>0</v>
      </c>
      <c r="FX150">
        <v>74</v>
      </c>
      <c r="FY150">
        <v>50</v>
      </c>
      <c r="GA150" t="s">
        <v>6</v>
      </c>
      <c r="GD150">
        <v>0</v>
      </c>
      <c r="GF150">
        <v>-1983226121</v>
      </c>
      <c r="GG150">
        <v>1</v>
      </c>
      <c r="GH150">
        <v>1</v>
      </c>
      <c r="GI150">
        <v>4</v>
      </c>
      <c r="GJ150">
        <v>0</v>
      </c>
      <c r="GK150">
        <f>ROUND(R150*(R12)/100,2)</f>
        <v>0</v>
      </c>
      <c r="GL150">
        <f t="shared" si="193"/>
        <v>0</v>
      </c>
      <c r="GM150">
        <f t="shared" si="194"/>
        <v>221.85</v>
      </c>
      <c r="GN150">
        <f t="shared" si="195"/>
        <v>221.85</v>
      </c>
      <c r="GO150">
        <f t="shared" si="196"/>
        <v>0</v>
      </c>
      <c r="GP150">
        <f t="shared" si="197"/>
        <v>0</v>
      </c>
      <c r="GR150">
        <v>0</v>
      </c>
      <c r="GS150">
        <v>0</v>
      </c>
      <c r="GT150">
        <v>0</v>
      </c>
      <c r="GU150" t="s">
        <v>6</v>
      </c>
      <c r="GV150">
        <f t="shared" si="198"/>
        <v>0</v>
      </c>
      <c r="GW150">
        <v>1</v>
      </c>
      <c r="GX150">
        <f t="shared" si="199"/>
        <v>0</v>
      </c>
      <c r="HA150">
        <v>0</v>
      </c>
      <c r="HB150">
        <v>0</v>
      </c>
      <c r="HC150">
        <f t="shared" si="200"/>
        <v>0</v>
      </c>
      <c r="IK150">
        <v>0</v>
      </c>
    </row>
    <row r="152" spans="1:245" x14ac:dyDescent="0.2">
      <c r="A152" s="2">
        <v>51</v>
      </c>
      <c r="B152" s="2">
        <f>B137</f>
        <v>1</v>
      </c>
      <c r="C152" s="2">
        <f>A137</f>
        <v>4</v>
      </c>
      <c r="D152" s="2">
        <f>ROW(A137)</f>
        <v>137</v>
      </c>
      <c r="E152" s="2"/>
      <c r="F152" s="2" t="str">
        <f>IF(F137&lt;&gt;"",F137,"")</f>
        <v>Новый раздел</v>
      </c>
      <c r="G152" s="2" t="str">
        <f>IF(G137&lt;&gt;"",G137,"")</f>
        <v>2 Отопление</v>
      </c>
      <c r="H152" s="2">
        <v>0</v>
      </c>
      <c r="I152" s="2"/>
      <c r="J152" s="2"/>
      <c r="K152" s="2"/>
      <c r="L152" s="2"/>
      <c r="M152" s="2"/>
      <c r="N152" s="2"/>
      <c r="O152" s="2">
        <f t="shared" ref="O152:T152" si="201">ROUND(AB152,2)</f>
        <v>129804.42</v>
      </c>
      <c r="P152" s="2">
        <f t="shared" si="201"/>
        <v>125058.3</v>
      </c>
      <c r="Q152" s="2">
        <f t="shared" si="201"/>
        <v>867.03</v>
      </c>
      <c r="R152" s="2">
        <f t="shared" si="201"/>
        <v>100.15</v>
      </c>
      <c r="S152" s="2">
        <f t="shared" si="201"/>
        <v>3879.09</v>
      </c>
      <c r="T152" s="2">
        <f t="shared" si="201"/>
        <v>0</v>
      </c>
      <c r="U152" s="2">
        <f>AH152</f>
        <v>65.718683999999996</v>
      </c>
      <c r="V152" s="2">
        <f>AI152</f>
        <v>1.190048</v>
      </c>
      <c r="W152" s="2">
        <f>ROUND(AJ152,2)</f>
        <v>0</v>
      </c>
      <c r="X152" s="2">
        <f>ROUND(AK152,2)</f>
        <v>4211.62</v>
      </c>
      <c r="Y152" s="2">
        <f>ROUND(AL152,2)</f>
        <v>2602.2800000000002</v>
      </c>
      <c r="Z152" s="2"/>
      <c r="AA152" s="2"/>
      <c r="AB152" s="2">
        <f>ROUND(SUMIF(AA141:AA150,"=16812721",O141:O150),2)</f>
        <v>129804.42</v>
      </c>
      <c r="AC152" s="2">
        <f>ROUND(SUMIF(AA141:AA150,"=16812721",P141:P150),2)</f>
        <v>125058.3</v>
      </c>
      <c r="AD152" s="2">
        <f>ROUND(SUMIF(AA141:AA150,"=16812721",Q141:Q150),2)</f>
        <v>867.03</v>
      </c>
      <c r="AE152" s="2">
        <f>ROUND(SUMIF(AA141:AA150,"=16812721",R141:R150),2)</f>
        <v>100.15</v>
      </c>
      <c r="AF152" s="2">
        <f>ROUND(SUMIF(AA141:AA150,"=16812721",S141:S150),2)</f>
        <v>3879.09</v>
      </c>
      <c r="AG152" s="2">
        <f>ROUND(SUMIF(AA141:AA150,"=16812721",T141:T150),2)</f>
        <v>0</v>
      </c>
      <c r="AH152" s="2">
        <f>SUMIF(AA141:AA150,"=16812721",U141:U150)</f>
        <v>65.718683999999996</v>
      </c>
      <c r="AI152" s="2">
        <f>SUMIF(AA141:AA150,"=16812721",V141:V150)</f>
        <v>1.190048</v>
      </c>
      <c r="AJ152" s="2">
        <f>ROUND(SUMIF(AA141:AA150,"=16812721",W141:W150),2)</f>
        <v>0</v>
      </c>
      <c r="AK152" s="2">
        <f>ROUND(SUMIF(AA141:AA150,"=16812721",X141:X150),2)</f>
        <v>4211.62</v>
      </c>
      <c r="AL152" s="2">
        <f>ROUND(SUMIF(AA141:AA150,"=16812721",Y141:Y150),2)</f>
        <v>2602.2800000000002</v>
      </c>
      <c r="AM152" s="2"/>
      <c r="AN152" s="2"/>
      <c r="AO152" s="2">
        <f t="shared" ref="AO152:BC152" si="202">ROUND(BX152,2)</f>
        <v>0</v>
      </c>
      <c r="AP152" s="2">
        <f t="shared" si="202"/>
        <v>0</v>
      </c>
      <c r="AQ152" s="2">
        <f t="shared" si="202"/>
        <v>0</v>
      </c>
      <c r="AR152" s="2">
        <f t="shared" si="202"/>
        <v>136618.32</v>
      </c>
      <c r="AS152" s="2">
        <f t="shared" si="202"/>
        <v>136618.32</v>
      </c>
      <c r="AT152" s="2">
        <f t="shared" si="202"/>
        <v>0</v>
      </c>
      <c r="AU152" s="2">
        <f t="shared" si="202"/>
        <v>0</v>
      </c>
      <c r="AV152" s="2">
        <f t="shared" si="202"/>
        <v>125058.3</v>
      </c>
      <c r="AW152" s="2">
        <f t="shared" si="202"/>
        <v>125058.3</v>
      </c>
      <c r="AX152" s="2">
        <f t="shared" si="202"/>
        <v>0</v>
      </c>
      <c r="AY152" s="2">
        <f t="shared" si="202"/>
        <v>125058.3</v>
      </c>
      <c r="AZ152" s="2">
        <f t="shared" si="202"/>
        <v>0</v>
      </c>
      <c r="BA152" s="2">
        <f t="shared" si="202"/>
        <v>0</v>
      </c>
      <c r="BB152" s="2">
        <f t="shared" si="202"/>
        <v>0</v>
      </c>
      <c r="BC152" s="2">
        <f t="shared" si="202"/>
        <v>0</v>
      </c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>
        <f>ROUND(SUMIF(AA141:AA150,"=16812721",FQ141:FQ150),2)</f>
        <v>0</v>
      </c>
      <c r="BY152" s="2">
        <f>ROUND(SUMIF(AA141:AA150,"=16812721",FR141:FR150),2)</f>
        <v>0</v>
      </c>
      <c r="BZ152" s="2">
        <f>ROUND(SUMIF(AA141:AA150,"=16812721",GL141:GL150),2)</f>
        <v>0</v>
      </c>
      <c r="CA152" s="2">
        <f>ROUND(SUMIF(AA141:AA150,"=16812721",GM141:GM150),2)</f>
        <v>136618.32</v>
      </c>
      <c r="CB152" s="2">
        <f>ROUND(SUMIF(AA141:AA150,"=16812721",GN141:GN150),2)</f>
        <v>136618.32</v>
      </c>
      <c r="CC152" s="2">
        <f>ROUND(SUMIF(AA141:AA150,"=16812721",GO141:GO150),2)</f>
        <v>0</v>
      </c>
      <c r="CD152" s="2">
        <f>ROUND(SUMIF(AA141:AA150,"=16812721",GP141:GP150),2)</f>
        <v>0</v>
      </c>
      <c r="CE152" s="2">
        <f>AC152-BX152</f>
        <v>125058.3</v>
      </c>
      <c r="CF152" s="2">
        <f>AC152-BY152</f>
        <v>125058.3</v>
      </c>
      <c r="CG152" s="2">
        <f>BX152-BZ152</f>
        <v>0</v>
      </c>
      <c r="CH152" s="2">
        <f>AC152-BX152-BY152+BZ152</f>
        <v>125058.3</v>
      </c>
      <c r="CI152" s="2">
        <f>BY152-BZ152</f>
        <v>0</v>
      </c>
      <c r="CJ152" s="2">
        <f>ROUND(SUMIF(AA141:AA150,"=16812721",GX141:GX150),2)</f>
        <v>0</v>
      </c>
      <c r="CK152" s="2">
        <f>ROUND(SUMIF(AA141:AA150,"=16812721",GY141:GY150),2)</f>
        <v>0</v>
      </c>
      <c r="CL152" s="2">
        <f>ROUND(SUMIF(AA141:AA150,"=16812721",GZ141:GZ150),2)</f>
        <v>0</v>
      </c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3"/>
      <c r="EF152" s="3"/>
      <c r="EG152" s="3"/>
      <c r="EH152" s="3"/>
      <c r="EI152" s="3"/>
      <c r="EJ152" s="3"/>
      <c r="EK152" s="3"/>
      <c r="EL152" s="3"/>
      <c r="EM152" s="3"/>
      <c r="EN152" s="3"/>
      <c r="EO152" s="3"/>
      <c r="EP152" s="3"/>
      <c r="EQ152" s="3"/>
      <c r="ER152" s="3"/>
      <c r="ES152" s="3"/>
      <c r="ET152" s="3"/>
      <c r="EU152" s="3"/>
      <c r="EV152" s="3"/>
      <c r="EW152" s="3"/>
      <c r="EX152" s="3"/>
      <c r="EY152" s="3"/>
      <c r="EZ152" s="3"/>
      <c r="FA152" s="3"/>
      <c r="FB152" s="3"/>
      <c r="FC152" s="3"/>
      <c r="FD152" s="3"/>
      <c r="FE152" s="3"/>
      <c r="FF152" s="3"/>
      <c r="FG152" s="3"/>
      <c r="FH152" s="3"/>
      <c r="FI152" s="3"/>
      <c r="FJ152" s="3"/>
      <c r="FK152" s="3"/>
      <c r="FL152" s="3"/>
      <c r="FM152" s="3"/>
      <c r="FN152" s="3"/>
      <c r="FO152" s="3"/>
      <c r="FP152" s="3"/>
      <c r="FQ152" s="3"/>
      <c r="FR152" s="3"/>
      <c r="FS152" s="3"/>
      <c r="FT152" s="3"/>
      <c r="FU152" s="3"/>
      <c r="FV152" s="3"/>
      <c r="FW152" s="3"/>
      <c r="FX152" s="3"/>
      <c r="FY152" s="3"/>
      <c r="FZ152" s="3"/>
      <c r="GA152" s="3"/>
      <c r="GB152" s="3"/>
      <c r="GC152" s="3"/>
      <c r="GD152" s="3"/>
      <c r="GE152" s="3"/>
      <c r="GF152" s="3"/>
      <c r="GG152" s="3"/>
      <c r="GH152" s="3"/>
      <c r="GI152" s="3"/>
      <c r="GJ152" s="3"/>
      <c r="GK152" s="3"/>
      <c r="GL152" s="3"/>
      <c r="GM152" s="3"/>
      <c r="GN152" s="3"/>
      <c r="GO152" s="3"/>
      <c r="GP152" s="3"/>
      <c r="GQ152" s="3"/>
      <c r="GR152" s="3"/>
      <c r="GS152" s="3"/>
      <c r="GT152" s="3"/>
      <c r="GU152" s="3"/>
      <c r="GV152" s="3"/>
      <c r="GW152" s="3"/>
      <c r="GX152" s="3">
        <v>0</v>
      </c>
    </row>
    <row r="154" spans="1:245" x14ac:dyDescent="0.2">
      <c r="A154" s="4">
        <v>50</v>
      </c>
      <c r="B154" s="4">
        <v>0</v>
      </c>
      <c r="C154" s="4">
        <v>0</v>
      </c>
      <c r="D154" s="4">
        <v>1</v>
      </c>
      <c r="E154" s="4">
        <v>201</v>
      </c>
      <c r="F154" s="4">
        <f>ROUND(Source!O152,O154)</f>
        <v>129804.42</v>
      </c>
      <c r="G154" s="4" t="s">
        <v>361</v>
      </c>
      <c r="H154" s="4" t="s">
        <v>362</v>
      </c>
      <c r="I154" s="4"/>
      <c r="J154" s="4"/>
      <c r="K154" s="4">
        <v>201</v>
      </c>
      <c r="L154" s="4">
        <v>1</v>
      </c>
      <c r="M154" s="4">
        <v>3</v>
      </c>
      <c r="N154" s="4" t="s">
        <v>6</v>
      </c>
      <c r="O154" s="4">
        <v>2</v>
      </c>
      <c r="P154" s="4"/>
      <c r="Q154" s="4"/>
      <c r="R154" s="4"/>
      <c r="S154" s="4"/>
      <c r="T154" s="4"/>
      <c r="U154" s="4"/>
      <c r="V154" s="4"/>
      <c r="W154" s="4"/>
    </row>
    <row r="155" spans="1:245" x14ac:dyDescent="0.2">
      <c r="A155" s="4">
        <v>50</v>
      </c>
      <c r="B155" s="4">
        <v>0</v>
      </c>
      <c r="C155" s="4">
        <v>0</v>
      </c>
      <c r="D155" s="4">
        <v>1</v>
      </c>
      <c r="E155" s="4">
        <v>202</v>
      </c>
      <c r="F155" s="4">
        <f>ROUND(Source!P152,O155)</f>
        <v>125058.3</v>
      </c>
      <c r="G155" s="4" t="s">
        <v>363</v>
      </c>
      <c r="H155" s="4" t="s">
        <v>364</v>
      </c>
      <c r="I155" s="4"/>
      <c r="J155" s="4"/>
      <c r="K155" s="4">
        <v>202</v>
      </c>
      <c r="L155" s="4">
        <v>2</v>
      </c>
      <c r="M155" s="4">
        <v>3</v>
      </c>
      <c r="N155" s="4" t="s">
        <v>6</v>
      </c>
      <c r="O155" s="4">
        <v>2</v>
      </c>
      <c r="P155" s="4"/>
      <c r="Q155" s="4"/>
      <c r="R155" s="4"/>
      <c r="S155" s="4"/>
      <c r="T155" s="4"/>
      <c r="U155" s="4"/>
      <c r="V155" s="4"/>
      <c r="W155" s="4"/>
    </row>
    <row r="156" spans="1:245" x14ac:dyDescent="0.2">
      <c r="A156" s="4">
        <v>50</v>
      </c>
      <c r="B156" s="4">
        <v>0</v>
      </c>
      <c r="C156" s="4">
        <v>0</v>
      </c>
      <c r="D156" s="4">
        <v>1</v>
      </c>
      <c r="E156" s="4">
        <v>222</v>
      </c>
      <c r="F156" s="4">
        <f>ROUND(Source!AO152,O156)</f>
        <v>0</v>
      </c>
      <c r="G156" s="4" t="s">
        <v>365</v>
      </c>
      <c r="H156" s="4" t="s">
        <v>366</v>
      </c>
      <c r="I156" s="4"/>
      <c r="J156" s="4"/>
      <c r="K156" s="4">
        <v>222</v>
      </c>
      <c r="L156" s="4">
        <v>3</v>
      </c>
      <c r="M156" s="4">
        <v>3</v>
      </c>
      <c r="N156" s="4" t="s">
        <v>6</v>
      </c>
      <c r="O156" s="4">
        <v>2</v>
      </c>
      <c r="P156" s="4"/>
      <c r="Q156" s="4"/>
      <c r="R156" s="4"/>
      <c r="S156" s="4"/>
      <c r="T156" s="4"/>
      <c r="U156" s="4"/>
      <c r="V156" s="4"/>
      <c r="W156" s="4"/>
    </row>
    <row r="157" spans="1:245" x14ac:dyDescent="0.2">
      <c r="A157" s="4">
        <v>50</v>
      </c>
      <c r="B157" s="4">
        <v>0</v>
      </c>
      <c r="C157" s="4">
        <v>0</v>
      </c>
      <c r="D157" s="4">
        <v>1</v>
      </c>
      <c r="E157" s="4">
        <v>225</v>
      </c>
      <c r="F157" s="4">
        <f>ROUND(Source!AV152,O157)</f>
        <v>125058.3</v>
      </c>
      <c r="G157" s="4" t="s">
        <v>367</v>
      </c>
      <c r="H157" s="4" t="s">
        <v>368</v>
      </c>
      <c r="I157" s="4"/>
      <c r="J157" s="4"/>
      <c r="K157" s="4">
        <v>225</v>
      </c>
      <c r="L157" s="4">
        <v>4</v>
      </c>
      <c r="M157" s="4">
        <v>3</v>
      </c>
      <c r="N157" s="4" t="s">
        <v>6</v>
      </c>
      <c r="O157" s="4">
        <v>2</v>
      </c>
      <c r="P157" s="4"/>
      <c r="Q157" s="4"/>
      <c r="R157" s="4"/>
      <c r="S157" s="4"/>
      <c r="T157" s="4"/>
      <c r="U157" s="4"/>
      <c r="V157" s="4"/>
      <c r="W157" s="4"/>
    </row>
    <row r="158" spans="1:245" x14ac:dyDescent="0.2">
      <c r="A158" s="4">
        <v>50</v>
      </c>
      <c r="B158" s="4">
        <v>0</v>
      </c>
      <c r="C158" s="4">
        <v>0</v>
      </c>
      <c r="D158" s="4">
        <v>1</v>
      </c>
      <c r="E158" s="4">
        <v>226</v>
      </c>
      <c r="F158" s="4">
        <f>ROUND(Source!AW152,O158)</f>
        <v>125058.3</v>
      </c>
      <c r="G158" s="4" t="s">
        <v>369</v>
      </c>
      <c r="H158" s="4" t="s">
        <v>370</v>
      </c>
      <c r="I158" s="4"/>
      <c r="J158" s="4"/>
      <c r="K158" s="4">
        <v>226</v>
      </c>
      <c r="L158" s="4">
        <v>5</v>
      </c>
      <c r="M158" s="4">
        <v>3</v>
      </c>
      <c r="N158" s="4" t="s">
        <v>6</v>
      </c>
      <c r="O158" s="4">
        <v>2</v>
      </c>
      <c r="P158" s="4"/>
      <c r="Q158" s="4"/>
      <c r="R158" s="4"/>
      <c r="S158" s="4"/>
      <c r="T158" s="4"/>
      <c r="U158" s="4"/>
      <c r="V158" s="4"/>
      <c r="W158" s="4"/>
    </row>
    <row r="159" spans="1:245" x14ac:dyDescent="0.2">
      <c r="A159" s="4">
        <v>50</v>
      </c>
      <c r="B159" s="4">
        <v>0</v>
      </c>
      <c r="C159" s="4">
        <v>0</v>
      </c>
      <c r="D159" s="4">
        <v>1</v>
      </c>
      <c r="E159" s="4">
        <v>227</v>
      </c>
      <c r="F159" s="4">
        <f>ROUND(Source!AX152,O159)</f>
        <v>0</v>
      </c>
      <c r="G159" s="4" t="s">
        <v>371</v>
      </c>
      <c r="H159" s="4" t="s">
        <v>372</v>
      </c>
      <c r="I159" s="4"/>
      <c r="J159" s="4"/>
      <c r="K159" s="4">
        <v>227</v>
      </c>
      <c r="L159" s="4">
        <v>6</v>
      </c>
      <c r="M159" s="4">
        <v>3</v>
      </c>
      <c r="N159" s="4" t="s">
        <v>6</v>
      </c>
      <c r="O159" s="4">
        <v>2</v>
      </c>
      <c r="P159" s="4"/>
      <c r="Q159" s="4"/>
      <c r="R159" s="4"/>
      <c r="S159" s="4"/>
      <c r="T159" s="4"/>
      <c r="U159" s="4"/>
      <c r="V159" s="4"/>
      <c r="W159" s="4"/>
    </row>
    <row r="160" spans="1:245" x14ac:dyDescent="0.2">
      <c r="A160" s="4">
        <v>50</v>
      </c>
      <c r="B160" s="4">
        <v>0</v>
      </c>
      <c r="C160" s="4">
        <v>0</v>
      </c>
      <c r="D160" s="4">
        <v>1</v>
      </c>
      <c r="E160" s="4">
        <v>228</v>
      </c>
      <c r="F160" s="4">
        <f>ROUND(Source!AY152,O160)</f>
        <v>125058.3</v>
      </c>
      <c r="G160" s="4" t="s">
        <v>373</v>
      </c>
      <c r="H160" s="4" t="s">
        <v>374</v>
      </c>
      <c r="I160" s="4"/>
      <c r="J160" s="4"/>
      <c r="K160" s="4">
        <v>228</v>
      </c>
      <c r="L160" s="4">
        <v>7</v>
      </c>
      <c r="M160" s="4">
        <v>3</v>
      </c>
      <c r="N160" s="4" t="s">
        <v>6</v>
      </c>
      <c r="O160" s="4">
        <v>2</v>
      </c>
      <c r="P160" s="4"/>
      <c r="Q160" s="4"/>
      <c r="R160" s="4"/>
      <c r="S160" s="4"/>
      <c r="T160" s="4"/>
      <c r="U160" s="4"/>
      <c r="V160" s="4"/>
      <c r="W160" s="4"/>
    </row>
    <row r="161" spans="1:23" x14ac:dyDescent="0.2">
      <c r="A161" s="4">
        <v>50</v>
      </c>
      <c r="B161" s="4">
        <v>0</v>
      </c>
      <c r="C161" s="4">
        <v>0</v>
      </c>
      <c r="D161" s="4">
        <v>1</v>
      </c>
      <c r="E161" s="4">
        <v>216</v>
      </c>
      <c r="F161" s="4">
        <f>ROUND(Source!AP152,O161)</f>
        <v>0</v>
      </c>
      <c r="G161" s="4" t="s">
        <v>375</v>
      </c>
      <c r="H161" s="4" t="s">
        <v>376</v>
      </c>
      <c r="I161" s="4"/>
      <c r="J161" s="4"/>
      <c r="K161" s="4">
        <v>216</v>
      </c>
      <c r="L161" s="4">
        <v>8</v>
      </c>
      <c r="M161" s="4">
        <v>3</v>
      </c>
      <c r="N161" s="4" t="s">
        <v>6</v>
      </c>
      <c r="O161" s="4">
        <v>2</v>
      </c>
      <c r="P161" s="4"/>
      <c r="Q161" s="4"/>
      <c r="R161" s="4"/>
      <c r="S161" s="4"/>
      <c r="T161" s="4"/>
      <c r="U161" s="4"/>
      <c r="V161" s="4"/>
      <c r="W161" s="4"/>
    </row>
    <row r="162" spans="1:23" x14ac:dyDescent="0.2">
      <c r="A162" s="4">
        <v>50</v>
      </c>
      <c r="B162" s="4">
        <v>0</v>
      </c>
      <c r="C162" s="4">
        <v>0</v>
      </c>
      <c r="D162" s="4">
        <v>1</v>
      </c>
      <c r="E162" s="4">
        <v>223</v>
      </c>
      <c r="F162" s="4">
        <f>ROUND(Source!AQ152,O162)</f>
        <v>0</v>
      </c>
      <c r="G162" s="4" t="s">
        <v>377</v>
      </c>
      <c r="H162" s="4" t="s">
        <v>378</v>
      </c>
      <c r="I162" s="4"/>
      <c r="J162" s="4"/>
      <c r="K162" s="4">
        <v>223</v>
      </c>
      <c r="L162" s="4">
        <v>9</v>
      </c>
      <c r="M162" s="4">
        <v>3</v>
      </c>
      <c r="N162" s="4" t="s">
        <v>6</v>
      </c>
      <c r="O162" s="4">
        <v>2</v>
      </c>
      <c r="P162" s="4"/>
      <c r="Q162" s="4"/>
      <c r="R162" s="4"/>
      <c r="S162" s="4"/>
      <c r="T162" s="4"/>
      <c r="U162" s="4"/>
      <c r="V162" s="4"/>
      <c r="W162" s="4"/>
    </row>
    <row r="163" spans="1:23" x14ac:dyDescent="0.2">
      <c r="A163" s="4">
        <v>50</v>
      </c>
      <c r="B163" s="4">
        <v>0</v>
      </c>
      <c r="C163" s="4">
        <v>0</v>
      </c>
      <c r="D163" s="4">
        <v>1</v>
      </c>
      <c r="E163" s="4">
        <v>229</v>
      </c>
      <c r="F163" s="4">
        <f>ROUND(Source!AZ152,O163)</f>
        <v>0</v>
      </c>
      <c r="G163" s="4" t="s">
        <v>379</v>
      </c>
      <c r="H163" s="4" t="s">
        <v>380</v>
      </c>
      <c r="I163" s="4"/>
      <c r="J163" s="4"/>
      <c r="K163" s="4">
        <v>229</v>
      </c>
      <c r="L163" s="4">
        <v>10</v>
      </c>
      <c r="M163" s="4">
        <v>3</v>
      </c>
      <c r="N163" s="4" t="s">
        <v>6</v>
      </c>
      <c r="O163" s="4">
        <v>2</v>
      </c>
      <c r="P163" s="4"/>
      <c r="Q163" s="4"/>
      <c r="R163" s="4"/>
      <c r="S163" s="4"/>
      <c r="T163" s="4"/>
      <c r="U163" s="4"/>
      <c r="V163" s="4"/>
      <c r="W163" s="4"/>
    </row>
    <row r="164" spans="1:23" x14ac:dyDescent="0.2">
      <c r="A164" s="4">
        <v>50</v>
      </c>
      <c r="B164" s="4">
        <v>0</v>
      </c>
      <c r="C164" s="4">
        <v>0</v>
      </c>
      <c r="D164" s="4">
        <v>1</v>
      </c>
      <c r="E164" s="4">
        <v>203</v>
      </c>
      <c r="F164" s="4">
        <f>ROUND(Source!Q152,O164)</f>
        <v>867.03</v>
      </c>
      <c r="G164" s="4" t="s">
        <v>381</v>
      </c>
      <c r="H164" s="4" t="s">
        <v>382</v>
      </c>
      <c r="I164" s="4"/>
      <c r="J164" s="4"/>
      <c r="K164" s="4">
        <v>203</v>
      </c>
      <c r="L164" s="4">
        <v>11</v>
      </c>
      <c r="M164" s="4">
        <v>3</v>
      </c>
      <c r="N164" s="4" t="s">
        <v>6</v>
      </c>
      <c r="O164" s="4">
        <v>2</v>
      </c>
      <c r="P164" s="4"/>
      <c r="Q164" s="4"/>
      <c r="R164" s="4"/>
      <c r="S164" s="4"/>
      <c r="T164" s="4"/>
      <c r="U164" s="4"/>
      <c r="V164" s="4"/>
      <c r="W164" s="4"/>
    </row>
    <row r="165" spans="1:23" x14ac:dyDescent="0.2">
      <c r="A165" s="4">
        <v>50</v>
      </c>
      <c r="B165" s="4">
        <v>0</v>
      </c>
      <c r="C165" s="4">
        <v>0</v>
      </c>
      <c r="D165" s="4">
        <v>1</v>
      </c>
      <c r="E165" s="4">
        <v>231</v>
      </c>
      <c r="F165" s="4">
        <f>ROUND(Source!BB152,O165)</f>
        <v>0</v>
      </c>
      <c r="G165" s="4" t="s">
        <v>383</v>
      </c>
      <c r="H165" s="4" t="s">
        <v>384</v>
      </c>
      <c r="I165" s="4"/>
      <c r="J165" s="4"/>
      <c r="K165" s="4">
        <v>231</v>
      </c>
      <c r="L165" s="4">
        <v>12</v>
      </c>
      <c r="M165" s="4">
        <v>3</v>
      </c>
      <c r="N165" s="4" t="s">
        <v>6</v>
      </c>
      <c r="O165" s="4">
        <v>2</v>
      </c>
      <c r="P165" s="4"/>
      <c r="Q165" s="4"/>
      <c r="R165" s="4"/>
      <c r="S165" s="4"/>
      <c r="T165" s="4"/>
      <c r="U165" s="4"/>
      <c r="V165" s="4"/>
      <c r="W165" s="4"/>
    </row>
    <row r="166" spans="1:23" x14ac:dyDescent="0.2">
      <c r="A166" s="4">
        <v>50</v>
      </c>
      <c r="B166" s="4">
        <v>0</v>
      </c>
      <c r="C166" s="4">
        <v>0</v>
      </c>
      <c r="D166" s="4">
        <v>1</v>
      </c>
      <c r="E166" s="4">
        <v>204</v>
      </c>
      <c r="F166" s="4">
        <f>ROUND(Source!R152,O166)</f>
        <v>100.15</v>
      </c>
      <c r="G166" s="4" t="s">
        <v>385</v>
      </c>
      <c r="H166" s="4" t="s">
        <v>386</v>
      </c>
      <c r="I166" s="4"/>
      <c r="J166" s="4"/>
      <c r="K166" s="4">
        <v>204</v>
      </c>
      <c r="L166" s="4">
        <v>13</v>
      </c>
      <c r="M166" s="4">
        <v>3</v>
      </c>
      <c r="N166" s="4" t="s">
        <v>6</v>
      </c>
      <c r="O166" s="4">
        <v>2</v>
      </c>
      <c r="P166" s="4"/>
      <c r="Q166" s="4"/>
      <c r="R166" s="4"/>
      <c r="S166" s="4"/>
      <c r="T166" s="4"/>
      <c r="U166" s="4"/>
      <c r="V166" s="4"/>
      <c r="W166" s="4"/>
    </row>
    <row r="167" spans="1:23" x14ac:dyDescent="0.2">
      <c r="A167" s="4">
        <v>50</v>
      </c>
      <c r="B167" s="4">
        <v>0</v>
      </c>
      <c r="C167" s="4">
        <v>0</v>
      </c>
      <c r="D167" s="4">
        <v>1</v>
      </c>
      <c r="E167" s="4">
        <v>205</v>
      </c>
      <c r="F167" s="4">
        <f>ROUND(Source!S152,O167)</f>
        <v>3879.09</v>
      </c>
      <c r="G167" s="4" t="s">
        <v>387</v>
      </c>
      <c r="H167" s="4" t="s">
        <v>388</v>
      </c>
      <c r="I167" s="4"/>
      <c r="J167" s="4"/>
      <c r="K167" s="4">
        <v>205</v>
      </c>
      <c r="L167" s="4">
        <v>14</v>
      </c>
      <c r="M167" s="4">
        <v>3</v>
      </c>
      <c r="N167" s="4" t="s">
        <v>6</v>
      </c>
      <c r="O167" s="4">
        <v>2</v>
      </c>
      <c r="P167" s="4"/>
      <c r="Q167" s="4"/>
      <c r="R167" s="4"/>
      <c r="S167" s="4"/>
      <c r="T167" s="4"/>
      <c r="U167" s="4"/>
      <c r="V167" s="4"/>
      <c r="W167" s="4"/>
    </row>
    <row r="168" spans="1:23" x14ac:dyDescent="0.2">
      <c r="A168" s="4">
        <v>50</v>
      </c>
      <c r="B168" s="4">
        <v>0</v>
      </c>
      <c r="C168" s="4">
        <v>0</v>
      </c>
      <c r="D168" s="4">
        <v>1</v>
      </c>
      <c r="E168" s="4">
        <v>232</v>
      </c>
      <c r="F168" s="4">
        <f>ROUND(Source!BC152,O168)</f>
        <v>0</v>
      </c>
      <c r="G168" s="4" t="s">
        <v>389</v>
      </c>
      <c r="H168" s="4" t="s">
        <v>390</v>
      </c>
      <c r="I168" s="4"/>
      <c r="J168" s="4"/>
      <c r="K168" s="4">
        <v>232</v>
      </c>
      <c r="L168" s="4">
        <v>15</v>
      </c>
      <c r="M168" s="4">
        <v>3</v>
      </c>
      <c r="N168" s="4" t="s">
        <v>6</v>
      </c>
      <c r="O168" s="4">
        <v>2</v>
      </c>
      <c r="P168" s="4"/>
      <c r="Q168" s="4"/>
      <c r="R168" s="4"/>
      <c r="S168" s="4"/>
      <c r="T168" s="4"/>
      <c r="U168" s="4"/>
      <c r="V168" s="4"/>
      <c r="W168" s="4"/>
    </row>
    <row r="169" spans="1:23" x14ac:dyDescent="0.2">
      <c r="A169" s="4">
        <v>50</v>
      </c>
      <c r="B169" s="4">
        <v>0</v>
      </c>
      <c r="C169" s="4">
        <v>0</v>
      </c>
      <c r="D169" s="4">
        <v>1</v>
      </c>
      <c r="E169" s="4">
        <v>214</v>
      </c>
      <c r="F169" s="4">
        <f>ROUND(Source!AS152,O169)</f>
        <v>136618.32</v>
      </c>
      <c r="G169" s="4" t="s">
        <v>391</v>
      </c>
      <c r="H169" s="4" t="s">
        <v>392</v>
      </c>
      <c r="I169" s="4"/>
      <c r="J169" s="4"/>
      <c r="K169" s="4">
        <v>214</v>
      </c>
      <c r="L169" s="4">
        <v>16</v>
      </c>
      <c r="M169" s="4">
        <v>3</v>
      </c>
      <c r="N169" s="4" t="s">
        <v>6</v>
      </c>
      <c r="O169" s="4">
        <v>2</v>
      </c>
      <c r="P169" s="4"/>
      <c r="Q169" s="4"/>
      <c r="R169" s="4"/>
      <c r="S169" s="4"/>
      <c r="T169" s="4"/>
      <c r="U169" s="4"/>
      <c r="V169" s="4"/>
      <c r="W169" s="4"/>
    </row>
    <row r="170" spans="1:23" x14ac:dyDescent="0.2">
      <c r="A170" s="4">
        <v>50</v>
      </c>
      <c r="B170" s="4">
        <v>0</v>
      </c>
      <c r="C170" s="4">
        <v>0</v>
      </c>
      <c r="D170" s="4">
        <v>1</v>
      </c>
      <c r="E170" s="4">
        <v>215</v>
      </c>
      <c r="F170" s="4">
        <f>ROUND(Source!AT152,O170)</f>
        <v>0</v>
      </c>
      <c r="G170" s="4" t="s">
        <v>393</v>
      </c>
      <c r="H170" s="4" t="s">
        <v>394</v>
      </c>
      <c r="I170" s="4"/>
      <c r="J170" s="4"/>
      <c r="K170" s="4">
        <v>215</v>
      </c>
      <c r="L170" s="4">
        <v>17</v>
      </c>
      <c r="M170" s="4">
        <v>3</v>
      </c>
      <c r="N170" s="4" t="s">
        <v>6</v>
      </c>
      <c r="O170" s="4">
        <v>2</v>
      </c>
      <c r="P170" s="4"/>
      <c r="Q170" s="4"/>
      <c r="R170" s="4"/>
      <c r="S170" s="4"/>
      <c r="T170" s="4"/>
      <c r="U170" s="4"/>
      <c r="V170" s="4"/>
      <c r="W170" s="4"/>
    </row>
    <row r="171" spans="1:23" x14ac:dyDescent="0.2">
      <c r="A171" s="4">
        <v>50</v>
      </c>
      <c r="B171" s="4">
        <v>0</v>
      </c>
      <c r="C171" s="4">
        <v>0</v>
      </c>
      <c r="D171" s="4">
        <v>1</v>
      </c>
      <c r="E171" s="4">
        <v>217</v>
      </c>
      <c r="F171" s="4">
        <f>ROUND(Source!AU152,O171)</f>
        <v>0</v>
      </c>
      <c r="G171" s="4" t="s">
        <v>395</v>
      </c>
      <c r="H171" s="4" t="s">
        <v>396</v>
      </c>
      <c r="I171" s="4"/>
      <c r="J171" s="4"/>
      <c r="K171" s="4">
        <v>217</v>
      </c>
      <c r="L171" s="4">
        <v>18</v>
      </c>
      <c r="M171" s="4">
        <v>3</v>
      </c>
      <c r="N171" s="4" t="s">
        <v>6</v>
      </c>
      <c r="O171" s="4">
        <v>2</v>
      </c>
      <c r="P171" s="4"/>
      <c r="Q171" s="4"/>
      <c r="R171" s="4"/>
      <c r="S171" s="4"/>
      <c r="T171" s="4"/>
      <c r="U171" s="4"/>
      <c r="V171" s="4"/>
      <c r="W171" s="4"/>
    </row>
    <row r="172" spans="1:23" x14ac:dyDescent="0.2">
      <c r="A172" s="4">
        <v>50</v>
      </c>
      <c r="B172" s="4">
        <v>0</v>
      </c>
      <c r="C172" s="4">
        <v>0</v>
      </c>
      <c r="D172" s="4">
        <v>1</v>
      </c>
      <c r="E172" s="4">
        <v>230</v>
      </c>
      <c r="F172" s="4">
        <f>ROUND(Source!BA152,O172)</f>
        <v>0</v>
      </c>
      <c r="G172" s="4" t="s">
        <v>397</v>
      </c>
      <c r="H172" s="4" t="s">
        <v>398</v>
      </c>
      <c r="I172" s="4"/>
      <c r="J172" s="4"/>
      <c r="K172" s="4">
        <v>230</v>
      </c>
      <c r="L172" s="4">
        <v>19</v>
      </c>
      <c r="M172" s="4">
        <v>3</v>
      </c>
      <c r="N172" s="4" t="s">
        <v>6</v>
      </c>
      <c r="O172" s="4">
        <v>2</v>
      </c>
      <c r="P172" s="4"/>
      <c r="Q172" s="4"/>
      <c r="R172" s="4"/>
      <c r="S172" s="4"/>
      <c r="T172" s="4"/>
      <c r="U172" s="4"/>
      <c r="V172" s="4"/>
      <c r="W172" s="4"/>
    </row>
    <row r="173" spans="1:23" x14ac:dyDescent="0.2">
      <c r="A173" s="4">
        <v>50</v>
      </c>
      <c r="B173" s="4">
        <v>0</v>
      </c>
      <c r="C173" s="4">
        <v>0</v>
      </c>
      <c r="D173" s="4">
        <v>1</v>
      </c>
      <c r="E173" s="4">
        <v>206</v>
      </c>
      <c r="F173" s="4">
        <f>ROUND(Source!T152,O173)</f>
        <v>0</v>
      </c>
      <c r="G173" s="4" t="s">
        <v>399</v>
      </c>
      <c r="H173" s="4" t="s">
        <v>400</v>
      </c>
      <c r="I173" s="4"/>
      <c r="J173" s="4"/>
      <c r="K173" s="4">
        <v>206</v>
      </c>
      <c r="L173" s="4">
        <v>20</v>
      </c>
      <c r="M173" s="4">
        <v>3</v>
      </c>
      <c r="N173" s="4" t="s">
        <v>6</v>
      </c>
      <c r="O173" s="4">
        <v>2</v>
      </c>
      <c r="P173" s="4"/>
      <c r="Q173" s="4"/>
      <c r="R173" s="4"/>
      <c r="S173" s="4"/>
      <c r="T173" s="4"/>
      <c r="U173" s="4"/>
      <c r="V173" s="4"/>
      <c r="W173" s="4"/>
    </row>
    <row r="174" spans="1:23" x14ac:dyDescent="0.2">
      <c r="A174" s="4">
        <v>50</v>
      </c>
      <c r="B174" s="4">
        <v>0</v>
      </c>
      <c r="C174" s="4">
        <v>0</v>
      </c>
      <c r="D174" s="4">
        <v>1</v>
      </c>
      <c r="E174" s="4">
        <v>207</v>
      </c>
      <c r="F174" s="4">
        <f>Source!U152</f>
        <v>65.718683999999996</v>
      </c>
      <c r="G174" s="4" t="s">
        <v>401</v>
      </c>
      <c r="H174" s="4" t="s">
        <v>402</v>
      </c>
      <c r="I174" s="4"/>
      <c r="J174" s="4"/>
      <c r="K174" s="4">
        <v>207</v>
      </c>
      <c r="L174" s="4">
        <v>21</v>
      </c>
      <c r="M174" s="4">
        <v>3</v>
      </c>
      <c r="N174" s="4" t="s">
        <v>6</v>
      </c>
      <c r="O174" s="4">
        <v>-1</v>
      </c>
      <c r="P174" s="4"/>
      <c r="Q174" s="4"/>
      <c r="R174" s="4"/>
      <c r="S174" s="4"/>
      <c r="T174" s="4"/>
      <c r="U174" s="4"/>
      <c r="V174" s="4"/>
      <c r="W174" s="4"/>
    </row>
    <row r="175" spans="1:23" x14ac:dyDescent="0.2">
      <c r="A175" s="4">
        <v>50</v>
      </c>
      <c r="B175" s="4">
        <v>0</v>
      </c>
      <c r="C175" s="4">
        <v>0</v>
      </c>
      <c r="D175" s="4">
        <v>1</v>
      </c>
      <c r="E175" s="4">
        <v>208</v>
      </c>
      <c r="F175" s="4">
        <f>Source!V152</f>
        <v>1.190048</v>
      </c>
      <c r="G175" s="4" t="s">
        <v>403</v>
      </c>
      <c r="H175" s="4" t="s">
        <v>404</v>
      </c>
      <c r="I175" s="4"/>
      <c r="J175" s="4"/>
      <c r="K175" s="4">
        <v>208</v>
      </c>
      <c r="L175" s="4">
        <v>22</v>
      </c>
      <c r="M175" s="4">
        <v>3</v>
      </c>
      <c r="N175" s="4" t="s">
        <v>6</v>
      </c>
      <c r="O175" s="4">
        <v>-1</v>
      </c>
      <c r="P175" s="4"/>
      <c r="Q175" s="4"/>
      <c r="R175" s="4"/>
      <c r="S175" s="4"/>
      <c r="T175" s="4"/>
      <c r="U175" s="4"/>
      <c r="V175" s="4"/>
      <c r="W175" s="4"/>
    </row>
    <row r="176" spans="1:23" x14ac:dyDescent="0.2">
      <c r="A176" s="4">
        <v>50</v>
      </c>
      <c r="B176" s="4">
        <v>0</v>
      </c>
      <c r="C176" s="4">
        <v>0</v>
      </c>
      <c r="D176" s="4">
        <v>1</v>
      </c>
      <c r="E176" s="4">
        <v>209</v>
      </c>
      <c r="F176" s="4">
        <f>ROUND(Source!W152,O176)</f>
        <v>0</v>
      </c>
      <c r="G176" s="4" t="s">
        <v>405</v>
      </c>
      <c r="H176" s="4" t="s">
        <v>406</v>
      </c>
      <c r="I176" s="4"/>
      <c r="J176" s="4"/>
      <c r="K176" s="4">
        <v>209</v>
      </c>
      <c r="L176" s="4">
        <v>23</v>
      </c>
      <c r="M176" s="4">
        <v>3</v>
      </c>
      <c r="N176" s="4" t="s">
        <v>6</v>
      </c>
      <c r="O176" s="4">
        <v>2</v>
      </c>
      <c r="P176" s="4"/>
      <c r="Q176" s="4"/>
      <c r="R176" s="4"/>
      <c r="S176" s="4"/>
      <c r="T176" s="4"/>
      <c r="U176" s="4"/>
      <c r="V176" s="4"/>
      <c r="W176" s="4"/>
    </row>
    <row r="177" spans="1:245" x14ac:dyDescent="0.2">
      <c r="A177" s="4">
        <v>50</v>
      </c>
      <c r="B177" s="4">
        <v>0</v>
      </c>
      <c r="C177" s="4">
        <v>0</v>
      </c>
      <c r="D177" s="4">
        <v>1</v>
      </c>
      <c r="E177" s="4">
        <v>210</v>
      </c>
      <c r="F177" s="4">
        <f>ROUND(Source!X152,O177)</f>
        <v>4211.62</v>
      </c>
      <c r="G177" s="4" t="s">
        <v>407</v>
      </c>
      <c r="H177" s="4" t="s">
        <v>408</v>
      </c>
      <c r="I177" s="4"/>
      <c r="J177" s="4"/>
      <c r="K177" s="4">
        <v>210</v>
      </c>
      <c r="L177" s="4">
        <v>24</v>
      </c>
      <c r="M177" s="4">
        <v>3</v>
      </c>
      <c r="N177" s="4" t="s">
        <v>6</v>
      </c>
      <c r="O177" s="4">
        <v>2</v>
      </c>
      <c r="P177" s="4"/>
      <c r="Q177" s="4"/>
      <c r="R177" s="4"/>
      <c r="S177" s="4"/>
      <c r="T177" s="4"/>
      <c r="U177" s="4"/>
      <c r="V177" s="4"/>
      <c r="W177" s="4"/>
    </row>
    <row r="178" spans="1:245" x14ac:dyDescent="0.2">
      <c r="A178" s="4">
        <v>50</v>
      </c>
      <c r="B178" s="4">
        <v>0</v>
      </c>
      <c r="C178" s="4">
        <v>0</v>
      </c>
      <c r="D178" s="4">
        <v>1</v>
      </c>
      <c r="E178" s="4">
        <v>211</v>
      </c>
      <c r="F178" s="4">
        <f>ROUND(Source!Y152,O178)</f>
        <v>2602.2800000000002</v>
      </c>
      <c r="G178" s="4" t="s">
        <v>409</v>
      </c>
      <c r="H178" s="4" t="s">
        <v>410</v>
      </c>
      <c r="I178" s="4"/>
      <c r="J178" s="4"/>
      <c r="K178" s="4">
        <v>211</v>
      </c>
      <c r="L178" s="4">
        <v>25</v>
      </c>
      <c r="M178" s="4">
        <v>3</v>
      </c>
      <c r="N178" s="4" t="s">
        <v>6</v>
      </c>
      <c r="O178" s="4">
        <v>2</v>
      </c>
      <c r="P178" s="4"/>
      <c r="Q178" s="4"/>
      <c r="R178" s="4"/>
      <c r="S178" s="4"/>
      <c r="T178" s="4"/>
      <c r="U178" s="4"/>
      <c r="V178" s="4"/>
      <c r="W178" s="4"/>
    </row>
    <row r="179" spans="1:245" x14ac:dyDescent="0.2">
      <c r="A179" s="4">
        <v>50</v>
      </c>
      <c r="B179" s="4">
        <v>0</v>
      </c>
      <c r="C179" s="4">
        <v>0</v>
      </c>
      <c r="D179" s="4">
        <v>1</v>
      </c>
      <c r="E179" s="4">
        <v>224</v>
      </c>
      <c r="F179" s="4">
        <f>ROUND(Source!AR152,O179)</f>
        <v>136618.32</v>
      </c>
      <c r="G179" s="4" t="s">
        <v>411</v>
      </c>
      <c r="H179" s="4" t="s">
        <v>412</v>
      </c>
      <c r="I179" s="4"/>
      <c r="J179" s="4"/>
      <c r="K179" s="4">
        <v>224</v>
      </c>
      <c r="L179" s="4">
        <v>26</v>
      </c>
      <c r="M179" s="4">
        <v>3</v>
      </c>
      <c r="N179" s="4" t="s">
        <v>6</v>
      </c>
      <c r="O179" s="4">
        <v>2</v>
      </c>
      <c r="P179" s="4"/>
      <c r="Q179" s="4"/>
      <c r="R179" s="4"/>
      <c r="S179" s="4"/>
      <c r="T179" s="4"/>
      <c r="U179" s="4"/>
      <c r="V179" s="4"/>
      <c r="W179" s="4"/>
    </row>
    <row r="181" spans="1:245" x14ac:dyDescent="0.2">
      <c r="A181" s="1">
        <v>4</v>
      </c>
      <c r="B181" s="1">
        <v>1</v>
      </c>
      <c r="C181" s="1"/>
      <c r="D181" s="1">
        <f>ROW(A228)</f>
        <v>228</v>
      </c>
      <c r="E181" s="1"/>
      <c r="F181" s="1" t="s">
        <v>13</v>
      </c>
      <c r="G181" s="1" t="s">
        <v>460</v>
      </c>
      <c r="H181" s="1" t="s">
        <v>6</v>
      </c>
      <c r="I181" s="1">
        <v>0</v>
      </c>
      <c r="J181" s="1"/>
      <c r="K181" s="1">
        <v>-1</v>
      </c>
      <c r="L181" s="1"/>
      <c r="M181" s="1"/>
      <c r="N181" s="1"/>
      <c r="O181" s="1"/>
      <c r="P181" s="1"/>
      <c r="Q181" s="1"/>
      <c r="R181" s="1"/>
      <c r="S181" s="1"/>
      <c r="T181" s="1"/>
      <c r="U181" s="1" t="s">
        <v>6</v>
      </c>
      <c r="V181" s="1">
        <v>0</v>
      </c>
      <c r="W181" s="1"/>
      <c r="X181" s="1"/>
      <c r="Y181" s="1"/>
      <c r="Z181" s="1"/>
      <c r="AA181" s="1"/>
      <c r="AB181" s="1" t="s">
        <v>6</v>
      </c>
      <c r="AC181" s="1" t="s">
        <v>6</v>
      </c>
      <c r="AD181" s="1" t="s">
        <v>6</v>
      </c>
      <c r="AE181" s="1" t="s">
        <v>6</v>
      </c>
      <c r="AF181" s="1" t="s">
        <v>6</v>
      </c>
      <c r="AG181" s="1" t="s">
        <v>6</v>
      </c>
      <c r="AH181" s="1"/>
      <c r="AI181" s="1"/>
      <c r="AJ181" s="1"/>
      <c r="AK181" s="1"/>
      <c r="AL181" s="1"/>
      <c r="AM181" s="1"/>
      <c r="AN181" s="1"/>
      <c r="AO181" s="1"/>
      <c r="AP181" s="1" t="s">
        <v>6</v>
      </c>
      <c r="AQ181" s="1" t="s">
        <v>6</v>
      </c>
      <c r="AR181" s="1" t="s">
        <v>6</v>
      </c>
      <c r="AS181" s="1"/>
      <c r="AT181" s="1"/>
      <c r="AU181" s="1"/>
      <c r="AV181" s="1"/>
      <c r="AW181" s="1"/>
      <c r="AX181" s="1"/>
      <c r="AY181" s="1"/>
      <c r="AZ181" s="1" t="s">
        <v>6</v>
      </c>
      <c r="BA181" s="1"/>
      <c r="BB181" s="1" t="s">
        <v>6</v>
      </c>
      <c r="BC181" s="1" t="s">
        <v>6</v>
      </c>
      <c r="BD181" s="1" t="s">
        <v>6</v>
      </c>
      <c r="BE181" s="1" t="s">
        <v>6</v>
      </c>
      <c r="BF181" s="1" t="s">
        <v>6</v>
      </c>
      <c r="BG181" s="1" t="s">
        <v>6</v>
      </c>
      <c r="BH181" s="1" t="s">
        <v>6</v>
      </c>
      <c r="BI181" s="1" t="s">
        <v>6</v>
      </c>
      <c r="BJ181" s="1" t="s">
        <v>6</v>
      </c>
      <c r="BK181" s="1" t="s">
        <v>6</v>
      </c>
      <c r="BL181" s="1" t="s">
        <v>6</v>
      </c>
      <c r="BM181" s="1" t="s">
        <v>6</v>
      </c>
      <c r="BN181" s="1" t="s">
        <v>6</v>
      </c>
      <c r="BO181" s="1" t="s">
        <v>6</v>
      </c>
      <c r="BP181" s="1" t="s">
        <v>6</v>
      </c>
      <c r="BQ181" s="1"/>
      <c r="BR181" s="1"/>
      <c r="BS181" s="1"/>
      <c r="BT181" s="1"/>
      <c r="BU181" s="1"/>
      <c r="BV181" s="1"/>
      <c r="BW181" s="1"/>
      <c r="BX181" s="1">
        <v>0</v>
      </c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>
        <v>0</v>
      </c>
    </row>
    <row r="183" spans="1:245" x14ac:dyDescent="0.2">
      <c r="A183" s="2">
        <v>52</v>
      </c>
      <c r="B183" s="2">
        <f t="shared" ref="B183:G183" si="203">B228</f>
        <v>1</v>
      </c>
      <c r="C183" s="2">
        <f t="shared" si="203"/>
        <v>4</v>
      </c>
      <c r="D183" s="2">
        <f t="shared" si="203"/>
        <v>181</v>
      </c>
      <c r="E183" s="2">
        <f t="shared" si="203"/>
        <v>0</v>
      </c>
      <c r="F183" s="2" t="str">
        <f t="shared" si="203"/>
        <v>Новый раздел</v>
      </c>
      <c r="G183" s="2" t="str">
        <f t="shared" si="203"/>
        <v>3 Электромонтажные работы</v>
      </c>
      <c r="H183" s="2"/>
      <c r="I183" s="2"/>
      <c r="J183" s="2"/>
      <c r="K183" s="2"/>
      <c r="L183" s="2"/>
      <c r="M183" s="2"/>
      <c r="N183" s="2"/>
      <c r="O183" s="2">
        <f t="shared" ref="O183:AT183" si="204">O228</f>
        <v>488957.19</v>
      </c>
      <c r="P183" s="2">
        <f t="shared" si="204"/>
        <v>432804.02</v>
      </c>
      <c r="Q183" s="2">
        <f t="shared" si="204"/>
        <v>2143.61</v>
      </c>
      <c r="R183" s="2">
        <f t="shared" si="204"/>
        <v>242.36</v>
      </c>
      <c r="S183" s="2">
        <f t="shared" si="204"/>
        <v>54009.56</v>
      </c>
      <c r="T183" s="2">
        <f t="shared" si="204"/>
        <v>0</v>
      </c>
      <c r="U183" s="2">
        <f t="shared" si="204"/>
        <v>542.27172000000007</v>
      </c>
      <c r="V183" s="2">
        <f t="shared" si="204"/>
        <v>2.8692799999999998</v>
      </c>
      <c r="W183" s="2">
        <f t="shared" si="204"/>
        <v>0</v>
      </c>
      <c r="X183" s="2">
        <f t="shared" si="204"/>
        <v>43078.77</v>
      </c>
      <c r="Y183" s="2">
        <f t="shared" si="204"/>
        <v>28494.04</v>
      </c>
      <c r="Z183" s="2">
        <f t="shared" si="204"/>
        <v>0</v>
      </c>
      <c r="AA183" s="2">
        <f t="shared" si="204"/>
        <v>0</v>
      </c>
      <c r="AB183" s="2">
        <f t="shared" si="204"/>
        <v>488957.19</v>
      </c>
      <c r="AC183" s="2">
        <f t="shared" si="204"/>
        <v>432804.02</v>
      </c>
      <c r="AD183" s="2">
        <f t="shared" si="204"/>
        <v>2143.61</v>
      </c>
      <c r="AE183" s="2">
        <f t="shared" si="204"/>
        <v>242.36</v>
      </c>
      <c r="AF183" s="2">
        <f t="shared" si="204"/>
        <v>54009.56</v>
      </c>
      <c r="AG183" s="2">
        <f t="shared" si="204"/>
        <v>0</v>
      </c>
      <c r="AH183" s="2">
        <f t="shared" si="204"/>
        <v>542.27172000000007</v>
      </c>
      <c r="AI183" s="2">
        <f t="shared" si="204"/>
        <v>2.8692799999999998</v>
      </c>
      <c r="AJ183" s="2">
        <f t="shared" si="204"/>
        <v>0</v>
      </c>
      <c r="AK183" s="2">
        <f t="shared" si="204"/>
        <v>43078.77</v>
      </c>
      <c r="AL183" s="2">
        <f t="shared" si="204"/>
        <v>28494.04</v>
      </c>
      <c r="AM183" s="2">
        <f t="shared" si="204"/>
        <v>0</v>
      </c>
      <c r="AN183" s="2">
        <f t="shared" si="204"/>
        <v>0</v>
      </c>
      <c r="AO183" s="2">
        <f t="shared" si="204"/>
        <v>0</v>
      </c>
      <c r="AP183" s="2">
        <f t="shared" si="204"/>
        <v>0</v>
      </c>
      <c r="AQ183" s="2">
        <f t="shared" si="204"/>
        <v>0</v>
      </c>
      <c r="AR183" s="2">
        <f t="shared" si="204"/>
        <v>560530</v>
      </c>
      <c r="AS183" s="2">
        <f t="shared" si="204"/>
        <v>4763.38</v>
      </c>
      <c r="AT183" s="2">
        <f t="shared" si="204"/>
        <v>501527.72</v>
      </c>
      <c r="AU183" s="2">
        <f t="shared" ref="AU183:BZ183" si="205">AU228</f>
        <v>54238.9</v>
      </c>
      <c r="AV183" s="2">
        <f t="shared" si="205"/>
        <v>432804.02</v>
      </c>
      <c r="AW183" s="2">
        <f t="shared" si="205"/>
        <v>432804.02</v>
      </c>
      <c r="AX183" s="2">
        <f t="shared" si="205"/>
        <v>0</v>
      </c>
      <c r="AY183" s="2">
        <f t="shared" si="205"/>
        <v>432804.02</v>
      </c>
      <c r="AZ183" s="2">
        <f t="shared" si="205"/>
        <v>0</v>
      </c>
      <c r="BA183" s="2">
        <f t="shared" si="205"/>
        <v>0</v>
      </c>
      <c r="BB183" s="2">
        <f t="shared" si="205"/>
        <v>0</v>
      </c>
      <c r="BC183" s="2">
        <f t="shared" si="205"/>
        <v>0</v>
      </c>
      <c r="BD183" s="2">
        <f t="shared" si="205"/>
        <v>0</v>
      </c>
      <c r="BE183" s="2">
        <f t="shared" si="205"/>
        <v>0</v>
      </c>
      <c r="BF183" s="2">
        <f t="shared" si="205"/>
        <v>0</v>
      </c>
      <c r="BG183" s="2">
        <f t="shared" si="205"/>
        <v>0</v>
      </c>
      <c r="BH183" s="2">
        <f t="shared" si="205"/>
        <v>0</v>
      </c>
      <c r="BI183" s="2">
        <f t="shared" si="205"/>
        <v>0</v>
      </c>
      <c r="BJ183" s="2">
        <f t="shared" si="205"/>
        <v>0</v>
      </c>
      <c r="BK183" s="2">
        <f t="shared" si="205"/>
        <v>0</v>
      </c>
      <c r="BL183" s="2">
        <f t="shared" si="205"/>
        <v>0</v>
      </c>
      <c r="BM183" s="2">
        <f t="shared" si="205"/>
        <v>0</v>
      </c>
      <c r="BN183" s="2">
        <f t="shared" si="205"/>
        <v>0</v>
      </c>
      <c r="BO183" s="2">
        <f t="shared" si="205"/>
        <v>0</v>
      </c>
      <c r="BP183" s="2">
        <f t="shared" si="205"/>
        <v>0</v>
      </c>
      <c r="BQ183" s="2">
        <f t="shared" si="205"/>
        <v>0</v>
      </c>
      <c r="BR183" s="2">
        <f t="shared" si="205"/>
        <v>0</v>
      </c>
      <c r="BS183" s="2">
        <f t="shared" si="205"/>
        <v>0</v>
      </c>
      <c r="BT183" s="2">
        <f t="shared" si="205"/>
        <v>0</v>
      </c>
      <c r="BU183" s="2">
        <f t="shared" si="205"/>
        <v>0</v>
      </c>
      <c r="BV183" s="2">
        <f t="shared" si="205"/>
        <v>0</v>
      </c>
      <c r="BW183" s="2">
        <f t="shared" si="205"/>
        <v>0</v>
      </c>
      <c r="BX183" s="2">
        <f t="shared" si="205"/>
        <v>0</v>
      </c>
      <c r="BY183" s="2">
        <f t="shared" si="205"/>
        <v>0</v>
      </c>
      <c r="BZ183" s="2">
        <f t="shared" si="205"/>
        <v>0</v>
      </c>
      <c r="CA183" s="2">
        <f t="shared" ref="CA183:DF183" si="206">CA228</f>
        <v>560530</v>
      </c>
      <c r="CB183" s="2">
        <f t="shared" si="206"/>
        <v>4763.38</v>
      </c>
      <c r="CC183" s="2">
        <f t="shared" si="206"/>
        <v>501527.72</v>
      </c>
      <c r="CD183" s="2">
        <f t="shared" si="206"/>
        <v>54238.9</v>
      </c>
      <c r="CE183" s="2">
        <f t="shared" si="206"/>
        <v>432804.02</v>
      </c>
      <c r="CF183" s="2">
        <f t="shared" si="206"/>
        <v>432804.02</v>
      </c>
      <c r="CG183" s="2">
        <f t="shared" si="206"/>
        <v>0</v>
      </c>
      <c r="CH183" s="2">
        <f t="shared" si="206"/>
        <v>432804.02</v>
      </c>
      <c r="CI183" s="2">
        <f t="shared" si="206"/>
        <v>0</v>
      </c>
      <c r="CJ183" s="2">
        <f t="shared" si="206"/>
        <v>0</v>
      </c>
      <c r="CK183" s="2">
        <f t="shared" si="206"/>
        <v>0</v>
      </c>
      <c r="CL183" s="2">
        <f t="shared" si="206"/>
        <v>0</v>
      </c>
      <c r="CM183" s="2">
        <f t="shared" si="206"/>
        <v>0</v>
      </c>
      <c r="CN183" s="2">
        <f t="shared" si="206"/>
        <v>0</v>
      </c>
      <c r="CO183" s="2">
        <f t="shared" si="206"/>
        <v>0</v>
      </c>
      <c r="CP183" s="2">
        <f t="shared" si="206"/>
        <v>0</v>
      </c>
      <c r="CQ183" s="2">
        <f t="shared" si="206"/>
        <v>0</v>
      </c>
      <c r="CR183" s="2">
        <f t="shared" si="206"/>
        <v>0</v>
      </c>
      <c r="CS183" s="2">
        <f t="shared" si="206"/>
        <v>0</v>
      </c>
      <c r="CT183" s="2">
        <f t="shared" si="206"/>
        <v>0</v>
      </c>
      <c r="CU183" s="2">
        <f t="shared" si="206"/>
        <v>0</v>
      </c>
      <c r="CV183" s="2">
        <f t="shared" si="206"/>
        <v>0</v>
      </c>
      <c r="CW183" s="2">
        <f t="shared" si="206"/>
        <v>0</v>
      </c>
      <c r="CX183" s="2">
        <f t="shared" si="206"/>
        <v>0</v>
      </c>
      <c r="CY183" s="2">
        <f t="shared" si="206"/>
        <v>0</v>
      </c>
      <c r="CZ183" s="2">
        <f t="shared" si="206"/>
        <v>0</v>
      </c>
      <c r="DA183" s="2">
        <f t="shared" si="206"/>
        <v>0</v>
      </c>
      <c r="DB183" s="2">
        <f t="shared" si="206"/>
        <v>0</v>
      </c>
      <c r="DC183" s="2">
        <f t="shared" si="206"/>
        <v>0</v>
      </c>
      <c r="DD183" s="2">
        <f t="shared" si="206"/>
        <v>0</v>
      </c>
      <c r="DE183" s="2">
        <f t="shared" si="206"/>
        <v>0</v>
      </c>
      <c r="DF183" s="2">
        <f t="shared" si="206"/>
        <v>0</v>
      </c>
      <c r="DG183" s="3">
        <f t="shared" ref="DG183:EL183" si="207">DG228</f>
        <v>0</v>
      </c>
      <c r="DH183" s="3">
        <f t="shared" si="207"/>
        <v>0</v>
      </c>
      <c r="DI183" s="3">
        <f t="shared" si="207"/>
        <v>0</v>
      </c>
      <c r="DJ183" s="3">
        <f t="shared" si="207"/>
        <v>0</v>
      </c>
      <c r="DK183" s="3">
        <f t="shared" si="207"/>
        <v>0</v>
      </c>
      <c r="DL183" s="3">
        <f t="shared" si="207"/>
        <v>0</v>
      </c>
      <c r="DM183" s="3">
        <f t="shared" si="207"/>
        <v>0</v>
      </c>
      <c r="DN183" s="3">
        <f t="shared" si="207"/>
        <v>0</v>
      </c>
      <c r="DO183" s="3">
        <f t="shared" si="207"/>
        <v>0</v>
      </c>
      <c r="DP183" s="3">
        <f t="shared" si="207"/>
        <v>0</v>
      </c>
      <c r="DQ183" s="3">
        <f t="shared" si="207"/>
        <v>0</v>
      </c>
      <c r="DR183" s="3">
        <f t="shared" si="207"/>
        <v>0</v>
      </c>
      <c r="DS183" s="3">
        <f t="shared" si="207"/>
        <v>0</v>
      </c>
      <c r="DT183" s="3">
        <f t="shared" si="207"/>
        <v>0</v>
      </c>
      <c r="DU183" s="3">
        <f t="shared" si="207"/>
        <v>0</v>
      </c>
      <c r="DV183" s="3">
        <f t="shared" si="207"/>
        <v>0</v>
      </c>
      <c r="DW183" s="3">
        <f t="shared" si="207"/>
        <v>0</v>
      </c>
      <c r="DX183" s="3">
        <f t="shared" si="207"/>
        <v>0</v>
      </c>
      <c r="DY183" s="3">
        <f t="shared" si="207"/>
        <v>0</v>
      </c>
      <c r="DZ183" s="3">
        <f t="shared" si="207"/>
        <v>0</v>
      </c>
      <c r="EA183" s="3">
        <f t="shared" si="207"/>
        <v>0</v>
      </c>
      <c r="EB183" s="3">
        <f t="shared" si="207"/>
        <v>0</v>
      </c>
      <c r="EC183" s="3">
        <f t="shared" si="207"/>
        <v>0</v>
      </c>
      <c r="ED183" s="3">
        <f t="shared" si="207"/>
        <v>0</v>
      </c>
      <c r="EE183" s="3">
        <f t="shared" si="207"/>
        <v>0</v>
      </c>
      <c r="EF183" s="3">
        <f t="shared" si="207"/>
        <v>0</v>
      </c>
      <c r="EG183" s="3">
        <f t="shared" si="207"/>
        <v>0</v>
      </c>
      <c r="EH183" s="3">
        <f t="shared" si="207"/>
        <v>0</v>
      </c>
      <c r="EI183" s="3">
        <f t="shared" si="207"/>
        <v>0</v>
      </c>
      <c r="EJ183" s="3">
        <f t="shared" si="207"/>
        <v>0</v>
      </c>
      <c r="EK183" s="3">
        <f t="shared" si="207"/>
        <v>0</v>
      </c>
      <c r="EL183" s="3">
        <f t="shared" si="207"/>
        <v>0</v>
      </c>
      <c r="EM183" s="3">
        <f t="shared" ref="EM183:FR183" si="208">EM228</f>
        <v>0</v>
      </c>
      <c r="EN183" s="3">
        <f t="shared" si="208"/>
        <v>0</v>
      </c>
      <c r="EO183" s="3">
        <f t="shared" si="208"/>
        <v>0</v>
      </c>
      <c r="EP183" s="3">
        <f t="shared" si="208"/>
        <v>0</v>
      </c>
      <c r="EQ183" s="3">
        <f t="shared" si="208"/>
        <v>0</v>
      </c>
      <c r="ER183" s="3">
        <f t="shared" si="208"/>
        <v>0</v>
      </c>
      <c r="ES183" s="3">
        <f t="shared" si="208"/>
        <v>0</v>
      </c>
      <c r="ET183" s="3">
        <f t="shared" si="208"/>
        <v>0</v>
      </c>
      <c r="EU183" s="3">
        <f t="shared" si="208"/>
        <v>0</v>
      </c>
      <c r="EV183" s="3">
        <f t="shared" si="208"/>
        <v>0</v>
      </c>
      <c r="EW183" s="3">
        <f t="shared" si="208"/>
        <v>0</v>
      </c>
      <c r="EX183" s="3">
        <f t="shared" si="208"/>
        <v>0</v>
      </c>
      <c r="EY183" s="3">
        <f t="shared" si="208"/>
        <v>0</v>
      </c>
      <c r="EZ183" s="3">
        <f t="shared" si="208"/>
        <v>0</v>
      </c>
      <c r="FA183" s="3">
        <f t="shared" si="208"/>
        <v>0</v>
      </c>
      <c r="FB183" s="3">
        <f t="shared" si="208"/>
        <v>0</v>
      </c>
      <c r="FC183" s="3">
        <f t="shared" si="208"/>
        <v>0</v>
      </c>
      <c r="FD183" s="3">
        <f t="shared" si="208"/>
        <v>0</v>
      </c>
      <c r="FE183" s="3">
        <f t="shared" si="208"/>
        <v>0</v>
      </c>
      <c r="FF183" s="3">
        <f t="shared" si="208"/>
        <v>0</v>
      </c>
      <c r="FG183" s="3">
        <f t="shared" si="208"/>
        <v>0</v>
      </c>
      <c r="FH183" s="3">
        <f t="shared" si="208"/>
        <v>0</v>
      </c>
      <c r="FI183" s="3">
        <f t="shared" si="208"/>
        <v>0</v>
      </c>
      <c r="FJ183" s="3">
        <f t="shared" si="208"/>
        <v>0</v>
      </c>
      <c r="FK183" s="3">
        <f t="shared" si="208"/>
        <v>0</v>
      </c>
      <c r="FL183" s="3">
        <f t="shared" si="208"/>
        <v>0</v>
      </c>
      <c r="FM183" s="3">
        <f t="shared" si="208"/>
        <v>0</v>
      </c>
      <c r="FN183" s="3">
        <f t="shared" si="208"/>
        <v>0</v>
      </c>
      <c r="FO183" s="3">
        <f t="shared" si="208"/>
        <v>0</v>
      </c>
      <c r="FP183" s="3">
        <f t="shared" si="208"/>
        <v>0</v>
      </c>
      <c r="FQ183" s="3">
        <f t="shared" si="208"/>
        <v>0</v>
      </c>
      <c r="FR183" s="3">
        <f t="shared" si="208"/>
        <v>0</v>
      </c>
      <c r="FS183" s="3">
        <f t="shared" ref="FS183:GX183" si="209">FS228</f>
        <v>0</v>
      </c>
      <c r="FT183" s="3">
        <f t="shared" si="209"/>
        <v>0</v>
      </c>
      <c r="FU183" s="3">
        <f t="shared" si="209"/>
        <v>0</v>
      </c>
      <c r="FV183" s="3">
        <f t="shared" si="209"/>
        <v>0</v>
      </c>
      <c r="FW183" s="3">
        <f t="shared" si="209"/>
        <v>0</v>
      </c>
      <c r="FX183" s="3">
        <f t="shared" si="209"/>
        <v>0</v>
      </c>
      <c r="FY183" s="3">
        <f t="shared" si="209"/>
        <v>0</v>
      </c>
      <c r="FZ183" s="3">
        <f t="shared" si="209"/>
        <v>0</v>
      </c>
      <c r="GA183" s="3">
        <f t="shared" si="209"/>
        <v>0</v>
      </c>
      <c r="GB183" s="3">
        <f t="shared" si="209"/>
        <v>0</v>
      </c>
      <c r="GC183" s="3">
        <f t="shared" si="209"/>
        <v>0</v>
      </c>
      <c r="GD183" s="3">
        <f t="shared" si="209"/>
        <v>0</v>
      </c>
      <c r="GE183" s="3">
        <f t="shared" si="209"/>
        <v>0</v>
      </c>
      <c r="GF183" s="3">
        <f t="shared" si="209"/>
        <v>0</v>
      </c>
      <c r="GG183" s="3">
        <f t="shared" si="209"/>
        <v>0</v>
      </c>
      <c r="GH183" s="3">
        <f t="shared" si="209"/>
        <v>0</v>
      </c>
      <c r="GI183" s="3">
        <f t="shared" si="209"/>
        <v>0</v>
      </c>
      <c r="GJ183" s="3">
        <f t="shared" si="209"/>
        <v>0</v>
      </c>
      <c r="GK183" s="3">
        <f t="shared" si="209"/>
        <v>0</v>
      </c>
      <c r="GL183" s="3">
        <f t="shared" si="209"/>
        <v>0</v>
      </c>
      <c r="GM183" s="3">
        <f t="shared" si="209"/>
        <v>0</v>
      </c>
      <c r="GN183" s="3">
        <f t="shared" si="209"/>
        <v>0</v>
      </c>
      <c r="GO183" s="3">
        <f t="shared" si="209"/>
        <v>0</v>
      </c>
      <c r="GP183" s="3">
        <f t="shared" si="209"/>
        <v>0</v>
      </c>
      <c r="GQ183" s="3">
        <f t="shared" si="209"/>
        <v>0</v>
      </c>
      <c r="GR183" s="3">
        <f t="shared" si="209"/>
        <v>0</v>
      </c>
      <c r="GS183" s="3">
        <f t="shared" si="209"/>
        <v>0</v>
      </c>
      <c r="GT183" s="3">
        <f t="shared" si="209"/>
        <v>0</v>
      </c>
      <c r="GU183" s="3">
        <f t="shared" si="209"/>
        <v>0</v>
      </c>
      <c r="GV183" s="3">
        <f t="shared" si="209"/>
        <v>0</v>
      </c>
      <c r="GW183" s="3">
        <f t="shared" si="209"/>
        <v>0</v>
      </c>
      <c r="GX183" s="3">
        <f t="shared" si="209"/>
        <v>0</v>
      </c>
    </row>
    <row r="185" spans="1:245" x14ac:dyDescent="0.2">
      <c r="A185">
        <v>17</v>
      </c>
      <c r="B185">
        <v>1</v>
      </c>
      <c r="E185" t="s">
        <v>461</v>
      </c>
      <c r="F185" t="s">
        <v>462</v>
      </c>
      <c r="G185" t="s">
        <v>463</v>
      </c>
      <c r="H185" t="s">
        <v>39</v>
      </c>
      <c r="I185">
        <f>ROUND(242/100,9)</f>
        <v>2.42</v>
      </c>
      <c r="J185">
        <v>0</v>
      </c>
      <c r="O185">
        <f t="shared" ref="O185:O226" si="210">ROUND(CP185,2)</f>
        <v>1225.98</v>
      </c>
      <c r="P185">
        <f t="shared" ref="P185:P226" si="211">ROUND(CQ185*I185,2)</f>
        <v>0</v>
      </c>
      <c r="Q185">
        <f t="shared" ref="Q185:Q226" si="212">ROUND(CR185*I185,2)</f>
        <v>5.03</v>
      </c>
      <c r="R185">
        <f t="shared" ref="R185:R226" si="213">ROUND(CS185*I185,2)</f>
        <v>2.27</v>
      </c>
      <c r="S185">
        <f t="shared" ref="S185:S226" si="214">ROUND(CT185*I185,2)</f>
        <v>1220.95</v>
      </c>
      <c r="T185">
        <f t="shared" ref="T185:T226" si="215">ROUND(CU185*I185,2)</f>
        <v>0</v>
      </c>
      <c r="U185">
        <f t="shared" ref="U185:U226" si="216">CV185*I185</f>
        <v>23.328800000000001</v>
      </c>
      <c r="V185">
        <f t="shared" ref="V185:V226" si="217">CW185*I185</f>
        <v>2.4199999999999999E-2</v>
      </c>
      <c r="W185">
        <f t="shared" ref="W185:W226" si="218">ROUND(CX185*I185,2)</f>
        <v>0</v>
      </c>
      <c r="X185">
        <f t="shared" ref="X185:X226" si="219">ROUND(CY185,2)</f>
        <v>1039.74</v>
      </c>
      <c r="Y185">
        <f t="shared" ref="Y185:Y226" si="220">ROUND(CZ185,2)</f>
        <v>795.09</v>
      </c>
      <c r="AA185">
        <v>16812721</v>
      </c>
      <c r="AB185">
        <f t="shared" ref="AB185:AB226" si="221">ROUND((AC185+AD185+AF185),2)</f>
        <v>75.5</v>
      </c>
      <c r="AC185">
        <f>ROUND((ES185),2)</f>
        <v>0</v>
      </c>
      <c r="AD185">
        <f>ROUND((((ET185)-(EU185))+AE185),2)</f>
        <v>0.31</v>
      </c>
      <c r="AE185">
        <f>ROUND((EU185),2)</f>
        <v>0.14000000000000001</v>
      </c>
      <c r="AF185">
        <f>ROUND((EV185),2)</f>
        <v>75.19</v>
      </c>
      <c r="AG185">
        <f t="shared" ref="AG185:AG226" si="222">ROUND((AP185),2)</f>
        <v>0</v>
      </c>
      <c r="AH185">
        <f>(EW185)</f>
        <v>9.64</v>
      </c>
      <c r="AI185">
        <f>(EX185)</f>
        <v>0.01</v>
      </c>
      <c r="AJ185">
        <f t="shared" ref="AJ185:AJ226" si="223">(AS185)</f>
        <v>0</v>
      </c>
      <c r="AK185">
        <v>75.5</v>
      </c>
      <c r="AL185">
        <v>0</v>
      </c>
      <c r="AM185">
        <v>0.31</v>
      </c>
      <c r="AN185">
        <v>0.14000000000000001</v>
      </c>
      <c r="AO185">
        <v>75.19</v>
      </c>
      <c r="AP185">
        <v>0</v>
      </c>
      <c r="AQ185">
        <v>9.64</v>
      </c>
      <c r="AR185">
        <v>0.01</v>
      </c>
      <c r="AS185">
        <v>0</v>
      </c>
      <c r="AT185">
        <v>85</v>
      </c>
      <c r="AU185">
        <v>65</v>
      </c>
      <c r="AV185">
        <v>1</v>
      </c>
      <c r="AW185">
        <v>1</v>
      </c>
      <c r="AZ185">
        <v>6.71</v>
      </c>
      <c r="BA185">
        <v>6.71</v>
      </c>
      <c r="BB185">
        <v>6.71</v>
      </c>
      <c r="BC185">
        <v>6.71</v>
      </c>
      <c r="BD185" t="s">
        <v>6</v>
      </c>
      <c r="BE185" t="s">
        <v>6</v>
      </c>
      <c r="BF185" t="s">
        <v>6</v>
      </c>
      <c r="BG185" t="s">
        <v>6</v>
      </c>
      <c r="BH185">
        <v>0</v>
      </c>
      <c r="BI185">
        <v>1</v>
      </c>
      <c r="BJ185" t="s">
        <v>464</v>
      </c>
      <c r="BM185">
        <v>67001</v>
      </c>
      <c r="BN185">
        <v>0</v>
      </c>
      <c r="BO185" t="s">
        <v>6</v>
      </c>
      <c r="BP185">
        <v>0</v>
      </c>
      <c r="BQ185">
        <v>6</v>
      </c>
      <c r="BR185">
        <v>0</v>
      </c>
      <c r="BS185">
        <v>6.71</v>
      </c>
      <c r="BT185">
        <v>1</v>
      </c>
      <c r="BU185">
        <v>1</v>
      </c>
      <c r="BV185">
        <v>1</v>
      </c>
      <c r="BW185">
        <v>1</v>
      </c>
      <c r="BX185">
        <v>1</v>
      </c>
      <c r="BY185" t="s">
        <v>6</v>
      </c>
      <c r="BZ185">
        <v>85</v>
      </c>
      <c r="CA185">
        <v>65</v>
      </c>
      <c r="CE185">
        <v>0</v>
      </c>
      <c r="CF185">
        <v>0</v>
      </c>
      <c r="CG185">
        <v>0</v>
      </c>
      <c r="CM185">
        <v>0</v>
      </c>
      <c r="CN185" t="s">
        <v>6</v>
      </c>
      <c r="CO185">
        <v>0</v>
      </c>
      <c r="CP185">
        <f t="shared" ref="CP185:CP226" si="224">(P185+Q185+S185)</f>
        <v>1225.98</v>
      </c>
      <c r="CQ185">
        <f t="shared" ref="CQ185:CQ226" si="225">AC185*BC185</f>
        <v>0</v>
      </c>
      <c r="CR185">
        <f t="shared" ref="CR185:CR226" si="226">AD185*BB185</f>
        <v>2.0800999999999998</v>
      </c>
      <c r="CS185">
        <f t="shared" ref="CS185:CS226" si="227">AE185*BS185</f>
        <v>0.93940000000000012</v>
      </c>
      <c r="CT185">
        <f t="shared" ref="CT185:CT226" si="228">AF185*BA185</f>
        <v>504.5249</v>
      </c>
      <c r="CU185">
        <f t="shared" ref="CU185:CU226" si="229">AG185</f>
        <v>0</v>
      </c>
      <c r="CV185">
        <f t="shared" ref="CV185:CV226" si="230">AH185</f>
        <v>9.64</v>
      </c>
      <c r="CW185">
        <f t="shared" ref="CW185:CW226" si="231">AI185</f>
        <v>0.01</v>
      </c>
      <c r="CX185">
        <f t="shared" ref="CX185:CX226" si="232">AJ185</f>
        <v>0</v>
      </c>
      <c r="CY185">
        <f t="shared" ref="CY185:CY226" si="233">(((S185+R185)*AT185)/100)</f>
        <v>1039.7370000000001</v>
      </c>
      <c r="CZ185">
        <f t="shared" ref="CZ185:CZ226" si="234">(((S185+R185)*AU185)/100)</f>
        <v>795.09300000000007</v>
      </c>
      <c r="DC185" t="s">
        <v>6</v>
      </c>
      <c r="DD185" t="s">
        <v>6</v>
      </c>
      <c r="DE185" t="s">
        <v>6</v>
      </c>
      <c r="DF185" t="s">
        <v>6</v>
      </c>
      <c r="DG185" t="s">
        <v>6</v>
      </c>
      <c r="DH185" t="s">
        <v>6</v>
      </c>
      <c r="DI185" t="s">
        <v>6</v>
      </c>
      <c r="DJ185" t="s">
        <v>6</v>
      </c>
      <c r="DK185" t="s">
        <v>6</v>
      </c>
      <c r="DL185" t="s">
        <v>6</v>
      </c>
      <c r="DM185" t="s">
        <v>6</v>
      </c>
      <c r="DN185">
        <v>0</v>
      </c>
      <c r="DO185">
        <v>0</v>
      </c>
      <c r="DP185">
        <v>1</v>
      </c>
      <c r="DQ185">
        <v>1</v>
      </c>
      <c r="DU185">
        <v>1003</v>
      </c>
      <c r="DV185" t="s">
        <v>39</v>
      </c>
      <c r="DW185" t="s">
        <v>39</v>
      </c>
      <c r="DX185">
        <v>100</v>
      </c>
      <c r="EE185">
        <v>16510612</v>
      </c>
      <c r="EF185">
        <v>6</v>
      </c>
      <c r="EG185" t="s">
        <v>41</v>
      </c>
      <c r="EH185">
        <v>0</v>
      </c>
      <c r="EI185" t="s">
        <v>6</v>
      </c>
      <c r="EJ185">
        <v>1</v>
      </c>
      <c r="EK185">
        <v>67001</v>
      </c>
      <c r="EL185" t="s">
        <v>465</v>
      </c>
      <c r="EM185" t="s">
        <v>466</v>
      </c>
      <c r="EO185" t="s">
        <v>6</v>
      </c>
      <c r="EQ185">
        <v>131072</v>
      </c>
      <c r="ER185">
        <v>75.5</v>
      </c>
      <c r="ES185">
        <v>0</v>
      </c>
      <c r="ET185">
        <v>0.31</v>
      </c>
      <c r="EU185">
        <v>0.14000000000000001</v>
      </c>
      <c r="EV185">
        <v>75.19</v>
      </c>
      <c r="EW185">
        <v>9.64</v>
      </c>
      <c r="EX185">
        <v>0.01</v>
      </c>
      <c r="EY185">
        <v>0</v>
      </c>
      <c r="FQ185">
        <v>0</v>
      </c>
      <c r="FR185">
        <f t="shared" ref="FR185:FR226" si="235">ROUND(IF(AND(BH185=3,BI185=3),P185,0),2)</f>
        <v>0</v>
      </c>
      <c r="FS185">
        <v>0</v>
      </c>
      <c r="FX185">
        <v>85</v>
      </c>
      <c r="FY185">
        <v>65</v>
      </c>
      <c r="GA185" t="s">
        <v>6</v>
      </c>
      <c r="GD185">
        <v>0</v>
      </c>
      <c r="GF185">
        <v>-240526577</v>
      </c>
      <c r="GG185">
        <v>1</v>
      </c>
      <c r="GH185">
        <v>1</v>
      </c>
      <c r="GI185">
        <v>4</v>
      </c>
      <c r="GJ185">
        <v>0</v>
      </c>
      <c r="GK185">
        <f>ROUND(R185*(R12)/100,2)</f>
        <v>0</v>
      </c>
      <c r="GL185">
        <f t="shared" ref="GL185:GL226" si="236">ROUND(IF(AND(BH185=3,BI185=3,FS185&lt;&gt;0),P185,0),2)</f>
        <v>0</v>
      </c>
      <c r="GM185">
        <f t="shared" ref="GM185:GM226" si="237">ROUND(O185+X185+Y185+GK185,2)+GX185</f>
        <v>3060.81</v>
      </c>
      <c r="GN185">
        <f t="shared" ref="GN185:GN226" si="238">IF(OR(BI185=0,BI185=1),ROUND(O185+X185+Y185+GK185,2),0)</f>
        <v>3060.81</v>
      </c>
      <c r="GO185">
        <f t="shared" ref="GO185:GO226" si="239">IF(BI185=2,ROUND(O185+X185+Y185+GK185,2),0)</f>
        <v>0</v>
      </c>
      <c r="GP185">
        <f t="shared" ref="GP185:GP226" si="240">IF(BI185=4,ROUND(O185+X185+Y185+GK185,2)+GX185,0)</f>
        <v>0</v>
      </c>
      <c r="GR185">
        <v>0</v>
      </c>
      <c r="GS185">
        <v>3</v>
      </c>
      <c r="GT185">
        <v>0</v>
      </c>
      <c r="GU185" t="s">
        <v>6</v>
      </c>
      <c r="GV185">
        <f t="shared" ref="GV185:GV226" si="241">ROUND((GT185),2)</f>
        <v>0</v>
      </c>
      <c r="GW185">
        <v>1</v>
      </c>
      <c r="GX185">
        <f t="shared" ref="GX185:GX226" si="242">ROUND(HC185*I185,2)</f>
        <v>0</v>
      </c>
      <c r="HA185">
        <v>0</v>
      </c>
      <c r="HB185">
        <v>0</v>
      </c>
      <c r="HC185">
        <f t="shared" ref="HC185:HC226" si="243">GV185*GW185</f>
        <v>0</v>
      </c>
      <c r="IK185">
        <v>0</v>
      </c>
    </row>
    <row r="186" spans="1:245" x14ac:dyDescent="0.2">
      <c r="A186">
        <v>17</v>
      </c>
      <c r="B186">
        <v>1</v>
      </c>
      <c r="C186">
        <f>ROW(SmtRes!A238)</f>
        <v>238</v>
      </c>
      <c r="D186">
        <f>ROW(EtalonRes!A233)</f>
        <v>233</v>
      </c>
      <c r="E186" t="s">
        <v>467</v>
      </c>
      <c r="F186" t="s">
        <v>468</v>
      </c>
      <c r="G186" t="s">
        <v>469</v>
      </c>
      <c r="H186" t="s">
        <v>39</v>
      </c>
      <c r="I186">
        <f>ROUND(96/100,9)</f>
        <v>0.96</v>
      </c>
      <c r="J186">
        <v>0</v>
      </c>
      <c r="O186">
        <f t="shared" si="210"/>
        <v>299.99</v>
      </c>
      <c r="P186">
        <f t="shared" si="211"/>
        <v>0</v>
      </c>
      <c r="Q186">
        <f t="shared" si="212"/>
        <v>0.57999999999999996</v>
      </c>
      <c r="R186">
        <f t="shared" si="213"/>
        <v>0.26</v>
      </c>
      <c r="S186">
        <f t="shared" si="214"/>
        <v>299.41000000000003</v>
      </c>
      <c r="T186">
        <f t="shared" si="215"/>
        <v>0</v>
      </c>
      <c r="U186">
        <f t="shared" si="216"/>
        <v>4.6915199999999997</v>
      </c>
      <c r="V186">
        <f t="shared" si="217"/>
        <v>2.8799999999999997E-3</v>
      </c>
      <c r="W186">
        <f t="shared" si="218"/>
        <v>0</v>
      </c>
      <c r="X186">
        <f t="shared" si="219"/>
        <v>284.69</v>
      </c>
      <c r="Y186">
        <f t="shared" si="220"/>
        <v>194.79</v>
      </c>
      <c r="AA186">
        <v>16812721</v>
      </c>
      <c r="AB186">
        <f t="shared" si="221"/>
        <v>46.57</v>
      </c>
      <c r="AC186">
        <f>ROUND(((ES186*0)),2)</f>
        <v>0</v>
      </c>
      <c r="AD186">
        <f>ROUND(((((ET186*0.3))-((EU186*0.3)))+AE186),2)</f>
        <v>0.09</v>
      </c>
      <c r="AE186">
        <f>ROUND(((EU186*0.3)),2)</f>
        <v>0.04</v>
      </c>
      <c r="AF186">
        <f>ROUND(((EV186*0.3)),2)</f>
        <v>46.48</v>
      </c>
      <c r="AG186">
        <f t="shared" si="222"/>
        <v>0</v>
      </c>
      <c r="AH186">
        <f>((EW186*0.3))</f>
        <v>4.8869999999999996</v>
      </c>
      <c r="AI186">
        <f>((EX186*0.3))</f>
        <v>3.0000000000000001E-3</v>
      </c>
      <c r="AJ186">
        <f t="shared" si="223"/>
        <v>0</v>
      </c>
      <c r="AK186">
        <v>206.76</v>
      </c>
      <c r="AL186">
        <v>51.53</v>
      </c>
      <c r="AM186">
        <v>0.31</v>
      </c>
      <c r="AN186">
        <v>0.14000000000000001</v>
      </c>
      <c r="AO186">
        <v>154.91999999999999</v>
      </c>
      <c r="AP186">
        <v>0</v>
      </c>
      <c r="AQ186">
        <v>16.29</v>
      </c>
      <c r="AR186">
        <v>0.01</v>
      </c>
      <c r="AS186">
        <v>0</v>
      </c>
      <c r="AT186">
        <v>95</v>
      </c>
      <c r="AU186">
        <v>65</v>
      </c>
      <c r="AV186">
        <v>1</v>
      </c>
      <c r="AW186">
        <v>1</v>
      </c>
      <c r="AZ186">
        <v>6.71</v>
      </c>
      <c r="BA186">
        <v>6.71</v>
      </c>
      <c r="BB186">
        <v>6.71</v>
      </c>
      <c r="BC186">
        <v>6.71</v>
      </c>
      <c r="BD186" t="s">
        <v>6</v>
      </c>
      <c r="BE186" t="s">
        <v>6</v>
      </c>
      <c r="BF186" t="s">
        <v>6</v>
      </c>
      <c r="BG186" t="s">
        <v>6</v>
      </c>
      <c r="BH186">
        <v>0</v>
      </c>
      <c r="BI186">
        <v>2</v>
      </c>
      <c r="BJ186" t="s">
        <v>470</v>
      </c>
      <c r="BM186">
        <v>108001</v>
      </c>
      <c r="BN186">
        <v>0</v>
      </c>
      <c r="BO186" t="s">
        <v>6</v>
      </c>
      <c r="BP186">
        <v>0</v>
      </c>
      <c r="BQ186">
        <v>3</v>
      </c>
      <c r="BR186">
        <v>0</v>
      </c>
      <c r="BS186">
        <v>6.71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6</v>
      </c>
      <c r="BZ186">
        <v>95</v>
      </c>
      <c r="CA186">
        <v>65</v>
      </c>
      <c r="CE186">
        <v>0</v>
      </c>
      <c r="CF186">
        <v>0</v>
      </c>
      <c r="CG186">
        <v>0</v>
      </c>
      <c r="CM186">
        <v>0</v>
      </c>
      <c r="CN186" t="s">
        <v>1139</v>
      </c>
      <c r="CO186">
        <v>0</v>
      </c>
      <c r="CP186">
        <f t="shared" si="224"/>
        <v>299.99</v>
      </c>
      <c r="CQ186">
        <f t="shared" si="225"/>
        <v>0</v>
      </c>
      <c r="CR186">
        <f t="shared" si="226"/>
        <v>0.60389999999999999</v>
      </c>
      <c r="CS186">
        <f t="shared" si="227"/>
        <v>0.26840000000000003</v>
      </c>
      <c r="CT186">
        <f t="shared" si="228"/>
        <v>311.88079999999997</v>
      </c>
      <c r="CU186">
        <f t="shared" si="229"/>
        <v>0</v>
      </c>
      <c r="CV186">
        <f t="shared" si="230"/>
        <v>4.8869999999999996</v>
      </c>
      <c r="CW186">
        <f t="shared" si="231"/>
        <v>3.0000000000000001E-3</v>
      </c>
      <c r="CX186">
        <f t="shared" si="232"/>
        <v>0</v>
      </c>
      <c r="CY186">
        <f t="shared" si="233"/>
        <v>284.68650000000002</v>
      </c>
      <c r="CZ186">
        <f t="shared" si="234"/>
        <v>194.78549999999998</v>
      </c>
      <c r="DC186" t="s">
        <v>6</v>
      </c>
      <c r="DD186" t="s">
        <v>31</v>
      </c>
      <c r="DE186" t="s">
        <v>471</v>
      </c>
      <c r="DF186" t="s">
        <v>471</v>
      </c>
      <c r="DG186" t="s">
        <v>471</v>
      </c>
      <c r="DH186" t="s">
        <v>6</v>
      </c>
      <c r="DI186" t="s">
        <v>471</v>
      </c>
      <c r="DJ186" t="s">
        <v>471</v>
      </c>
      <c r="DK186" t="s">
        <v>6</v>
      </c>
      <c r="DL186" t="s">
        <v>6</v>
      </c>
      <c r="DM186" t="s">
        <v>6</v>
      </c>
      <c r="DN186">
        <v>0</v>
      </c>
      <c r="DO186">
        <v>0</v>
      </c>
      <c r="DP186">
        <v>1</v>
      </c>
      <c r="DQ186">
        <v>1</v>
      </c>
      <c r="DU186">
        <v>1003</v>
      </c>
      <c r="DV186" t="s">
        <v>39</v>
      </c>
      <c r="DW186" t="s">
        <v>39</v>
      </c>
      <c r="DX186">
        <v>100</v>
      </c>
      <c r="EE186">
        <v>16510370</v>
      </c>
      <c r="EF186">
        <v>3</v>
      </c>
      <c r="EG186" t="s">
        <v>472</v>
      </c>
      <c r="EH186">
        <v>0</v>
      </c>
      <c r="EI186" t="s">
        <v>6</v>
      </c>
      <c r="EJ186">
        <v>2</v>
      </c>
      <c r="EK186">
        <v>108001</v>
      </c>
      <c r="EL186" t="s">
        <v>473</v>
      </c>
      <c r="EM186" t="s">
        <v>474</v>
      </c>
      <c r="EO186" t="s">
        <v>475</v>
      </c>
      <c r="EQ186">
        <v>131072</v>
      </c>
      <c r="ER186">
        <v>206.76</v>
      </c>
      <c r="ES186">
        <v>51.53</v>
      </c>
      <c r="ET186">
        <v>0.31</v>
      </c>
      <c r="EU186">
        <v>0.14000000000000001</v>
      </c>
      <c r="EV186">
        <v>154.91999999999999</v>
      </c>
      <c r="EW186">
        <v>16.29</v>
      </c>
      <c r="EX186">
        <v>0.01</v>
      </c>
      <c r="EY186">
        <v>0</v>
      </c>
      <c r="FQ186">
        <v>0</v>
      </c>
      <c r="FR186">
        <f t="shared" si="235"/>
        <v>0</v>
      </c>
      <c r="FS186">
        <v>0</v>
      </c>
      <c r="FX186">
        <v>95</v>
      </c>
      <c r="FY186">
        <v>65</v>
      </c>
      <c r="GA186" t="s">
        <v>6</v>
      </c>
      <c r="GD186">
        <v>0</v>
      </c>
      <c r="GF186">
        <v>-1862294278</v>
      </c>
      <c r="GG186">
        <v>1</v>
      </c>
      <c r="GH186">
        <v>1</v>
      </c>
      <c r="GI186">
        <v>4</v>
      </c>
      <c r="GJ186">
        <v>0</v>
      </c>
      <c r="GK186">
        <f>ROUND(R186*(R12)/100,2)</f>
        <v>0</v>
      </c>
      <c r="GL186">
        <f t="shared" si="236"/>
        <v>0</v>
      </c>
      <c r="GM186">
        <f t="shared" si="237"/>
        <v>779.47</v>
      </c>
      <c r="GN186">
        <f t="shared" si="238"/>
        <v>0</v>
      </c>
      <c r="GO186">
        <f t="shared" si="239"/>
        <v>779.47</v>
      </c>
      <c r="GP186">
        <f t="shared" si="240"/>
        <v>0</v>
      </c>
      <c r="GR186">
        <v>0</v>
      </c>
      <c r="GS186">
        <v>3</v>
      </c>
      <c r="GT186">
        <v>0</v>
      </c>
      <c r="GU186" t="s">
        <v>6</v>
      </c>
      <c r="GV186">
        <f t="shared" si="241"/>
        <v>0</v>
      </c>
      <c r="GW186">
        <v>1</v>
      </c>
      <c r="GX186">
        <f t="shared" si="242"/>
        <v>0</v>
      </c>
      <c r="HA186">
        <v>0</v>
      </c>
      <c r="HB186">
        <v>0</v>
      </c>
      <c r="HC186">
        <f t="shared" si="243"/>
        <v>0</v>
      </c>
      <c r="IK186">
        <v>0</v>
      </c>
    </row>
    <row r="187" spans="1:245" x14ac:dyDescent="0.2">
      <c r="A187">
        <v>17</v>
      </c>
      <c r="B187">
        <v>1</v>
      </c>
      <c r="C187">
        <f>ROW(SmtRes!A245)</f>
        <v>245</v>
      </c>
      <c r="D187">
        <f>ROW(EtalonRes!A240)</f>
        <v>240</v>
      </c>
      <c r="E187" t="s">
        <v>476</v>
      </c>
      <c r="F187" t="s">
        <v>477</v>
      </c>
      <c r="G187" t="s">
        <v>478</v>
      </c>
      <c r="H187" t="s">
        <v>55</v>
      </c>
      <c r="I187">
        <f>ROUND(22/100,9)</f>
        <v>0.22</v>
      </c>
      <c r="J187">
        <v>0</v>
      </c>
      <c r="O187">
        <f t="shared" si="210"/>
        <v>1572.2</v>
      </c>
      <c r="P187">
        <f t="shared" si="211"/>
        <v>0</v>
      </c>
      <c r="Q187">
        <f t="shared" si="212"/>
        <v>55.09</v>
      </c>
      <c r="R187">
        <f t="shared" si="213"/>
        <v>7.78</v>
      </c>
      <c r="S187">
        <f t="shared" si="214"/>
        <v>1517.11</v>
      </c>
      <c r="T187">
        <f t="shared" si="215"/>
        <v>0</v>
      </c>
      <c r="U187">
        <f t="shared" si="216"/>
        <v>22.791999999999998</v>
      </c>
      <c r="V187">
        <f t="shared" si="217"/>
        <v>9.2399999999999996E-2</v>
      </c>
      <c r="W187">
        <f t="shared" si="218"/>
        <v>0</v>
      </c>
      <c r="X187">
        <f t="shared" si="219"/>
        <v>1448.65</v>
      </c>
      <c r="Y187">
        <f t="shared" si="220"/>
        <v>991.18</v>
      </c>
      <c r="AA187">
        <v>16812721</v>
      </c>
      <c r="AB187">
        <f t="shared" si="221"/>
        <v>1065.03</v>
      </c>
      <c r="AC187">
        <f>ROUND(((ES187*0)),2)</f>
        <v>0</v>
      </c>
      <c r="AD187">
        <f>ROUND(((((ET187*0.7))-((EU187*0.7)))+AE187),2)</f>
        <v>37.32</v>
      </c>
      <c r="AE187">
        <f>ROUND(((EU187*0.7)),2)</f>
        <v>5.27</v>
      </c>
      <c r="AF187">
        <f>ROUND(((EV187*0.7)),2)</f>
        <v>1027.71</v>
      </c>
      <c r="AG187">
        <f t="shared" si="222"/>
        <v>0</v>
      </c>
      <c r="AH187">
        <f>((EW187*0.7))</f>
        <v>103.6</v>
      </c>
      <c r="AI187">
        <f>((EX187*0.7))</f>
        <v>0.42</v>
      </c>
      <c r="AJ187">
        <f t="shared" si="223"/>
        <v>0</v>
      </c>
      <c r="AK187">
        <v>1663.44</v>
      </c>
      <c r="AL187">
        <v>141.97</v>
      </c>
      <c r="AM187">
        <v>53.31</v>
      </c>
      <c r="AN187">
        <v>7.53</v>
      </c>
      <c r="AO187">
        <v>1468.16</v>
      </c>
      <c r="AP187">
        <v>0</v>
      </c>
      <c r="AQ187">
        <v>148</v>
      </c>
      <c r="AR187">
        <v>0.6</v>
      </c>
      <c r="AS187">
        <v>0</v>
      </c>
      <c r="AT187">
        <v>95</v>
      </c>
      <c r="AU187">
        <v>65</v>
      </c>
      <c r="AV187">
        <v>1</v>
      </c>
      <c r="AW187">
        <v>1</v>
      </c>
      <c r="AZ187">
        <v>6.71</v>
      </c>
      <c r="BA187">
        <v>6.71</v>
      </c>
      <c r="BB187">
        <v>6.71</v>
      </c>
      <c r="BC187">
        <v>6.71</v>
      </c>
      <c r="BD187" t="s">
        <v>6</v>
      </c>
      <c r="BE187" t="s">
        <v>6</v>
      </c>
      <c r="BF187" t="s">
        <v>6</v>
      </c>
      <c r="BG187" t="s">
        <v>6</v>
      </c>
      <c r="BH187">
        <v>0</v>
      </c>
      <c r="BI187">
        <v>2</v>
      </c>
      <c r="BJ187" t="s">
        <v>479</v>
      </c>
      <c r="BM187">
        <v>108001</v>
      </c>
      <c r="BN187">
        <v>0</v>
      </c>
      <c r="BO187" t="s">
        <v>6</v>
      </c>
      <c r="BP187">
        <v>0</v>
      </c>
      <c r="BQ187">
        <v>3</v>
      </c>
      <c r="BR187">
        <v>0</v>
      </c>
      <c r="BS187">
        <v>6.71</v>
      </c>
      <c r="BT187">
        <v>1</v>
      </c>
      <c r="BU187">
        <v>1</v>
      </c>
      <c r="BV187">
        <v>1</v>
      </c>
      <c r="BW187">
        <v>1</v>
      </c>
      <c r="BX187">
        <v>1</v>
      </c>
      <c r="BY187" t="s">
        <v>6</v>
      </c>
      <c r="BZ187">
        <v>95</v>
      </c>
      <c r="CA187">
        <v>65</v>
      </c>
      <c r="CE187">
        <v>0</v>
      </c>
      <c r="CF187">
        <v>0</v>
      </c>
      <c r="CG187">
        <v>0</v>
      </c>
      <c r="CM187">
        <v>0</v>
      </c>
      <c r="CN187" t="s">
        <v>1140</v>
      </c>
      <c r="CO187">
        <v>0</v>
      </c>
      <c r="CP187">
        <f t="shared" si="224"/>
        <v>1572.1999999999998</v>
      </c>
      <c r="CQ187">
        <f t="shared" si="225"/>
        <v>0</v>
      </c>
      <c r="CR187">
        <f t="shared" si="226"/>
        <v>250.41720000000001</v>
      </c>
      <c r="CS187">
        <f t="shared" si="227"/>
        <v>35.361699999999999</v>
      </c>
      <c r="CT187">
        <f t="shared" si="228"/>
        <v>6895.9341000000004</v>
      </c>
      <c r="CU187">
        <f t="shared" si="229"/>
        <v>0</v>
      </c>
      <c r="CV187">
        <f t="shared" si="230"/>
        <v>103.6</v>
      </c>
      <c r="CW187">
        <f t="shared" si="231"/>
        <v>0.42</v>
      </c>
      <c r="CX187">
        <f t="shared" si="232"/>
        <v>0</v>
      </c>
      <c r="CY187">
        <f t="shared" si="233"/>
        <v>1448.6454999999999</v>
      </c>
      <c r="CZ187">
        <f t="shared" si="234"/>
        <v>991.17849999999987</v>
      </c>
      <c r="DC187" t="s">
        <v>6</v>
      </c>
      <c r="DD187" t="s">
        <v>31</v>
      </c>
      <c r="DE187" t="s">
        <v>32</v>
      </c>
      <c r="DF187" t="s">
        <v>32</v>
      </c>
      <c r="DG187" t="s">
        <v>32</v>
      </c>
      <c r="DH187" t="s">
        <v>6</v>
      </c>
      <c r="DI187" t="s">
        <v>32</v>
      </c>
      <c r="DJ187" t="s">
        <v>32</v>
      </c>
      <c r="DK187" t="s">
        <v>6</v>
      </c>
      <c r="DL187" t="s">
        <v>6</v>
      </c>
      <c r="DM187" t="s">
        <v>6</v>
      </c>
      <c r="DN187">
        <v>0</v>
      </c>
      <c r="DO187">
        <v>0</v>
      </c>
      <c r="DP187">
        <v>1</v>
      </c>
      <c r="DQ187">
        <v>1</v>
      </c>
      <c r="DU187">
        <v>1013</v>
      </c>
      <c r="DV187" t="s">
        <v>55</v>
      </c>
      <c r="DW187" t="s">
        <v>55</v>
      </c>
      <c r="DX187">
        <v>1</v>
      </c>
      <c r="EE187">
        <v>16510370</v>
      </c>
      <c r="EF187">
        <v>3</v>
      </c>
      <c r="EG187" t="s">
        <v>472</v>
      </c>
      <c r="EH187">
        <v>0</v>
      </c>
      <c r="EI187" t="s">
        <v>6</v>
      </c>
      <c r="EJ187">
        <v>2</v>
      </c>
      <c r="EK187">
        <v>108001</v>
      </c>
      <c r="EL187" t="s">
        <v>473</v>
      </c>
      <c r="EM187" t="s">
        <v>474</v>
      </c>
      <c r="EO187" t="s">
        <v>480</v>
      </c>
      <c r="EQ187">
        <v>131072</v>
      </c>
      <c r="ER187">
        <v>1663.44</v>
      </c>
      <c r="ES187">
        <v>141.97</v>
      </c>
      <c r="ET187">
        <v>53.31</v>
      </c>
      <c r="EU187">
        <v>7.53</v>
      </c>
      <c r="EV187">
        <v>1468.16</v>
      </c>
      <c r="EW187">
        <v>148</v>
      </c>
      <c r="EX187">
        <v>0.6</v>
      </c>
      <c r="EY187">
        <v>0</v>
      </c>
      <c r="FQ187">
        <v>0</v>
      </c>
      <c r="FR187">
        <f t="shared" si="235"/>
        <v>0</v>
      </c>
      <c r="FS187">
        <v>0</v>
      </c>
      <c r="FX187">
        <v>95</v>
      </c>
      <c r="FY187">
        <v>65</v>
      </c>
      <c r="GA187" t="s">
        <v>6</v>
      </c>
      <c r="GD187">
        <v>0</v>
      </c>
      <c r="GF187">
        <v>-1227947331</v>
      </c>
      <c r="GG187">
        <v>1</v>
      </c>
      <c r="GH187">
        <v>1</v>
      </c>
      <c r="GI187">
        <v>4</v>
      </c>
      <c r="GJ187">
        <v>0</v>
      </c>
      <c r="GK187">
        <f>ROUND(R187*(R12)/100,2)</f>
        <v>0</v>
      </c>
      <c r="GL187">
        <f t="shared" si="236"/>
        <v>0</v>
      </c>
      <c r="GM187">
        <f t="shared" si="237"/>
        <v>4012.03</v>
      </c>
      <c r="GN187">
        <f t="shared" si="238"/>
        <v>0</v>
      </c>
      <c r="GO187">
        <f t="shared" si="239"/>
        <v>4012.03</v>
      </c>
      <c r="GP187">
        <f t="shared" si="240"/>
        <v>0</v>
      </c>
      <c r="GR187">
        <v>0</v>
      </c>
      <c r="GS187">
        <v>3</v>
      </c>
      <c r="GT187">
        <v>0</v>
      </c>
      <c r="GU187" t="s">
        <v>6</v>
      </c>
      <c r="GV187">
        <f t="shared" si="241"/>
        <v>0</v>
      </c>
      <c r="GW187">
        <v>1</v>
      </c>
      <c r="GX187">
        <f t="shared" si="242"/>
        <v>0</v>
      </c>
      <c r="HA187">
        <v>0</v>
      </c>
      <c r="HB187">
        <v>0</v>
      </c>
      <c r="HC187">
        <f t="shared" si="243"/>
        <v>0</v>
      </c>
      <c r="IK187">
        <v>0</v>
      </c>
    </row>
    <row r="188" spans="1:245" x14ac:dyDescent="0.2">
      <c r="A188">
        <v>17</v>
      </c>
      <c r="B188">
        <v>1</v>
      </c>
      <c r="C188">
        <f>ROW(SmtRes!A260)</f>
        <v>260</v>
      </c>
      <c r="D188">
        <f>ROW(EtalonRes!A255)</f>
        <v>255</v>
      </c>
      <c r="E188" t="s">
        <v>481</v>
      </c>
      <c r="F188" t="s">
        <v>482</v>
      </c>
      <c r="G188" t="s">
        <v>483</v>
      </c>
      <c r="H188" t="s">
        <v>484</v>
      </c>
      <c r="I188">
        <v>2</v>
      </c>
      <c r="J188">
        <v>0</v>
      </c>
      <c r="O188">
        <f t="shared" si="210"/>
        <v>178.89</v>
      </c>
      <c r="P188">
        <f t="shared" si="211"/>
        <v>0</v>
      </c>
      <c r="Q188">
        <f t="shared" si="212"/>
        <v>4.7</v>
      </c>
      <c r="R188">
        <f t="shared" si="213"/>
        <v>0</v>
      </c>
      <c r="S188">
        <f t="shared" si="214"/>
        <v>174.19</v>
      </c>
      <c r="T188">
        <f t="shared" si="215"/>
        <v>0</v>
      </c>
      <c r="U188">
        <f t="shared" si="216"/>
        <v>2.5079999999999996</v>
      </c>
      <c r="V188">
        <f t="shared" si="217"/>
        <v>0</v>
      </c>
      <c r="W188">
        <f t="shared" si="218"/>
        <v>0</v>
      </c>
      <c r="X188">
        <f t="shared" si="219"/>
        <v>165.48</v>
      </c>
      <c r="Y188">
        <f t="shared" si="220"/>
        <v>113.22</v>
      </c>
      <c r="AA188">
        <v>16812721</v>
      </c>
      <c r="AB188">
        <f t="shared" si="221"/>
        <v>13.33</v>
      </c>
      <c r="AC188">
        <f>ROUND(((ES188*0)),2)</f>
        <v>0</v>
      </c>
      <c r="AD188">
        <f>ROUND(((((ET188*0.6))-((EU188*0.6)))+AE188),2)</f>
        <v>0.35</v>
      </c>
      <c r="AE188">
        <f>ROUND(((EU188*0.6)),2)</f>
        <v>0</v>
      </c>
      <c r="AF188">
        <f>ROUND(((EV188*0.6)),2)</f>
        <v>12.98</v>
      </c>
      <c r="AG188">
        <f t="shared" si="222"/>
        <v>0</v>
      </c>
      <c r="AH188">
        <f>((EW188*0.6))</f>
        <v>1.2539999999999998</v>
      </c>
      <c r="AI188">
        <f>((EX188*0.6))</f>
        <v>0</v>
      </c>
      <c r="AJ188">
        <f t="shared" si="223"/>
        <v>0</v>
      </c>
      <c r="AK188">
        <v>65.78</v>
      </c>
      <c r="AL188">
        <v>43.56</v>
      </c>
      <c r="AM188">
        <v>0.59</v>
      </c>
      <c r="AN188">
        <v>0</v>
      </c>
      <c r="AO188">
        <v>21.63</v>
      </c>
      <c r="AP188">
        <v>0</v>
      </c>
      <c r="AQ188">
        <v>2.09</v>
      </c>
      <c r="AR188">
        <v>0</v>
      </c>
      <c r="AS188">
        <v>0</v>
      </c>
      <c r="AT188">
        <v>95</v>
      </c>
      <c r="AU188">
        <v>65</v>
      </c>
      <c r="AV188">
        <v>1</v>
      </c>
      <c r="AW188">
        <v>1</v>
      </c>
      <c r="AZ188">
        <v>6.71</v>
      </c>
      <c r="BA188">
        <v>6.71</v>
      </c>
      <c r="BB188">
        <v>6.71</v>
      </c>
      <c r="BC188">
        <v>6.71</v>
      </c>
      <c r="BD188" t="s">
        <v>6</v>
      </c>
      <c r="BE188" t="s">
        <v>6</v>
      </c>
      <c r="BF188" t="s">
        <v>6</v>
      </c>
      <c r="BG188" t="s">
        <v>6</v>
      </c>
      <c r="BH188">
        <v>0</v>
      </c>
      <c r="BI188">
        <v>2</v>
      </c>
      <c r="BJ188" t="s">
        <v>485</v>
      </c>
      <c r="BM188">
        <v>108001</v>
      </c>
      <c r="BN188">
        <v>0</v>
      </c>
      <c r="BO188" t="s">
        <v>6</v>
      </c>
      <c r="BP188">
        <v>0</v>
      </c>
      <c r="BQ188">
        <v>3</v>
      </c>
      <c r="BR188">
        <v>0</v>
      </c>
      <c r="BS188">
        <v>6.71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6</v>
      </c>
      <c r="BZ188">
        <v>95</v>
      </c>
      <c r="CA188">
        <v>65</v>
      </c>
      <c r="CE188">
        <v>0</v>
      </c>
      <c r="CF188">
        <v>0</v>
      </c>
      <c r="CG188">
        <v>0</v>
      </c>
      <c r="CM188">
        <v>0</v>
      </c>
      <c r="CN188" t="s">
        <v>1141</v>
      </c>
      <c r="CO188">
        <v>0</v>
      </c>
      <c r="CP188">
        <f t="shared" si="224"/>
        <v>178.89</v>
      </c>
      <c r="CQ188">
        <f t="shared" si="225"/>
        <v>0</v>
      </c>
      <c r="CR188">
        <f t="shared" si="226"/>
        <v>2.3485</v>
      </c>
      <c r="CS188">
        <f t="shared" si="227"/>
        <v>0</v>
      </c>
      <c r="CT188">
        <f t="shared" si="228"/>
        <v>87.095799999999997</v>
      </c>
      <c r="CU188">
        <f t="shared" si="229"/>
        <v>0</v>
      </c>
      <c r="CV188">
        <f t="shared" si="230"/>
        <v>1.2539999999999998</v>
      </c>
      <c r="CW188">
        <f t="shared" si="231"/>
        <v>0</v>
      </c>
      <c r="CX188">
        <f t="shared" si="232"/>
        <v>0</v>
      </c>
      <c r="CY188">
        <f t="shared" si="233"/>
        <v>165.48050000000001</v>
      </c>
      <c r="CZ188">
        <f t="shared" si="234"/>
        <v>113.2235</v>
      </c>
      <c r="DC188" t="s">
        <v>6</v>
      </c>
      <c r="DD188" t="s">
        <v>31</v>
      </c>
      <c r="DE188" t="s">
        <v>486</v>
      </c>
      <c r="DF188" t="s">
        <v>486</v>
      </c>
      <c r="DG188" t="s">
        <v>486</v>
      </c>
      <c r="DH188" t="s">
        <v>6</v>
      </c>
      <c r="DI188" t="s">
        <v>486</v>
      </c>
      <c r="DJ188" t="s">
        <v>486</v>
      </c>
      <c r="DK188" t="s">
        <v>6</v>
      </c>
      <c r="DL188" t="s">
        <v>6</v>
      </c>
      <c r="DM188" t="s">
        <v>6</v>
      </c>
      <c r="DN188">
        <v>0</v>
      </c>
      <c r="DO188">
        <v>0</v>
      </c>
      <c r="DP188">
        <v>1</v>
      </c>
      <c r="DQ188">
        <v>1</v>
      </c>
      <c r="DU188">
        <v>1013</v>
      </c>
      <c r="DV188" t="s">
        <v>484</v>
      </c>
      <c r="DW188" t="s">
        <v>484</v>
      </c>
      <c r="DX188">
        <v>1</v>
      </c>
      <c r="EE188">
        <v>16510370</v>
      </c>
      <c r="EF188">
        <v>3</v>
      </c>
      <c r="EG188" t="s">
        <v>472</v>
      </c>
      <c r="EH188">
        <v>0</v>
      </c>
      <c r="EI188" t="s">
        <v>6</v>
      </c>
      <c r="EJ188">
        <v>2</v>
      </c>
      <c r="EK188">
        <v>108001</v>
      </c>
      <c r="EL188" t="s">
        <v>473</v>
      </c>
      <c r="EM188" t="s">
        <v>474</v>
      </c>
      <c r="EO188" t="s">
        <v>487</v>
      </c>
      <c r="EQ188">
        <v>131072</v>
      </c>
      <c r="ER188">
        <v>65.78</v>
      </c>
      <c r="ES188">
        <v>43.56</v>
      </c>
      <c r="ET188">
        <v>0.59</v>
      </c>
      <c r="EU188">
        <v>0</v>
      </c>
      <c r="EV188">
        <v>21.63</v>
      </c>
      <c r="EW188">
        <v>2.09</v>
      </c>
      <c r="EX188">
        <v>0</v>
      </c>
      <c r="EY188">
        <v>0</v>
      </c>
      <c r="FQ188">
        <v>0</v>
      </c>
      <c r="FR188">
        <f t="shared" si="235"/>
        <v>0</v>
      </c>
      <c r="FS188">
        <v>0</v>
      </c>
      <c r="FX188">
        <v>95</v>
      </c>
      <c r="FY188">
        <v>65</v>
      </c>
      <c r="GA188" t="s">
        <v>6</v>
      </c>
      <c r="GD188">
        <v>0</v>
      </c>
      <c r="GF188">
        <v>1485652313</v>
      </c>
      <c r="GG188">
        <v>1</v>
      </c>
      <c r="GH188">
        <v>1</v>
      </c>
      <c r="GI188">
        <v>4</v>
      </c>
      <c r="GJ188">
        <v>0</v>
      </c>
      <c r="GK188">
        <f>ROUND(R188*(R12)/100,2)</f>
        <v>0</v>
      </c>
      <c r="GL188">
        <f t="shared" si="236"/>
        <v>0</v>
      </c>
      <c r="GM188">
        <f t="shared" si="237"/>
        <v>457.59</v>
      </c>
      <c r="GN188">
        <f t="shared" si="238"/>
        <v>0</v>
      </c>
      <c r="GO188">
        <f t="shared" si="239"/>
        <v>457.59</v>
      </c>
      <c r="GP188">
        <f t="shared" si="240"/>
        <v>0</v>
      </c>
      <c r="GR188">
        <v>0</v>
      </c>
      <c r="GS188">
        <v>3</v>
      </c>
      <c r="GT188">
        <v>0</v>
      </c>
      <c r="GU188" t="s">
        <v>6</v>
      </c>
      <c r="GV188">
        <f t="shared" si="241"/>
        <v>0</v>
      </c>
      <c r="GW188">
        <v>1</v>
      </c>
      <c r="GX188">
        <f t="shared" si="242"/>
        <v>0</v>
      </c>
      <c r="HA188">
        <v>0</v>
      </c>
      <c r="HB188">
        <v>0</v>
      </c>
      <c r="HC188">
        <f t="shared" si="243"/>
        <v>0</v>
      </c>
      <c r="IK188">
        <v>0</v>
      </c>
    </row>
    <row r="189" spans="1:245" x14ac:dyDescent="0.2">
      <c r="A189">
        <v>17</v>
      </c>
      <c r="B189">
        <v>1</v>
      </c>
      <c r="C189">
        <f>ROW(SmtRes!A275)</f>
        <v>275</v>
      </c>
      <c r="D189">
        <f>ROW(EtalonRes!A270)</f>
        <v>270</v>
      </c>
      <c r="E189" t="s">
        <v>488</v>
      </c>
      <c r="F189" t="s">
        <v>482</v>
      </c>
      <c r="G189" t="s">
        <v>489</v>
      </c>
      <c r="H189" t="s">
        <v>484</v>
      </c>
      <c r="I189">
        <v>2</v>
      </c>
      <c r="J189">
        <v>0</v>
      </c>
      <c r="O189">
        <f t="shared" si="210"/>
        <v>882.77</v>
      </c>
      <c r="P189">
        <f t="shared" si="211"/>
        <v>584.58000000000004</v>
      </c>
      <c r="Q189">
        <f t="shared" si="212"/>
        <v>7.92</v>
      </c>
      <c r="R189">
        <f t="shared" si="213"/>
        <v>0</v>
      </c>
      <c r="S189">
        <f t="shared" si="214"/>
        <v>290.27</v>
      </c>
      <c r="T189">
        <f t="shared" si="215"/>
        <v>0</v>
      </c>
      <c r="U189">
        <f t="shared" si="216"/>
        <v>4.18</v>
      </c>
      <c r="V189">
        <f t="shared" si="217"/>
        <v>0</v>
      </c>
      <c r="W189">
        <f t="shared" si="218"/>
        <v>0</v>
      </c>
      <c r="X189">
        <f t="shared" si="219"/>
        <v>275.76</v>
      </c>
      <c r="Y189">
        <f t="shared" si="220"/>
        <v>188.68</v>
      </c>
      <c r="AA189">
        <v>16812721</v>
      </c>
      <c r="AB189">
        <f t="shared" si="221"/>
        <v>65.78</v>
      </c>
      <c r="AC189">
        <f t="shared" ref="AC189:AC226" si="244">ROUND((ES189),2)</f>
        <v>43.56</v>
      </c>
      <c r="AD189">
        <f t="shared" ref="AD189:AD226" si="245">ROUND((((ET189)-(EU189))+AE189),2)</f>
        <v>0.59</v>
      </c>
      <c r="AE189">
        <f t="shared" ref="AE189:AE222" si="246">ROUND((EU189),2)</f>
        <v>0</v>
      </c>
      <c r="AF189">
        <f t="shared" ref="AF189:AF222" si="247">ROUND((EV189),2)</f>
        <v>21.63</v>
      </c>
      <c r="AG189">
        <f t="shared" si="222"/>
        <v>0</v>
      </c>
      <c r="AH189">
        <f t="shared" ref="AH189:AH222" si="248">(EW189)</f>
        <v>2.09</v>
      </c>
      <c r="AI189">
        <f t="shared" ref="AI189:AI222" si="249">(EX189)</f>
        <v>0</v>
      </c>
      <c r="AJ189">
        <f t="shared" si="223"/>
        <v>0</v>
      </c>
      <c r="AK189">
        <v>65.78</v>
      </c>
      <c r="AL189">
        <v>43.56</v>
      </c>
      <c r="AM189">
        <v>0.59</v>
      </c>
      <c r="AN189">
        <v>0</v>
      </c>
      <c r="AO189">
        <v>21.63</v>
      </c>
      <c r="AP189">
        <v>0</v>
      </c>
      <c r="AQ189">
        <v>2.09</v>
      </c>
      <c r="AR189">
        <v>0</v>
      </c>
      <c r="AS189">
        <v>0</v>
      </c>
      <c r="AT189">
        <v>95</v>
      </c>
      <c r="AU189">
        <v>65</v>
      </c>
      <c r="AV189">
        <v>1</v>
      </c>
      <c r="AW189">
        <v>1</v>
      </c>
      <c r="AZ189">
        <v>6.71</v>
      </c>
      <c r="BA189">
        <v>6.71</v>
      </c>
      <c r="BB189">
        <v>6.71</v>
      </c>
      <c r="BC189">
        <v>6.71</v>
      </c>
      <c r="BD189" t="s">
        <v>6</v>
      </c>
      <c r="BE189" t="s">
        <v>6</v>
      </c>
      <c r="BF189" t="s">
        <v>6</v>
      </c>
      <c r="BG189" t="s">
        <v>6</v>
      </c>
      <c r="BH189">
        <v>0</v>
      </c>
      <c r="BI189">
        <v>2</v>
      </c>
      <c r="BJ189" t="s">
        <v>485</v>
      </c>
      <c r="BM189">
        <v>108001</v>
      </c>
      <c r="BN189">
        <v>0</v>
      </c>
      <c r="BO189" t="s">
        <v>6</v>
      </c>
      <c r="BP189">
        <v>0</v>
      </c>
      <c r="BQ189">
        <v>3</v>
      </c>
      <c r="BR189">
        <v>0</v>
      </c>
      <c r="BS189">
        <v>6.71</v>
      </c>
      <c r="BT189">
        <v>1</v>
      </c>
      <c r="BU189">
        <v>1</v>
      </c>
      <c r="BV189">
        <v>1</v>
      </c>
      <c r="BW189">
        <v>1</v>
      </c>
      <c r="BX189">
        <v>1</v>
      </c>
      <c r="BY189" t="s">
        <v>6</v>
      </c>
      <c r="BZ189">
        <v>95</v>
      </c>
      <c r="CA189">
        <v>65</v>
      </c>
      <c r="CE189">
        <v>0</v>
      </c>
      <c r="CF189">
        <v>0</v>
      </c>
      <c r="CG189">
        <v>0</v>
      </c>
      <c r="CM189">
        <v>0</v>
      </c>
      <c r="CN189" t="s">
        <v>6</v>
      </c>
      <c r="CO189">
        <v>0</v>
      </c>
      <c r="CP189">
        <f t="shared" si="224"/>
        <v>882.77</v>
      </c>
      <c r="CQ189">
        <f t="shared" si="225"/>
        <v>292.2876</v>
      </c>
      <c r="CR189">
        <f t="shared" si="226"/>
        <v>3.9588999999999999</v>
      </c>
      <c r="CS189">
        <f t="shared" si="227"/>
        <v>0</v>
      </c>
      <c r="CT189">
        <f t="shared" si="228"/>
        <v>145.13729999999998</v>
      </c>
      <c r="CU189">
        <f t="shared" si="229"/>
        <v>0</v>
      </c>
      <c r="CV189">
        <f t="shared" si="230"/>
        <v>2.09</v>
      </c>
      <c r="CW189">
        <f t="shared" si="231"/>
        <v>0</v>
      </c>
      <c r="CX189">
        <f t="shared" si="232"/>
        <v>0</v>
      </c>
      <c r="CY189">
        <f t="shared" si="233"/>
        <v>275.75649999999996</v>
      </c>
      <c r="CZ189">
        <f t="shared" si="234"/>
        <v>188.6755</v>
      </c>
      <c r="DC189" t="s">
        <v>6</v>
      </c>
      <c r="DD189" t="s">
        <v>6</v>
      </c>
      <c r="DE189" t="s">
        <v>6</v>
      </c>
      <c r="DF189" t="s">
        <v>6</v>
      </c>
      <c r="DG189" t="s">
        <v>6</v>
      </c>
      <c r="DH189" t="s">
        <v>6</v>
      </c>
      <c r="DI189" t="s">
        <v>6</v>
      </c>
      <c r="DJ189" t="s">
        <v>6</v>
      </c>
      <c r="DK189" t="s">
        <v>6</v>
      </c>
      <c r="DL189" t="s">
        <v>6</v>
      </c>
      <c r="DM189" t="s">
        <v>6</v>
      </c>
      <c r="DN189">
        <v>0</v>
      </c>
      <c r="DO189">
        <v>0</v>
      </c>
      <c r="DP189">
        <v>1</v>
      </c>
      <c r="DQ189">
        <v>1</v>
      </c>
      <c r="DU189">
        <v>1013</v>
      </c>
      <c r="DV189" t="s">
        <v>484</v>
      </c>
      <c r="DW189" t="s">
        <v>484</v>
      </c>
      <c r="DX189">
        <v>1</v>
      </c>
      <c r="EE189">
        <v>16510370</v>
      </c>
      <c r="EF189">
        <v>3</v>
      </c>
      <c r="EG189" t="s">
        <v>472</v>
      </c>
      <c r="EH189">
        <v>0</v>
      </c>
      <c r="EI189" t="s">
        <v>6</v>
      </c>
      <c r="EJ189">
        <v>2</v>
      </c>
      <c r="EK189">
        <v>108001</v>
      </c>
      <c r="EL189" t="s">
        <v>473</v>
      </c>
      <c r="EM189" t="s">
        <v>474</v>
      </c>
      <c r="EO189" t="s">
        <v>6</v>
      </c>
      <c r="EQ189">
        <v>131072</v>
      </c>
      <c r="ER189">
        <v>65.78</v>
      </c>
      <c r="ES189">
        <v>43.56</v>
      </c>
      <c r="ET189">
        <v>0.59</v>
      </c>
      <c r="EU189">
        <v>0</v>
      </c>
      <c r="EV189">
        <v>21.63</v>
      </c>
      <c r="EW189">
        <v>2.09</v>
      </c>
      <c r="EX189">
        <v>0</v>
      </c>
      <c r="EY189">
        <v>0</v>
      </c>
      <c r="FQ189">
        <v>0</v>
      </c>
      <c r="FR189">
        <f t="shared" si="235"/>
        <v>0</v>
      </c>
      <c r="FS189">
        <v>0</v>
      </c>
      <c r="FX189">
        <v>95</v>
      </c>
      <c r="FY189">
        <v>65</v>
      </c>
      <c r="GA189" t="s">
        <v>6</v>
      </c>
      <c r="GD189">
        <v>0</v>
      </c>
      <c r="GF189">
        <v>-1096160851</v>
      </c>
      <c r="GG189">
        <v>1</v>
      </c>
      <c r="GH189">
        <v>1</v>
      </c>
      <c r="GI189">
        <v>4</v>
      </c>
      <c r="GJ189">
        <v>0</v>
      </c>
      <c r="GK189">
        <f>ROUND(R189*(R12)/100,2)</f>
        <v>0</v>
      </c>
      <c r="GL189">
        <f t="shared" si="236"/>
        <v>0</v>
      </c>
      <c r="GM189">
        <f t="shared" si="237"/>
        <v>1347.21</v>
      </c>
      <c r="GN189">
        <f t="shared" si="238"/>
        <v>0</v>
      </c>
      <c r="GO189">
        <f t="shared" si="239"/>
        <v>1347.21</v>
      </c>
      <c r="GP189">
        <f t="shared" si="240"/>
        <v>0</v>
      </c>
      <c r="GR189">
        <v>0</v>
      </c>
      <c r="GS189">
        <v>3</v>
      </c>
      <c r="GT189">
        <v>0</v>
      </c>
      <c r="GU189" t="s">
        <v>6</v>
      </c>
      <c r="GV189">
        <f t="shared" si="241"/>
        <v>0</v>
      </c>
      <c r="GW189">
        <v>1</v>
      </c>
      <c r="GX189">
        <f t="shared" si="242"/>
        <v>0</v>
      </c>
      <c r="HA189">
        <v>0</v>
      </c>
      <c r="HB189">
        <v>0</v>
      </c>
      <c r="HC189">
        <f t="shared" si="243"/>
        <v>0</v>
      </c>
      <c r="IK189">
        <v>0</v>
      </c>
    </row>
    <row r="190" spans="1:245" x14ac:dyDescent="0.2">
      <c r="A190">
        <v>17</v>
      </c>
      <c r="B190">
        <v>1</v>
      </c>
      <c r="E190" t="s">
        <v>490</v>
      </c>
      <c r="F190" t="s">
        <v>491</v>
      </c>
      <c r="G190" t="s">
        <v>492</v>
      </c>
      <c r="H190" t="s">
        <v>55</v>
      </c>
      <c r="I190">
        <f>ROUND(116/100,9)</f>
        <v>1.1599999999999999</v>
      </c>
      <c r="J190">
        <v>0</v>
      </c>
      <c r="O190">
        <f t="shared" si="210"/>
        <v>354.54</v>
      </c>
      <c r="P190">
        <f t="shared" si="211"/>
        <v>0</v>
      </c>
      <c r="Q190">
        <f t="shared" si="212"/>
        <v>0</v>
      </c>
      <c r="R190">
        <f t="shared" si="213"/>
        <v>0</v>
      </c>
      <c r="S190">
        <f t="shared" si="214"/>
        <v>354.54</v>
      </c>
      <c r="T190">
        <f t="shared" si="215"/>
        <v>0</v>
      </c>
      <c r="U190">
        <f t="shared" si="216"/>
        <v>6.7743999999999991</v>
      </c>
      <c r="V190">
        <f t="shared" si="217"/>
        <v>0</v>
      </c>
      <c r="W190">
        <f t="shared" si="218"/>
        <v>0</v>
      </c>
      <c r="X190">
        <f t="shared" si="219"/>
        <v>301.36</v>
      </c>
      <c r="Y190">
        <f t="shared" si="220"/>
        <v>230.45</v>
      </c>
      <c r="AA190">
        <v>16812721</v>
      </c>
      <c r="AB190">
        <f t="shared" si="221"/>
        <v>45.55</v>
      </c>
      <c r="AC190">
        <f t="shared" si="244"/>
        <v>0</v>
      </c>
      <c r="AD190">
        <f t="shared" si="245"/>
        <v>0</v>
      </c>
      <c r="AE190">
        <f t="shared" si="246"/>
        <v>0</v>
      </c>
      <c r="AF190">
        <f t="shared" si="247"/>
        <v>45.55</v>
      </c>
      <c r="AG190">
        <f t="shared" si="222"/>
        <v>0</v>
      </c>
      <c r="AH190">
        <f t="shared" si="248"/>
        <v>5.84</v>
      </c>
      <c r="AI190">
        <f t="shared" si="249"/>
        <v>0</v>
      </c>
      <c r="AJ190">
        <f t="shared" si="223"/>
        <v>0</v>
      </c>
      <c r="AK190">
        <v>45.55</v>
      </c>
      <c r="AL190">
        <v>0</v>
      </c>
      <c r="AM190">
        <v>0</v>
      </c>
      <c r="AN190">
        <v>0</v>
      </c>
      <c r="AO190">
        <v>45.55</v>
      </c>
      <c r="AP190">
        <v>0</v>
      </c>
      <c r="AQ190">
        <v>5.84</v>
      </c>
      <c r="AR190">
        <v>0</v>
      </c>
      <c r="AS190">
        <v>0</v>
      </c>
      <c r="AT190">
        <v>85</v>
      </c>
      <c r="AU190">
        <v>65</v>
      </c>
      <c r="AV190">
        <v>1</v>
      </c>
      <c r="AW190">
        <v>1</v>
      </c>
      <c r="AZ190">
        <v>6.71</v>
      </c>
      <c r="BA190">
        <v>6.71</v>
      </c>
      <c r="BB190">
        <v>6.71</v>
      </c>
      <c r="BC190">
        <v>6.71</v>
      </c>
      <c r="BD190" t="s">
        <v>6</v>
      </c>
      <c r="BE190" t="s">
        <v>6</v>
      </c>
      <c r="BF190" t="s">
        <v>6</v>
      </c>
      <c r="BG190" t="s">
        <v>6</v>
      </c>
      <c r="BH190">
        <v>0</v>
      </c>
      <c r="BI190">
        <v>1</v>
      </c>
      <c r="BJ190" t="s">
        <v>493</v>
      </c>
      <c r="BM190">
        <v>67001</v>
      </c>
      <c r="BN190">
        <v>0</v>
      </c>
      <c r="BO190" t="s">
        <v>6</v>
      </c>
      <c r="BP190">
        <v>0</v>
      </c>
      <c r="BQ190">
        <v>6</v>
      </c>
      <c r="BR190">
        <v>0</v>
      </c>
      <c r="BS190">
        <v>6.71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6</v>
      </c>
      <c r="BZ190">
        <v>85</v>
      </c>
      <c r="CA190">
        <v>65</v>
      </c>
      <c r="CE190">
        <v>0</v>
      </c>
      <c r="CF190">
        <v>0</v>
      </c>
      <c r="CG190">
        <v>0</v>
      </c>
      <c r="CM190">
        <v>0</v>
      </c>
      <c r="CN190" t="s">
        <v>6</v>
      </c>
      <c r="CO190">
        <v>0</v>
      </c>
      <c r="CP190">
        <f t="shared" si="224"/>
        <v>354.54</v>
      </c>
      <c r="CQ190">
        <f t="shared" si="225"/>
        <v>0</v>
      </c>
      <c r="CR190">
        <f t="shared" si="226"/>
        <v>0</v>
      </c>
      <c r="CS190">
        <f t="shared" si="227"/>
        <v>0</v>
      </c>
      <c r="CT190">
        <f t="shared" si="228"/>
        <v>305.64049999999997</v>
      </c>
      <c r="CU190">
        <f t="shared" si="229"/>
        <v>0</v>
      </c>
      <c r="CV190">
        <f t="shared" si="230"/>
        <v>5.84</v>
      </c>
      <c r="CW190">
        <f t="shared" si="231"/>
        <v>0</v>
      </c>
      <c r="CX190">
        <f t="shared" si="232"/>
        <v>0</v>
      </c>
      <c r="CY190">
        <f t="shared" si="233"/>
        <v>301.35900000000004</v>
      </c>
      <c r="CZ190">
        <f t="shared" si="234"/>
        <v>230.45100000000002</v>
      </c>
      <c r="DC190" t="s">
        <v>6</v>
      </c>
      <c r="DD190" t="s">
        <v>6</v>
      </c>
      <c r="DE190" t="s">
        <v>6</v>
      </c>
      <c r="DF190" t="s">
        <v>6</v>
      </c>
      <c r="DG190" t="s">
        <v>6</v>
      </c>
      <c r="DH190" t="s">
        <v>6</v>
      </c>
      <c r="DI190" t="s">
        <v>6</v>
      </c>
      <c r="DJ190" t="s">
        <v>6</v>
      </c>
      <c r="DK190" t="s">
        <v>6</v>
      </c>
      <c r="DL190" t="s">
        <v>6</v>
      </c>
      <c r="DM190" t="s">
        <v>6</v>
      </c>
      <c r="DN190">
        <v>0</v>
      </c>
      <c r="DO190">
        <v>0</v>
      </c>
      <c r="DP190">
        <v>1</v>
      </c>
      <c r="DQ190">
        <v>1</v>
      </c>
      <c r="DU190">
        <v>1013</v>
      </c>
      <c r="DV190" t="s">
        <v>55</v>
      </c>
      <c r="DW190" t="s">
        <v>55</v>
      </c>
      <c r="DX190">
        <v>1</v>
      </c>
      <c r="EE190">
        <v>16510612</v>
      </c>
      <c r="EF190">
        <v>6</v>
      </c>
      <c r="EG190" t="s">
        <v>41</v>
      </c>
      <c r="EH190">
        <v>0</v>
      </c>
      <c r="EI190" t="s">
        <v>6</v>
      </c>
      <c r="EJ190">
        <v>1</v>
      </c>
      <c r="EK190">
        <v>67001</v>
      </c>
      <c r="EL190" t="s">
        <v>465</v>
      </c>
      <c r="EM190" t="s">
        <v>466</v>
      </c>
      <c r="EO190" t="s">
        <v>6</v>
      </c>
      <c r="EQ190">
        <v>131072</v>
      </c>
      <c r="ER190">
        <v>45.55</v>
      </c>
      <c r="ES190">
        <v>0</v>
      </c>
      <c r="ET190">
        <v>0</v>
      </c>
      <c r="EU190">
        <v>0</v>
      </c>
      <c r="EV190">
        <v>45.55</v>
      </c>
      <c r="EW190">
        <v>5.84</v>
      </c>
      <c r="EX190">
        <v>0</v>
      </c>
      <c r="EY190">
        <v>0</v>
      </c>
      <c r="FQ190">
        <v>0</v>
      </c>
      <c r="FR190">
        <f t="shared" si="235"/>
        <v>0</v>
      </c>
      <c r="FS190">
        <v>0</v>
      </c>
      <c r="FX190">
        <v>85</v>
      </c>
      <c r="FY190">
        <v>65</v>
      </c>
      <c r="GA190" t="s">
        <v>6</v>
      </c>
      <c r="GD190">
        <v>0</v>
      </c>
      <c r="GF190">
        <v>-364073208</v>
      </c>
      <c r="GG190">
        <v>1</v>
      </c>
      <c r="GH190">
        <v>1</v>
      </c>
      <c r="GI190">
        <v>4</v>
      </c>
      <c r="GJ190">
        <v>0</v>
      </c>
      <c r="GK190">
        <f>ROUND(R190*(R12)/100,2)</f>
        <v>0</v>
      </c>
      <c r="GL190">
        <f t="shared" si="236"/>
        <v>0</v>
      </c>
      <c r="GM190">
        <f t="shared" si="237"/>
        <v>886.35</v>
      </c>
      <c r="GN190">
        <f t="shared" si="238"/>
        <v>886.35</v>
      </c>
      <c r="GO190">
        <f t="shared" si="239"/>
        <v>0</v>
      </c>
      <c r="GP190">
        <f t="shared" si="240"/>
        <v>0</v>
      </c>
      <c r="GR190">
        <v>0</v>
      </c>
      <c r="GS190">
        <v>3</v>
      </c>
      <c r="GT190">
        <v>0</v>
      </c>
      <c r="GU190" t="s">
        <v>6</v>
      </c>
      <c r="GV190">
        <f t="shared" si="241"/>
        <v>0</v>
      </c>
      <c r="GW190">
        <v>1</v>
      </c>
      <c r="GX190">
        <f t="shared" si="242"/>
        <v>0</v>
      </c>
      <c r="HA190">
        <v>0</v>
      </c>
      <c r="HB190">
        <v>0</v>
      </c>
      <c r="HC190">
        <f t="shared" si="243"/>
        <v>0</v>
      </c>
      <c r="IK190">
        <v>0</v>
      </c>
    </row>
    <row r="191" spans="1:245" x14ac:dyDescent="0.2">
      <c r="A191">
        <v>17</v>
      </c>
      <c r="B191">
        <v>1</v>
      </c>
      <c r="C191">
        <f>ROW(SmtRes!A276)</f>
        <v>276</v>
      </c>
      <c r="D191">
        <f>ROW(EtalonRes!A272)</f>
        <v>272</v>
      </c>
      <c r="E191" t="s">
        <v>494</v>
      </c>
      <c r="F191" t="s">
        <v>495</v>
      </c>
      <c r="G191" t="s">
        <v>496</v>
      </c>
      <c r="H191" t="s">
        <v>55</v>
      </c>
      <c r="I191">
        <f>ROUND(8/100,9)</f>
        <v>0.08</v>
      </c>
      <c r="J191">
        <v>0</v>
      </c>
      <c r="O191">
        <f t="shared" si="210"/>
        <v>357.99</v>
      </c>
      <c r="P191">
        <f t="shared" si="211"/>
        <v>0</v>
      </c>
      <c r="Q191">
        <f t="shared" si="212"/>
        <v>0</v>
      </c>
      <c r="R191">
        <f t="shared" si="213"/>
        <v>0</v>
      </c>
      <c r="S191">
        <f t="shared" si="214"/>
        <v>357.99</v>
      </c>
      <c r="T191">
        <f t="shared" si="215"/>
        <v>0</v>
      </c>
      <c r="U191">
        <f t="shared" si="216"/>
        <v>6.84</v>
      </c>
      <c r="V191">
        <f t="shared" si="217"/>
        <v>0</v>
      </c>
      <c r="W191">
        <f t="shared" si="218"/>
        <v>0</v>
      </c>
      <c r="X191">
        <f t="shared" si="219"/>
        <v>279.23</v>
      </c>
      <c r="Y191">
        <f t="shared" si="220"/>
        <v>179</v>
      </c>
      <c r="AA191">
        <v>16812721</v>
      </c>
      <c r="AB191">
        <f t="shared" si="221"/>
        <v>666.9</v>
      </c>
      <c r="AC191">
        <f t="shared" si="244"/>
        <v>0</v>
      </c>
      <c r="AD191">
        <f t="shared" si="245"/>
        <v>0</v>
      </c>
      <c r="AE191">
        <f t="shared" si="246"/>
        <v>0</v>
      </c>
      <c r="AF191">
        <f t="shared" si="247"/>
        <v>666.9</v>
      </c>
      <c r="AG191">
        <f t="shared" si="222"/>
        <v>0</v>
      </c>
      <c r="AH191">
        <f t="shared" si="248"/>
        <v>85.5</v>
      </c>
      <c r="AI191">
        <f t="shared" si="249"/>
        <v>0</v>
      </c>
      <c r="AJ191">
        <f t="shared" si="223"/>
        <v>0</v>
      </c>
      <c r="AK191">
        <v>666.9</v>
      </c>
      <c r="AL191">
        <v>0</v>
      </c>
      <c r="AM191">
        <v>0</v>
      </c>
      <c r="AN191">
        <v>0</v>
      </c>
      <c r="AO191">
        <v>666.9</v>
      </c>
      <c r="AP191">
        <v>0</v>
      </c>
      <c r="AQ191">
        <v>85.5</v>
      </c>
      <c r="AR191">
        <v>0</v>
      </c>
      <c r="AS191">
        <v>0</v>
      </c>
      <c r="AT191">
        <v>78</v>
      </c>
      <c r="AU191">
        <v>50</v>
      </c>
      <c r="AV191">
        <v>1</v>
      </c>
      <c r="AW191">
        <v>1</v>
      </c>
      <c r="AZ191">
        <v>6.71</v>
      </c>
      <c r="BA191">
        <v>6.71</v>
      </c>
      <c r="BB191">
        <v>6.71</v>
      </c>
      <c r="BC191">
        <v>6.71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1</v>
      </c>
      <c r="BJ191" t="s">
        <v>497</v>
      </c>
      <c r="BM191">
        <v>69001</v>
      </c>
      <c r="BN191">
        <v>0</v>
      </c>
      <c r="BO191" t="s">
        <v>6</v>
      </c>
      <c r="BP191">
        <v>0</v>
      </c>
      <c r="BQ191">
        <v>6</v>
      </c>
      <c r="BR191">
        <v>0</v>
      </c>
      <c r="BS191">
        <v>6.71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78</v>
      </c>
      <c r="CA191">
        <v>50</v>
      </c>
      <c r="CE191">
        <v>0</v>
      </c>
      <c r="CF191">
        <v>0</v>
      </c>
      <c r="CG191">
        <v>0</v>
      </c>
      <c r="CM191">
        <v>0</v>
      </c>
      <c r="CN191" t="s">
        <v>6</v>
      </c>
      <c r="CO191">
        <v>0</v>
      </c>
      <c r="CP191">
        <f t="shared" si="224"/>
        <v>357.99</v>
      </c>
      <c r="CQ191">
        <f t="shared" si="225"/>
        <v>0</v>
      </c>
      <c r="CR191">
        <f t="shared" si="226"/>
        <v>0</v>
      </c>
      <c r="CS191">
        <f t="shared" si="227"/>
        <v>0</v>
      </c>
      <c r="CT191">
        <f t="shared" si="228"/>
        <v>4474.8989999999994</v>
      </c>
      <c r="CU191">
        <f t="shared" si="229"/>
        <v>0</v>
      </c>
      <c r="CV191">
        <f t="shared" si="230"/>
        <v>85.5</v>
      </c>
      <c r="CW191">
        <f t="shared" si="231"/>
        <v>0</v>
      </c>
      <c r="CX191">
        <f t="shared" si="232"/>
        <v>0</v>
      </c>
      <c r="CY191">
        <f t="shared" si="233"/>
        <v>279.23220000000003</v>
      </c>
      <c r="CZ191">
        <f t="shared" si="234"/>
        <v>178.995</v>
      </c>
      <c r="DC191" t="s">
        <v>6</v>
      </c>
      <c r="DD191" t="s">
        <v>6</v>
      </c>
      <c r="DE191" t="s">
        <v>6</v>
      </c>
      <c r="DF191" t="s">
        <v>6</v>
      </c>
      <c r="DG191" t="s">
        <v>6</v>
      </c>
      <c r="DH191" t="s">
        <v>6</v>
      </c>
      <c r="DI191" t="s">
        <v>6</v>
      </c>
      <c r="DJ191" t="s">
        <v>6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55</v>
      </c>
      <c r="DW191" t="s">
        <v>55</v>
      </c>
      <c r="DX191">
        <v>1</v>
      </c>
      <c r="EE191">
        <v>16510614</v>
      </c>
      <c r="EF191">
        <v>6</v>
      </c>
      <c r="EG191" t="s">
        <v>41</v>
      </c>
      <c r="EH191">
        <v>0</v>
      </c>
      <c r="EI191" t="s">
        <v>6</v>
      </c>
      <c r="EJ191">
        <v>1</v>
      </c>
      <c r="EK191">
        <v>69001</v>
      </c>
      <c r="EL191" t="s">
        <v>344</v>
      </c>
      <c r="EM191" t="s">
        <v>345</v>
      </c>
      <c r="EO191" t="s">
        <v>6</v>
      </c>
      <c r="EQ191">
        <v>131072</v>
      </c>
      <c r="ER191">
        <v>666.9</v>
      </c>
      <c r="ES191">
        <v>0</v>
      </c>
      <c r="ET191">
        <v>0</v>
      </c>
      <c r="EU191">
        <v>0</v>
      </c>
      <c r="EV191">
        <v>666.9</v>
      </c>
      <c r="EW191">
        <v>85.5</v>
      </c>
      <c r="EX191">
        <v>0</v>
      </c>
      <c r="EY191">
        <v>0</v>
      </c>
      <c r="FQ191">
        <v>0</v>
      </c>
      <c r="FR191">
        <f t="shared" si="235"/>
        <v>0</v>
      </c>
      <c r="FS191">
        <v>0</v>
      </c>
      <c r="FX191">
        <v>78</v>
      </c>
      <c r="FY191">
        <v>50</v>
      </c>
      <c r="GA191" t="s">
        <v>6</v>
      </c>
      <c r="GD191">
        <v>0</v>
      </c>
      <c r="GF191">
        <v>-1582211729</v>
      </c>
      <c r="GG191">
        <v>1</v>
      </c>
      <c r="GH191">
        <v>1</v>
      </c>
      <c r="GI191">
        <v>4</v>
      </c>
      <c r="GJ191">
        <v>0</v>
      </c>
      <c r="GK191">
        <f>ROUND(R191*(R12)/100,2)</f>
        <v>0</v>
      </c>
      <c r="GL191">
        <f t="shared" si="236"/>
        <v>0</v>
      </c>
      <c r="GM191">
        <f t="shared" si="237"/>
        <v>816.22</v>
      </c>
      <c r="GN191">
        <f t="shared" si="238"/>
        <v>816.22</v>
      </c>
      <c r="GO191">
        <f t="shared" si="239"/>
        <v>0</v>
      </c>
      <c r="GP191">
        <f t="shared" si="240"/>
        <v>0</v>
      </c>
      <c r="GR191">
        <v>0</v>
      </c>
      <c r="GS191">
        <v>3</v>
      </c>
      <c r="GT191">
        <v>0</v>
      </c>
      <c r="GU191" t="s">
        <v>6</v>
      </c>
      <c r="GV191">
        <f t="shared" si="241"/>
        <v>0</v>
      </c>
      <c r="GW191">
        <v>1</v>
      </c>
      <c r="GX191">
        <f t="shared" si="242"/>
        <v>0</v>
      </c>
      <c r="HA191">
        <v>0</v>
      </c>
      <c r="HB191">
        <v>0</v>
      </c>
      <c r="HC191">
        <f t="shared" si="243"/>
        <v>0</v>
      </c>
      <c r="IK191">
        <v>0</v>
      </c>
    </row>
    <row r="192" spans="1:245" x14ac:dyDescent="0.2">
      <c r="A192">
        <v>17</v>
      </c>
      <c r="B192">
        <v>1</v>
      </c>
      <c r="C192">
        <f>ROW(SmtRes!A287)</f>
        <v>287</v>
      </c>
      <c r="D192">
        <f>ROW(EtalonRes!A282)</f>
        <v>282</v>
      </c>
      <c r="E192" t="s">
        <v>498</v>
      </c>
      <c r="F192" t="s">
        <v>499</v>
      </c>
      <c r="G192" t="s">
        <v>500</v>
      </c>
      <c r="H192" t="s">
        <v>39</v>
      </c>
      <c r="I192">
        <f>ROUND(8/100,9)</f>
        <v>0.08</v>
      </c>
      <c r="J192">
        <v>0</v>
      </c>
      <c r="O192">
        <f t="shared" si="210"/>
        <v>134.69</v>
      </c>
      <c r="P192">
        <f t="shared" si="211"/>
        <v>47.1</v>
      </c>
      <c r="Q192">
        <f t="shared" si="212"/>
        <v>10.49</v>
      </c>
      <c r="R192">
        <f t="shared" si="213"/>
        <v>1.49</v>
      </c>
      <c r="S192">
        <f t="shared" si="214"/>
        <v>77.099999999999994</v>
      </c>
      <c r="T192">
        <f t="shared" si="215"/>
        <v>0</v>
      </c>
      <c r="U192">
        <f t="shared" si="216"/>
        <v>1.2223999999999999</v>
      </c>
      <c r="V192">
        <f t="shared" si="217"/>
        <v>1.7600000000000001E-2</v>
      </c>
      <c r="W192">
        <f t="shared" si="218"/>
        <v>0</v>
      </c>
      <c r="X192">
        <f t="shared" si="219"/>
        <v>74.66</v>
      </c>
      <c r="Y192">
        <f t="shared" si="220"/>
        <v>51.08</v>
      </c>
      <c r="AA192">
        <v>16812721</v>
      </c>
      <c r="AB192">
        <f t="shared" si="221"/>
        <v>250.92</v>
      </c>
      <c r="AC192">
        <f t="shared" si="244"/>
        <v>87.74</v>
      </c>
      <c r="AD192">
        <f t="shared" si="245"/>
        <v>19.55</v>
      </c>
      <c r="AE192">
        <f t="shared" si="246"/>
        <v>2.77</v>
      </c>
      <c r="AF192">
        <f t="shared" si="247"/>
        <v>143.63</v>
      </c>
      <c r="AG192">
        <f t="shared" si="222"/>
        <v>0</v>
      </c>
      <c r="AH192">
        <f t="shared" si="248"/>
        <v>15.28</v>
      </c>
      <c r="AI192">
        <f t="shared" si="249"/>
        <v>0.22</v>
      </c>
      <c r="AJ192">
        <f t="shared" si="223"/>
        <v>0</v>
      </c>
      <c r="AK192">
        <v>250.92</v>
      </c>
      <c r="AL192">
        <v>87.74</v>
      </c>
      <c r="AM192">
        <v>19.55</v>
      </c>
      <c r="AN192">
        <v>2.77</v>
      </c>
      <c r="AO192">
        <v>143.63</v>
      </c>
      <c r="AP192">
        <v>0</v>
      </c>
      <c r="AQ192">
        <v>15.28</v>
      </c>
      <c r="AR192">
        <v>0.22</v>
      </c>
      <c r="AS192">
        <v>0</v>
      </c>
      <c r="AT192">
        <v>95</v>
      </c>
      <c r="AU192">
        <v>65</v>
      </c>
      <c r="AV192">
        <v>1</v>
      </c>
      <c r="AW192">
        <v>1</v>
      </c>
      <c r="AZ192">
        <v>6.71</v>
      </c>
      <c r="BA192">
        <v>6.71</v>
      </c>
      <c r="BB192">
        <v>6.71</v>
      </c>
      <c r="BC192">
        <v>6.71</v>
      </c>
      <c r="BD192" t="s">
        <v>6</v>
      </c>
      <c r="BE192" t="s">
        <v>6</v>
      </c>
      <c r="BF192" t="s">
        <v>6</v>
      </c>
      <c r="BG192" t="s">
        <v>6</v>
      </c>
      <c r="BH192">
        <v>0</v>
      </c>
      <c r="BI192">
        <v>2</v>
      </c>
      <c r="BJ192" t="s">
        <v>501</v>
      </c>
      <c r="BM192">
        <v>108001</v>
      </c>
      <c r="BN192">
        <v>0</v>
      </c>
      <c r="BO192" t="s">
        <v>6</v>
      </c>
      <c r="BP192">
        <v>0</v>
      </c>
      <c r="BQ192">
        <v>3</v>
      </c>
      <c r="BR192">
        <v>0</v>
      </c>
      <c r="BS192">
        <v>6.71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6</v>
      </c>
      <c r="BZ192">
        <v>95</v>
      </c>
      <c r="CA192">
        <v>65</v>
      </c>
      <c r="CE192">
        <v>0</v>
      </c>
      <c r="CF192">
        <v>0</v>
      </c>
      <c r="CG192">
        <v>0</v>
      </c>
      <c r="CM192">
        <v>0</v>
      </c>
      <c r="CN192" t="s">
        <v>6</v>
      </c>
      <c r="CO192">
        <v>0</v>
      </c>
      <c r="CP192">
        <f t="shared" si="224"/>
        <v>134.69</v>
      </c>
      <c r="CQ192">
        <f t="shared" si="225"/>
        <v>588.73539999999991</v>
      </c>
      <c r="CR192">
        <f t="shared" si="226"/>
        <v>131.18049999999999</v>
      </c>
      <c r="CS192">
        <f t="shared" si="227"/>
        <v>18.5867</v>
      </c>
      <c r="CT192">
        <f t="shared" si="228"/>
        <v>963.75729999999999</v>
      </c>
      <c r="CU192">
        <f t="shared" si="229"/>
        <v>0</v>
      </c>
      <c r="CV192">
        <f t="shared" si="230"/>
        <v>15.28</v>
      </c>
      <c r="CW192">
        <f t="shared" si="231"/>
        <v>0.22</v>
      </c>
      <c r="CX192">
        <f t="shared" si="232"/>
        <v>0</v>
      </c>
      <c r="CY192">
        <f t="shared" si="233"/>
        <v>74.660499999999999</v>
      </c>
      <c r="CZ192">
        <f t="shared" si="234"/>
        <v>51.083499999999994</v>
      </c>
      <c r="DC192" t="s">
        <v>6</v>
      </c>
      <c r="DD192" t="s">
        <v>6</v>
      </c>
      <c r="DE192" t="s">
        <v>6</v>
      </c>
      <c r="DF192" t="s">
        <v>6</v>
      </c>
      <c r="DG192" t="s">
        <v>6</v>
      </c>
      <c r="DH192" t="s">
        <v>6</v>
      </c>
      <c r="DI192" t="s">
        <v>6</v>
      </c>
      <c r="DJ192" t="s">
        <v>6</v>
      </c>
      <c r="DK192" t="s">
        <v>6</v>
      </c>
      <c r="DL192" t="s">
        <v>6</v>
      </c>
      <c r="DM192" t="s">
        <v>6</v>
      </c>
      <c r="DN192">
        <v>0</v>
      </c>
      <c r="DO192">
        <v>0</v>
      </c>
      <c r="DP192">
        <v>1</v>
      </c>
      <c r="DQ192">
        <v>1</v>
      </c>
      <c r="DU192">
        <v>1003</v>
      </c>
      <c r="DV192" t="s">
        <v>39</v>
      </c>
      <c r="DW192" t="s">
        <v>39</v>
      </c>
      <c r="DX192">
        <v>100</v>
      </c>
      <c r="EE192">
        <v>16510370</v>
      </c>
      <c r="EF192">
        <v>3</v>
      </c>
      <c r="EG192" t="s">
        <v>472</v>
      </c>
      <c r="EH192">
        <v>0</v>
      </c>
      <c r="EI192" t="s">
        <v>6</v>
      </c>
      <c r="EJ192">
        <v>2</v>
      </c>
      <c r="EK192">
        <v>108001</v>
      </c>
      <c r="EL192" t="s">
        <v>473</v>
      </c>
      <c r="EM192" t="s">
        <v>474</v>
      </c>
      <c r="EO192" t="s">
        <v>6</v>
      </c>
      <c r="EQ192">
        <v>131072</v>
      </c>
      <c r="ER192">
        <v>250.92</v>
      </c>
      <c r="ES192">
        <v>87.74</v>
      </c>
      <c r="ET192">
        <v>19.55</v>
      </c>
      <c r="EU192">
        <v>2.77</v>
      </c>
      <c r="EV192">
        <v>143.63</v>
      </c>
      <c r="EW192">
        <v>15.28</v>
      </c>
      <c r="EX192">
        <v>0.22</v>
      </c>
      <c r="EY192">
        <v>0</v>
      </c>
      <c r="FQ192">
        <v>0</v>
      </c>
      <c r="FR192">
        <f t="shared" si="235"/>
        <v>0</v>
      </c>
      <c r="FS192">
        <v>0</v>
      </c>
      <c r="FX192">
        <v>95</v>
      </c>
      <c r="FY192">
        <v>65</v>
      </c>
      <c r="GA192" t="s">
        <v>6</v>
      </c>
      <c r="GD192">
        <v>0</v>
      </c>
      <c r="GF192">
        <v>-1865097555</v>
      </c>
      <c r="GG192">
        <v>1</v>
      </c>
      <c r="GH192">
        <v>1</v>
      </c>
      <c r="GI192">
        <v>4</v>
      </c>
      <c r="GJ192">
        <v>0</v>
      </c>
      <c r="GK192">
        <f>ROUND(R192*(R12)/100,2)</f>
        <v>0</v>
      </c>
      <c r="GL192">
        <f t="shared" si="236"/>
        <v>0</v>
      </c>
      <c r="GM192">
        <f t="shared" si="237"/>
        <v>260.43</v>
      </c>
      <c r="GN192">
        <f t="shared" si="238"/>
        <v>0</v>
      </c>
      <c r="GO192">
        <f t="shared" si="239"/>
        <v>260.43</v>
      </c>
      <c r="GP192">
        <f t="shared" si="240"/>
        <v>0</v>
      </c>
      <c r="GR192">
        <v>0</v>
      </c>
      <c r="GS192">
        <v>3</v>
      </c>
      <c r="GT192">
        <v>0</v>
      </c>
      <c r="GU192" t="s">
        <v>6</v>
      </c>
      <c r="GV192">
        <f t="shared" si="241"/>
        <v>0</v>
      </c>
      <c r="GW192">
        <v>1</v>
      </c>
      <c r="GX192">
        <f t="shared" si="242"/>
        <v>0</v>
      </c>
      <c r="HA192">
        <v>0</v>
      </c>
      <c r="HB192">
        <v>0</v>
      </c>
      <c r="HC192">
        <f t="shared" si="243"/>
        <v>0</v>
      </c>
      <c r="IK192">
        <v>0</v>
      </c>
    </row>
    <row r="193" spans="1:245" x14ac:dyDescent="0.2">
      <c r="A193">
        <v>18</v>
      </c>
      <c r="B193">
        <v>1</v>
      </c>
      <c r="C193">
        <v>286</v>
      </c>
      <c r="E193" t="s">
        <v>502</v>
      </c>
      <c r="F193" t="s">
        <v>503</v>
      </c>
      <c r="G193" t="s">
        <v>504</v>
      </c>
      <c r="H193" t="s">
        <v>505</v>
      </c>
      <c r="I193">
        <f>I192*J193</f>
        <v>0.8</v>
      </c>
      <c r="J193">
        <v>10</v>
      </c>
      <c r="O193">
        <f t="shared" si="210"/>
        <v>533.69000000000005</v>
      </c>
      <c r="P193">
        <f t="shared" si="211"/>
        <v>533.69000000000005</v>
      </c>
      <c r="Q193">
        <f t="shared" si="212"/>
        <v>0</v>
      </c>
      <c r="R193">
        <f t="shared" si="213"/>
        <v>0</v>
      </c>
      <c r="S193">
        <f t="shared" si="214"/>
        <v>0</v>
      </c>
      <c r="T193">
        <f t="shared" si="215"/>
        <v>0</v>
      </c>
      <c r="U193">
        <f t="shared" si="216"/>
        <v>0</v>
      </c>
      <c r="V193">
        <f t="shared" si="217"/>
        <v>0</v>
      </c>
      <c r="W193">
        <f t="shared" si="218"/>
        <v>0</v>
      </c>
      <c r="X193">
        <f t="shared" si="219"/>
        <v>0</v>
      </c>
      <c r="Y193">
        <f t="shared" si="220"/>
        <v>0</v>
      </c>
      <c r="AA193">
        <v>16812721</v>
      </c>
      <c r="AB193">
        <f t="shared" si="221"/>
        <v>99.42</v>
      </c>
      <c r="AC193">
        <f t="shared" si="244"/>
        <v>99.42</v>
      </c>
      <c r="AD193">
        <f t="shared" si="245"/>
        <v>0</v>
      </c>
      <c r="AE193">
        <f t="shared" si="246"/>
        <v>0</v>
      </c>
      <c r="AF193">
        <f t="shared" si="247"/>
        <v>0</v>
      </c>
      <c r="AG193">
        <f t="shared" si="222"/>
        <v>0</v>
      </c>
      <c r="AH193">
        <f t="shared" si="248"/>
        <v>0</v>
      </c>
      <c r="AI193">
        <f t="shared" si="249"/>
        <v>0</v>
      </c>
      <c r="AJ193">
        <f t="shared" si="223"/>
        <v>0</v>
      </c>
      <c r="AK193">
        <v>99.42</v>
      </c>
      <c r="AL193">
        <v>99.42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95</v>
      </c>
      <c r="AU193">
        <v>65</v>
      </c>
      <c r="AV193">
        <v>1</v>
      </c>
      <c r="AW193">
        <v>1</v>
      </c>
      <c r="AZ193">
        <v>6.71</v>
      </c>
      <c r="BA193">
        <v>1</v>
      </c>
      <c r="BB193">
        <v>1</v>
      </c>
      <c r="BC193">
        <v>6.71</v>
      </c>
      <c r="BD193" t="s">
        <v>6</v>
      </c>
      <c r="BE193" t="s">
        <v>6</v>
      </c>
      <c r="BF193" t="s">
        <v>6</v>
      </c>
      <c r="BG193" t="s">
        <v>6</v>
      </c>
      <c r="BH193">
        <v>3</v>
      </c>
      <c r="BI193">
        <v>2</v>
      </c>
      <c r="BJ193" t="s">
        <v>506</v>
      </c>
      <c r="BM193">
        <v>108001</v>
      </c>
      <c r="BN193">
        <v>0</v>
      </c>
      <c r="BO193" t="s">
        <v>6</v>
      </c>
      <c r="BP193">
        <v>0</v>
      </c>
      <c r="BQ193">
        <v>3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95</v>
      </c>
      <c r="CA193">
        <v>65</v>
      </c>
      <c r="CE193">
        <v>0</v>
      </c>
      <c r="CF193">
        <v>0</v>
      </c>
      <c r="CG193">
        <v>0</v>
      </c>
      <c r="CM193">
        <v>0</v>
      </c>
      <c r="CN193" t="s">
        <v>6</v>
      </c>
      <c r="CO193">
        <v>0</v>
      </c>
      <c r="CP193">
        <f t="shared" si="224"/>
        <v>533.69000000000005</v>
      </c>
      <c r="CQ193">
        <f t="shared" si="225"/>
        <v>667.10820000000001</v>
      </c>
      <c r="CR193">
        <f t="shared" si="226"/>
        <v>0</v>
      </c>
      <c r="CS193">
        <f t="shared" si="227"/>
        <v>0</v>
      </c>
      <c r="CT193">
        <f t="shared" si="228"/>
        <v>0</v>
      </c>
      <c r="CU193">
        <f t="shared" si="229"/>
        <v>0</v>
      </c>
      <c r="CV193">
        <f t="shared" si="230"/>
        <v>0</v>
      </c>
      <c r="CW193">
        <f t="shared" si="231"/>
        <v>0</v>
      </c>
      <c r="CX193">
        <f t="shared" si="232"/>
        <v>0</v>
      </c>
      <c r="CY193">
        <f t="shared" si="233"/>
        <v>0</v>
      </c>
      <c r="CZ193">
        <f t="shared" si="234"/>
        <v>0</v>
      </c>
      <c r="DC193" t="s">
        <v>6</v>
      </c>
      <c r="DD193" t="s">
        <v>6</v>
      </c>
      <c r="DE193" t="s">
        <v>6</v>
      </c>
      <c r="DF193" t="s">
        <v>6</v>
      </c>
      <c r="DG193" t="s">
        <v>6</v>
      </c>
      <c r="DH193" t="s">
        <v>6</v>
      </c>
      <c r="DI193" t="s">
        <v>6</v>
      </c>
      <c r="DJ193" t="s">
        <v>6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1003</v>
      </c>
      <c r="DV193" t="s">
        <v>505</v>
      </c>
      <c r="DW193" t="s">
        <v>505</v>
      </c>
      <c r="DX193">
        <v>10</v>
      </c>
      <c r="EE193">
        <v>16510370</v>
      </c>
      <c r="EF193">
        <v>3</v>
      </c>
      <c r="EG193" t="s">
        <v>472</v>
      </c>
      <c r="EH193">
        <v>0</v>
      </c>
      <c r="EI193" t="s">
        <v>6</v>
      </c>
      <c r="EJ193">
        <v>2</v>
      </c>
      <c r="EK193">
        <v>108001</v>
      </c>
      <c r="EL193" t="s">
        <v>473</v>
      </c>
      <c r="EM193" t="s">
        <v>474</v>
      </c>
      <c r="EO193" t="s">
        <v>6</v>
      </c>
      <c r="EQ193">
        <v>0</v>
      </c>
      <c r="ER193">
        <v>99.42</v>
      </c>
      <c r="ES193">
        <v>99.42</v>
      </c>
      <c r="ET193">
        <v>0</v>
      </c>
      <c r="EU193">
        <v>0</v>
      </c>
      <c r="EV193">
        <v>0</v>
      </c>
      <c r="EW193">
        <v>0</v>
      </c>
      <c r="EX193">
        <v>0</v>
      </c>
      <c r="FQ193">
        <v>0</v>
      </c>
      <c r="FR193">
        <f t="shared" si="235"/>
        <v>0</v>
      </c>
      <c r="FS193">
        <v>0</v>
      </c>
      <c r="FX193">
        <v>95</v>
      </c>
      <c r="FY193">
        <v>65</v>
      </c>
      <c r="GA193" t="s">
        <v>6</v>
      </c>
      <c r="GD193">
        <v>0</v>
      </c>
      <c r="GF193">
        <v>-835976676</v>
      </c>
      <c r="GG193">
        <v>1</v>
      </c>
      <c r="GH193">
        <v>1</v>
      </c>
      <c r="GI193">
        <v>4</v>
      </c>
      <c r="GJ193">
        <v>0</v>
      </c>
      <c r="GK193">
        <f>ROUND(R193*(R12)/100,2)</f>
        <v>0</v>
      </c>
      <c r="GL193">
        <f t="shared" si="236"/>
        <v>0</v>
      </c>
      <c r="GM193">
        <f t="shared" si="237"/>
        <v>533.69000000000005</v>
      </c>
      <c r="GN193">
        <f t="shared" si="238"/>
        <v>0</v>
      </c>
      <c r="GO193">
        <f t="shared" si="239"/>
        <v>533.69000000000005</v>
      </c>
      <c r="GP193">
        <f t="shared" si="240"/>
        <v>0</v>
      </c>
      <c r="GR193">
        <v>0</v>
      </c>
      <c r="GS193">
        <v>3</v>
      </c>
      <c r="GT193">
        <v>0</v>
      </c>
      <c r="GU193" t="s">
        <v>6</v>
      </c>
      <c r="GV193">
        <f t="shared" si="241"/>
        <v>0</v>
      </c>
      <c r="GW193">
        <v>1</v>
      </c>
      <c r="GX193">
        <f t="shared" si="242"/>
        <v>0</v>
      </c>
      <c r="HA193">
        <v>0</v>
      </c>
      <c r="HB193">
        <v>0</v>
      </c>
      <c r="HC193">
        <f t="shared" si="243"/>
        <v>0</v>
      </c>
      <c r="IK193">
        <v>0</v>
      </c>
    </row>
    <row r="194" spans="1:245" x14ac:dyDescent="0.2">
      <c r="A194">
        <v>17</v>
      </c>
      <c r="B194">
        <v>1</v>
      </c>
      <c r="C194">
        <f>ROW(SmtRes!A293)</f>
        <v>293</v>
      </c>
      <c r="D194">
        <f>ROW(EtalonRes!A287)</f>
        <v>287</v>
      </c>
      <c r="E194" t="s">
        <v>507</v>
      </c>
      <c r="F194" t="s">
        <v>508</v>
      </c>
      <c r="G194" t="s">
        <v>509</v>
      </c>
      <c r="H194" t="s">
        <v>437</v>
      </c>
      <c r="I194">
        <v>62</v>
      </c>
      <c r="J194">
        <v>0</v>
      </c>
      <c r="O194">
        <f t="shared" si="210"/>
        <v>2200.75</v>
      </c>
      <c r="P194">
        <f t="shared" si="211"/>
        <v>170.57</v>
      </c>
      <c r="Q194">
        <f t="shared" si="212"/>
        <v>0</v>
      </c>
      <c r="R194">
        <f t="shared" si="213"/>
        <v>0</v>
      </c>
      <c r="S194">
        <f t="shared" si="214"/>
        <v>2030.18</v>
      </c>
      <c r="T194">
        <f t="shared" si="215"/>
        <v>0</v>
      </c>
      <c r="U194">
        <f t="shared" si="216"/>
        <v>31</v>
      </c>
      <c r="V194">
        <f t="shared" si="217"/>
        <v>0</v>
      </c>
      <c r="W194">
        <f t="shared" si="218"/>
        <v>0</v>
      </c>
      <c r="X194">
        <f t="shared" si="219"/>
        <v>1624.14</v>
      </c>
      <c r="Y194">
        <f t="shared" si="220"/>
        <v>1218.1099999999999</v>
      </c>
      <c r="AA194">
        <v>16812721</v>
      </c>
      <c r="AB194">
        <f t="shared" si="221"/>
        <v>5.29</v>
      </c>
      <c r="AC194">
        <f t="shared" si="244"/>
        <v>0.41</v>
      </c>
      <c r="AD194">
        <f t="shared" si="245"/>
        <v>0</v>
      </c>
      <c r="AE194">
        <f t="shared" si="246"/>
        <v>0</v>
      </c>
      <c r="AF194">
        <f t="shared" si="247"/>
        <v>4.88</v>
      </c>
      <c r="AG194">
        <f t="shared" si="222"/>
        <v>0</v>
      </c>
      <c r="AH194">
        <f t="shared" si="248"/>
        <v>0.5</v>
      </c>
      <c r="AI194">
        <f t="shared" si="249"/>
        <v>0</v>
      </c>
      <c r="AJ194">
        <f t="shared" si="223"/>
        <v>0</v>
      </c>
      <c r="AK194">
        <v>5.29</v>
      </c>
      <c r="AL194">
        <v>0.41</v>
      </c>
      <c r="AM194">
        <v>0</v>
      </c>
      <c r="AN194">
        <v>0</v>
      </c>
      <c r="AO194">
        <v>4.88</v>
      </c>
      <c r="AP194">
        <v>0</v>
      </c>
      <c r="AQ194">
        <v>0.5</v>
      </c>
      <c r="AR194">
        <v>0</v>
      </c>
      <c r="AS194">
        <v>0</v>
      </c>
      <c r="AT194">
        <v>80</v>
      </c>
      <c r="AU194">
        <v>60</v>
      </c>
      <c r="AV194">
        <v>1</v>
      </c>
      <c r="AW194">
        <v>1</v>
      </c>
      <c r="AZ194">
        <v>6.71</v>
      </c>
      <c r="BA194">
        <v>6.71</v>
      </c>
      <c r="BB194">
        <v>6.71</v>
      </c>
      <c r="BC194">
        <v>6.71</v>
      </c>
      <c r="BD194" t="s">
        <v>6</v>
      </c>
      <c r="BE194" t="s">
        <v>6</v>
      </c>
      <c r="BF194" t="s">
        <v>6</v>
      </c>
      <c r="BG194" t="s">
        <v>6</v>
      </c>
      <c r="BH194">
        <v>0</v>
      </c>
      <c r="BI194">
        <v>2</v>
      </c>
      <c r="BJ194" t="s">
        <v>510</v>
      </c>
      <c r="BM194">
        <v>110011</v>
      </c>
      <c r="BN194">
        <v>0</v>
      </c>
      <c r="BO194" t="s">
        <v>6</v>
      </c>
      <c r="BP194">
        <v>0</v>
      </c>
      <c r="BQ194">
        <v>3</v>
      </c>
      <c r="BR194">
        <v>0</v>
      </c>
      <c r="BS194">
        <v>6.71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6</v>
      </c>
      <c r="BZ194">
        <v>80</v>
      </c>
      <c r="CA194">
        <v>60</v>
      </c>
      <c r="CE194">
        <v>0</v>
      </c>
      <c r="CF194">
        <v>0</v>
      </c>
      <c r="CG194">
        <v>0</v>
      </c>
      <c r="CM194">
        <v>0</v>
      </c>
      <c r="CN194" t="s">
        <v>6</v>
      </c>
      <c r="CO194">
        <v>0</v>
      </c>
      <c r="CP194">
        <f t="shared" si="224"/>
        <v>2200.75</v>
      </c>
      <c r="CQ194">
        <f t="shared" si="225"/>
        <v>2.7510999999999997</v>
      </c>
      <c r="CR194">
        <f t="shared" si="226"/>
        <v>0</v>
      </c>
      <c r="CS194">
        <f t="shared" si="227"/>
        <v>0</v>
      </c>
      <c r="CT194">
        <f t="shared" si="228"/>
        <v>32.744799999999998</v>
      </c>
      <c r="CU194">
        <f t="shared" si="229"/>
        <v>0</v>
      </c>
      <c r="CV194">
        <f t="shared" si="230"/>
        <v>0.5</v>
      </c>
      <c r="CW194">
        <f t="shared" si="231"/>
        <v>0</v>
      </c>
      <c r="CX194">
        <f t="shared" si="232"/>
        <v>0</v>
      </c>
      <c r="CY194">
        <f t="shared" si="233"/>
        <v>1624.144</v>
      </c>
      <c r="CZ194">
        <f t="shared" si="234"/>
        <v>1218.1079999999999</v>
      </c>
      <c r="DC194" t="s">
        <v>6</v>
      </c>
      <c r="DD194" t="s">
        <v>6</v>
      </c>
      <c r="DE194" t="s">
        <v>6</v>
      </c>
      <c r="DF194" t="s">
        <v>6</v>
      </c>
      <c r="DG194" t="s">
        <v>6</v>
      </c>
      <c r="DH194" t="s">
        <v>6</v>
      </c>
      <c r="DI194" t="s">
        <v>6</v>
      </c>
      <c r="DJ194" t="s">
        <v>6</v>
      </c>
      <c r="DK194" t="s">
        <v>6</v>
      </c>
      <c r="DL194" t="s">
        <v>6</v>
      </c>
      <c r="DM194" t="s">
        <v>6</v>
      </c>
      <c r="DN194">
        <v>0</v>
      </c>
      <c r="DO194">
        <v>0</v>
      </c>
      <c r="DP194">
        <v>1</v>
      </c>
      <c r="DQ194">
        <v>1</v>
      </c>
      <c r="DU194">
        <v>1013</v>
      </c>
      <c r="DV194" t="s">
        <v>437</v>
      </c>
      <c r="DW194" t="s">
        <v>437</v>
      </c>
      <c r="DX194">
        <v>1</v>
      </c>
      <c r="EE194">
        <v>16510417</v>
      </c>
      <c r="EF194">
        <v>3</v>
      </c>
      <c r="EG194" t="s">
        <v>472</v>
      </c>
      <c r="EH194">
        <v>0</v>
      </c>
      <c r="EI194" t="s">
        <v>6</v>
      </c>
      <c r="EJ194">
        <v>2</v>
      </c>
      <c r="EK194">
        <v>110011</v>
      </c>
      <c r="EL194" t="s">
        <v>511</v>
      </c>
      <c r="EM194" t="s">
        <v>512</v>
      </c>
      <c r="EO194" t="s">
        <v>6</v>
      </c>
      <c r="EQ194">
        <v>131072</v>
      </c>
      <c r="ER194">
        <v>5.29</v>
      </c>
      <c r="ES194">
        <v>0.41</v>
      </c>
      <c r="ET194">
        <v>0</v>
      </c>
      <c r="EU194">
        <v>0</v>
      </c>
      <c r="EV194">
        <v>4.88</v>
      </c>
      <c r="EW194">
        <v>0.5</v>
      </c>
      <c r="EX194">
        <v>0</v>
      </c>
      <c r="EY194">
        <v>0</v>
      </c>
      <c r="FQ194">
        <v>0</v>
      </c>
      <c r="FR194">
        <f t="shared" si="235"/>
        <v>0</v>
      </c>
      <c r="FS194">
        <v>0</v>
      </c>
      <c r="FX194">
        <v>80</v>
      </c>
      <c r="FY194">
        <v>60</v>
      </c>
      <c r="GA194" t="s">
        <v>6</v>
      </c>
      <c r="GD194">
        <v>0</v>
      </c>
      <c r="GF194">
        <v>287023441</v>
      </c>
      <c r="GG194">
        <v>1</v>
      </c>
      <c r="GH194">
        <v>1</v>
      </c>
      <c r="GI194">
        <v>4</v>
      </c>
      <c r="GJ194">
        <v>0</v>
      </c>
      <c r="GK194">
        <f>ROUND(R194*(R12)/100,2)</f>
        <v>0</v>
      </c>
      <c r="GL194">
        <f t="shared" si="236"/>
        <v>0</v>
      </c>
      <c r="GM194">
        <f t="shared" si="237"/>
        <v>5043</v>
      </c>
      <c r="GN194">
        <f t="shared" si="238"/>
        <v>0</v>
      </c>
      <c r="GO194">
        <f t="shared" si="239"/>
        <v>5043</v>
      </c>
      <c r="GP194">
        <f t="shared" si="240"/>
        <v>0</v>
      </c>
      <c r="GR194">
        <v>0</v>
      </c>
      <c r="GS194">
        <v>3</v>
      </c>
      <c r="GT194">
        <v>0</v>
      </c>
      <c r="GU194" t="s">
        <v>6</v>
      </c>
      <c r="GV194">
        <f t="shared" si="241"/>
        <v>0</v>
      </c>
      <c r="GW194">
        <v>1</v>
      </c>
      <c r="GX194">
        <f t="shared" si="242"/>
        <v>0</v>
      </c>
      <c r="HA194">
        <v>0</v>
      </c>
      <c r="HB194">
        <v>0</v>
      </c>
      <c r="HC194">
        <f t="shared" si="243"/>
        <v>0</v>
      </c>
      <c r="IK194">
        <v>0</v>
      </c>
    </row>
    <row r="195" spans="1:245" x14ac:dyDescent="0.2">
      <c r="A195">
        <v>18</v>
      </c>
      <c r="B195">
        <v>1</v>
      </c>
      <c r="C195">
        <v>292</v>
      </c>
      <c r="E195" t="s">
        <v>513</v>
      </c>
      <c r="F195" t="s">
        <v>514</v>
      </c>
      <c r="G195" t="s">
        <v>515</v>
      </c>
      <c r="H195" t="s">
        <v>516</v>
      </c>
      <c r="I195">
        <f>I194*J195</f>
        <v>6.2</v>
      </c>
      <c r="J195">
        <v>0.1</v>
      </c>
      <c r="O195">
        <f t="shared" si="210"/>
        <v>2595.96</v>
      </c>
      <c r="P195">
        <f t="shared" si="211"/>
        <v>2595.96</v>
      </c>
      <c r="Q195">
        <f t="shared" si="212"/>
        <v>0</v>
      </c>
      <c r="R195">
        <f t="shared" si="213"/>
        <v>0</v>
      </c>
      <c r="S195">
        <f t="shared" si="214"/>
        <v>0</v>
      </c>
      <c r="T195">
        <f t="shared" si="215"/>
        <v>0</v>
      </c>
      <c r="U195">
        <f t="shared" si="216"/>
        <v>0</v>
      </c>
      <c r="V195">
        <f t="shared" si="217"/>
        <v>0</v>
      </c>
      <c r="W195">
        <f t="shared" si="218"/>
        <v>0</v>
      </c>
      <c r="X195">
        <f t="shared" si="219"/>
        <v>0</v>
      </c>
      <c r="Y195">
        <f t="shared" si="220"/>
        <v>0</v>
      </c>
      <c r="AA195">
        <v>16812721</v>
      </c>
      <c r="AB195">
        <f t="shared" si="221"/>
        <v>62.4</v>
      </c>
      <c r="AC195">
        <f t="shared" si="244"/>
        <v>62.4</v>
      </c>
      <c r="AD195">
        <f t="shared" si="245"/>
        <v>0</v>
      </c>
      <c r="AE195">
        <f t="shared" si="246"/>
        <v>0</v>
      </c>
      <c r="AF195">
        <f t="shared" si="247"/>
        <v>0</v>
      </c>
      <c r="AG195">
        <f t="shared" si="222"/>
        <v>0</v>
      </c>
      <c r="AH195">
        <f t="shared" si="248"/>
        <v>0</v>
      </c>
      <c r="AI195">
        <f t="shared" si="249"/>
        <v>0</v>
      </c>
      <c r="AJ195">
        <f t="shared" si="223"/>
        <v>0</v>
      </c>
      <c r="AK195">
        <v>62.4</v>
      </c>
      <c r="AL195">
        <v>62.4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80</v>
      </c>
      <c r="AU195">
        <v>60</v>
      </c>
      <c r="AV195">
        <v>1</v>
      </c>
      <c r="AW195">
        <v>1</v>
      </c>
      <c r="AZ195">
        <v>6.71</v>
      </c>
      <c r="BA195">
        <v>1</v>
      </c>
      <c r="BB195">
        <v>1</v>
      </c>
      <c r="BC195">
        <v>6.71</v>
      </c>
      <c r="BD195" t="s">
        <v>6</v>
      </c>
      <c r="BE195" t="s">
        <v>6</v>
      </c>
      <c r="BF195" t="s">
        <v>6</v>
      </c>
      <c r="BG195" t="s">
        <v>6</v>
      </c>
      <c r="BH195">
        <v>3</v>
      </c>
      <c r="BI195">
        <v>2</v>
      </c>
      <c r="BJ195" t="s">
        <v>517</v>
      </c>
      <c r="BM195">
        <v>110011</v>
      </c>
      <c r="BN195">
        <v>0</v>
      </c>
      <c r="BO195" t="s">
        <v>6</v>
      </c>
      <c r="BP195">
        <v>0</v>
      </c>
      <c r="BQ195">
        <v>3</v>
      </c>
      <c r="BR195">
        <v>0</v>
      </c>
      <c r="BS195">
        <v>1</v>
      </c>
      <c r="BT195">
        <v>1</v>
      </c>
      <c r="BU195">
        <v>1</v>
      </c>
      <c r="BV195">
        <v>1</v>
      </c>
      <c r="BW195">
        <v>1</v>
      </c>
      <c r="BX195">
        <v>1</v>
      </c>
      <c r="BY195" t="s">
        <v>6</v>
      </c>
      <c r="BZ195">
        <v>80</v>
      </c>
      <c r="CA195">
        <v>60</v>
      </c>
      <c r="CE195">
        <v>0</v>
      </c>
      <c r="CF195">
        <v>0</v>
      </c>
      <c r="CG195">
        <v>0</v>
      </c>
      <c r="CM195">
        <v>0</v>
      </c>
      <c r="CN195" t="s">
        <v>6</v>
      </c>
      <c r="CO195">
        <v>0</v>
      </c>
      <c r="CP195">
        <f t="shared" si="224"/>
        <v>2595.96</v>
      </c>
      <c r="CQ195">
        <f t="shared" si="225"/>
        <v>418.70400000000001</v>
      </c>
      <c r="CR195">
        <f t="shared" si="226"/>
        <v>0</v>
      </c>
      <c r="CS195">
        <f t="shared" si="227"/>
        <v>0</v>
      </c>
      <c r="CT195">
        <f t="shared" si="228"/>
        <v>0</v>
      </c>
      <c r="CU195">
        <f t="shared" si="229"/>
        <v>0</v>
      </c>
      <c r="CV195">
        <f t="shared" si="230"/>
        <v>0</v>
      </c>
      <c r="CW195">
        <f t="shared" si="231"/>
        <v>0</v>
      </c>
      <c r="CX195">
        <f t="shared" si="232"/>
        <v>0</v>
      </c>
      <c r="CY195">
        <f t="shared" si="233"/>
        <v>0</v>
      </c>
      <c r="CZ195">
        <f t="shared" si="234"/>
        <v>0</v>
      </c>
      <c r="DC195" t="s">
        <v>6</v>
      </c>
      <c r="DD195" t="s">
        <v>6</v>
      </c>
      <c r="DE195" t="s">
        <v>6</v>
      </c>
      <c r="DF195" t="s">
        <v>6</v>
      </c>
      <c r="DG195" t="s">
        <v>6</v>
      </c>
      <c r="DH195" t="s">
        <v>6</v>
      </c>
      <c r="DI195" t="s">
        <v>6</v>
      </c>
      <c r="DJ195" t="s">
        <v>6</v>
      </c>
      <c r="DK195" t="s">
        <v>6</v>
      </c>
      <c r="DL195" t="s">
        <v>6</v>
      </c>
      <c r="DM195" t="s">
        <v>6</v>
      </c>
      <c r="DN195">
        <v>0</v>
      </c>
      <c r="DO195">
        <v>0</v>
      </c>
      <c r="DP195">
        <v>1</v>
      </c>
      <c r="DQ195">
        <v>1</v>
      </c>
      <c r="DU195">
        <v>1010</v>
      </c>
      <c r="DV195" t="s">
        <v>516</v>
      </c>
      <c r="DW195" t="s">
        <v>516</v>
      </c>
      <c r="DX195">
        <v>10</v>
      </c>
      <c r="EE195">
        <v>16510417</v>
      </c>
      <c r="EF195">
        <v>3</v>
      </c>
      <c r="EG195" t="s">
        <v>472</v>
      </c>
      <c r="EH195">
        <v>0</v>
      </c>
      <c r="EI195" t="s">
        <v>6</v>
      </c>
      <c r="EJ195">
        <v>2</v>
      </c>
      <c r="EK195">
        <v>110011</v>
      </c>
      <c r="EL195" t="s">
        <v>511</v>
      </c>
      <c r="EM195" t="s">
        <v>512</v>
      </c>
      <c r="EO195" t="s">
        <v>6</v>
      </c>
      <c r="EQ195">
        <v>0</v>
      </c>
      <c r="ER195">
        <v>62.4</v>
      </c>
      <c r="ES195">
        <v>62.4</v>
      </c>
      <c r="ET195">
        <v>0</v>
      </c>
      <c r="EU195">
        <v>0</v>
      </c>
      <c r="EV195">
        <v>0</v>
      </c>
      <c r="EW195">
        <v>0</v>
      </c>
      <c r="EX195">
        <v>0</v>
      </c>
      <c r="FQ195">
        <v>0</v>
      </c>
      <c r="FR195">
        <f t="shared" si="235"/>
        <v>0</v>
      </c>
      <c r="FS195">
        <v>0</v>
      </c>
      <c r="FX195">
        <v>80</v>
      </c>
      <c r="FY195">
        <v>60</v>
      </c>
      <c r="GA195" t="s">
        <v>6</v>
      </c>
      <c r="GD195">
        <v>0</v>
      </c>
      <c r="GF195">
        <v>1303598448</v>
      </c>
      <c r="GG195">
        <v>1</v>
      </c>
      <c r="GH195">
        <v>1</v>
      </c>
      <c r="GI195">
        <v>4</v>
      </c>
      <c r="GJ195">
        <v>0</v>
      </c>
      <c r="GK195">
        <f>ROUND(R195*(R12)/100,2)</f>
        <v>0</v>
      </c>
      <c r="GL195">
        <f t="shared" si="236"/>
        <v>0</v>
      </c>
      <c r="GM195">
        <f t="shared" si="237"/>
        <v>2595.96</v>
      </c>
      <c r="GN195">
        <f t="shared" si="238"/>
        <v>0</v>
      </c>
      <c r="GO195">
        <f t="shared" si="239"/>
        <v>2595.96</v>
      </c>
      <c r="GP195">
        <f t="shared" si="240"/>
        <v>0</v>
      </c>
      <c r="GR195">
        <v>0</v>
      </c>
      <c r="GS195">
        <v>3</v>
      </c>
      <c r="GT195">
        <v>0</v>
      </c>
      <c r="GU195" t="s">
        <v>6</v>
      </c>
      <c r="GV195">
        <f t="shared" si="241"/>
        <v>0</v>
      </c>
      <c r="GW195">
        <v>1</v>
      </c>
      <c r="GX195">
        <f t="shared" si="242"/>
        <v>0</v>
      </c>
      <c r="HA195">
        <v>0</v>
      </c>
      <c r="HB195">
        <v>0</v>
      </c>
      <c r="HC195">
        <f t="shared" si="243"/>
        <v>0</v>
      </c>
      <c r="IK195">
        <v>0</v>
      </c>
    </row>
    <row r="196" spans="1:245" x14ac:dyDescent="0.2">
      <c r="A196">
        <v>17</v>
      </c>
      <c r="B196">
        <v>1</v>
      </c>
      <c r="C196">
        <f>ROW(SmtRes!A300)</f>
        <v>300</v>
      </c>
      <c r="D196">
        <f>ROW(EtalonRes!A293)</f>
        <v>293</v>
      </c>
      <c r="E196" t="s">
        <v>518</v>
      </c>
      <c r="F196" t="s">
        <v>519</v>
      </c>
      <c r="G196" t="s">
        <v>520</v>
      </c>
      <c r="H196" t="s">
        <v>39</v>
      </c>
      <c r="I196">
        <f>ROUND(79/100,9)</f>
        <v>0.79</v>
      </c>
      <c r="J196">
        <v>0</v>
      </c>
      <c r="O196">
        <f t="shared" si="210"/>
        <v>1520.93</v>
      </c>
      <c r="P196">
        <f t="shared" si="211"/>
        <v>494.41</v>
      </c>
      <c r="Q196">
        <f t="shared" si="212"/>
        <v>1.64</v>
      </c>
      <c r="R196">
        <f t="shared" si="213"/>
        <v>0.74</v>
      </c>
      <c r="S196">
        <f t="shared" si="214"/>
        <v>1024.8800000000001</v>
      </c>
      <c r="T196">
        <f t="shared" si="215"/>
        <v>0</v>
      </c>
      <c r="U196">
        <f t="shared" si="216"/>
        <v>16.060700000000001</v>
      </c>
      <c r="V196">
        <f t="shared" si="217"/>
        <v>7.9000000000000008E-3</v>
      </c>
      <c r="W196">
        <f t="shared" si="218"/>
        <v>0</v>
      </c>
      <c r="X196">
        <f t="shared" si="219"/>
        <v>974.34</v>
      </c>
      <c r="Y196">
        <f t="shared" si="220"/>
        <v>666.65</v>
      </c>
      <c r="AA196">
        <v>16812721</v>
      </c>
      <c r="AB196">
        <f t="shared" si="221"/>
        <v>286.92</v>
      </c>
      <c r="AC196">
        <f t="shared" si="244"/>
        <v>93.27</v>
      </c>
      <c r="AD196">
        <f t="shared" si="245"/>
        <v>0.31</v>
      </c>
      <c r="AE196">
        <f t="shared" si="246"/>
        <v>0.14000000000000001</v>
      </c>
      <c r="AF196">
        <f t="shared" si="247"/>
        <v>193.34</v>
      </c>
      <c r="AG196">
        <f t="shared" si="222"/>
        <v>0</v>
      </c>
      <c r="AH196">
        <f t="shared" si="248"/>
        <v>20.329999999999998</v>
      </c>
      <c r="AI196">
        <f t="shared" si="249"/>
        <v>0.01</v>
      </c>
      <c r="AJ196">
        <f t="shared" si="223"/>
        <v>0</v>
      </c>
      <c r="AK196">
        <v>286.92</v>
      </c>
      <c r="AL196">
        <v>93.27</v>
      </c>
      <c r="AM196">
        <v>0.31</v>
      </c>
      <c r="AN196">
        <v>0.14000000000000001</v>
      </c>
      <c r="AO196">
        <v>193.34</v>
      </c>
      <c r="AP196">
        <v>0</v>
      </c>
      <c r="AQ196">
        <v>20.329999999999998</v>
      </c>
      <c r="AR196">
        <v>0.01</v>
      </c>
      <c r="AS196">
        <v>0</v>
      </c>
      <c r="AT196">
        <v>95</v>
      </c>
      <c r="AU196">
        <v>65</v>
      </c>
      <c r="AV196">
        <v>1</v>
      </c>
      <c r="AW196">
        <v>1</v>
      </c>
      <c r="AZ196">
        <v>6.71</v>
      </c>
      <c r="BA196">
        <v>6.71</v>
      </c>
      <c r="BB196">
        <v>6.71</v>
      </c>
      <c r="BC196">
        <v>6.71</v>
      </c>
      <c r="BD196" t="s">
        <v>6</v>
      </c>
      <c r="BE196" t="s">
        <v>6</v>
      </c>
      <c r="BF196" t="s">
        <v>6</v>
      </c>
      <c r="BG196" t="s">
        <v>6</v>
      </c>
      <c r="BH196">
        <v>0</v>
      </c>
      <c r="BI196">
        <v>2</v>
      </c>
      <c r="BJ196" t="s">
        <v>521</v>
      </c>
      <c r="BM196">
        <v>108001</v>
      </c>
      <c r="BN196">
        <v>0</v>
      </c>
      <c r="BO196" t="s">
        <v>6</v>
      </c>
      <c r="BP196">
        <v>0</v>
      </c>
      <c r="BQ196">
        <v>3</v>
      </c>
      <c r="BR196">
        <v>0</v>
      </c>
      <c r="BS196">
        <v>6.71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6</v>
      </c>
      <c r="BZ196">
        <v>95</v>
      </c>
      <c r="CA196">
        <v>65</v>
      </c>
      <c r="CE196">
        <v>0</v>
      </c>
      <c r="CF196">
        <v>0</v>
      </c>
      <c r="CG196">
        <v>0</v>
      </c>
      <c r="CM196">
        <v>0</v>
      </c>
      <c r="CN196" t="s">
        <v>6</v>
      </c>
      <c r="CO196">
        <v>0</v>
      </c>
      <c r="CP196">
        <f t="shared" si="224"/>
        <v>1520.93</v>
      </c>
      <c r="CQ196">
        <f t="shared" si="225"/>
        <v>625.84169999999995</v>
      </c>
      <c r="CR196">
        <f t="shared" si="226"/>
        <v>2.0800999999999998</v>
      </c>
      <c r="CS196">
        <f t="shared" si="227"/>
        <v>0.93940000000000012</v>
      </c>
      <c r="CT196">
        <f t="shared" si="228"/>
        <v>1297.3114</v>
      </c>
      <c r="CU196">
        <f t="shared" si="229"/>
        <v>0</v>
      </c>
      <c r="CV196">
        <f t="shared" si="230"/>
        <v>20.329999999999998</v>
      </c>
      <c r="CW196">
        <f t="shared" si="231"/>
        <v>0.01</v>
      </c>
      <c r="CX196">
        <f t="shared" si="232"/>
        <v>0</v>
      </c>
      <c r="CY196">
        <f t="shared" si="233"/>
        <v>974.33900000000006</v>
      </c>
      <c r="CZ196">
        <f t="shared" si="234"/>
        <v>666.65300000000002</v>
      </c>
      <c r="DC196" t="s">
        <v>6</v>
      </c>
      <c r="DD196" t="s">
        <v>6</v>
      </c>
      <c r="DE196" t="s">
        <v>6</v>
      </c>
      <c r="DF196" t="s">
        <v>6</v>
      </c>
      <c r="DG196" t="s">
        <v>6</v>
      </c>
      <c r="DH196" t="s">
        <v>6</v>
      </c>
      <c r="DI196" t="s">
        <v>6</v>
      </c>
      <c r="DJ196" t="s">
        <v>6</v>
      </c>
      <c r="DK196" t="s">
        <v>6</v>
      </c>
      <c r="DL196" t="s">
        <v>6</v>
      </c>
      <c r="DM196" t="s">
        <v>6</v>
      </c>
      <c r="DN196">
        <v>0</v>
      </c>
      <c r="DO196">
        <v>0</v>
      </c>
      <c r="DP196">
        <v>1</v>
      </c>
      <c r="DQ196">
        <v>1</v>
      </c>
      <c r="DU196">
        <v>1003</v>
      </c>
      <c r="DV196" t="s">
        <v>39</v>
      </c>
      <c r="DW196" t="s">
        <v>39</v>
      </c>
      <c r="DX196">
        <v>100</v>
      </c>
      <c r="EE196">
        <v>16510370</v>
      </c>
      <c r="EF196">
        <v>3</v>
      </c>
      <c r="EG196" t="s">
        <v>472</v>
      </c>
      <c r="EH196">
        <v>0</v>
      </c>
      <c r="EI196" t="s">
        <v>6</v>
      </c>
      <c r="EJ196">
        <v>2</v>
      </c>
      <c r="EK196">
        <v>108001</v>
      </c>
      <c r="EL196" t="s">
        <v>473</v>
      </c>
      <c r="EM196" t="s">
        <v>474</v>
      </c>
      <c r="EO196" t="s">
        <v>6</v>
      </c>
      <c r="EQ196">
        <v>131072</v>
      </c>
      <c r="ER196">
        <v>286.92</v>
      </c>
      <c r="ES196">
        <v>93.27</v>
      </c>
      <c r="ET196">
        <v>0.31</v>
      </c>
      <c r="EU196">
        <v>0.14000000000000001</v>
      </c>
      <c r="EV196">
        <v>193.34</v>
      </c>
      <c r="EW196">
        <v>20.329999999999998</v>
      </c>
      <c r="EX196">
        <v>0.01</v>
      </c>
      <c r="EY196">
        <v>0</v>
      </c>
      <c r="FQ196">
        <v>0</v>
      </c>
      <c r="FR196">
        <f t="shared" si="235"/>
        <v>0</v>
      </c>
      <c r="FS196">
        <v>0</v>
      </c>
      <c r="FX196">
        <v>95</v>
      </c>
      <c r="FY196">
        <v>65</v>
      </c>
      <c r="GA196" t="s">
        <v>6</v>
      </c>
      <c r="GD196">
        <v>0</v>
      </c>
      <c r="GF196">
        <v>816409345</v>
      </c>
      <c r="GG196">
        <v>1</v>
      </c>
      <c r="GH196">
        <v>1</v>
      </c>
      <c r="GI196">
        <v>4</v>
      </c>
      <c r="GJ196">
        <v>0</v>
      </c>
      <c r="GK196">
        <f>ROUND(R196*(R12)/100,2)</f>
        <v>0</v>
      </c>
      <c r="GL196">
        <f t="shared" si="236"/>
        <v>0</v>
      </c>
      <c r="GM196">
        <f t="shared" si="237"/>
        <v>3161.92</v>
      </c>
      <c r="GN196">
        <f t="shared" si="238"/>
        <v>0</v>
      </c>
      <c r="GO196">
        <f t="shared" si="239"/>
        <v>3161.92</v>
      </c>
      <c r="GP196">
        <f t="shared" si="240"/>
        <v>0</v>
      </c>
      <c r="GR196">
        <v>0</v>
      </c>
      <c r="GS196">
        <v>3</v>
      </c>
      <c r="GT196">
        <v>0</v>
      </c>
      <c r="GU196" t="s">
        <v>6</v>
      </c>
      <c r="GV196">
        <f t="shared" si="241"/>
        <v>0</v>
      </c>
      <c r="GW196">
        <v>1</v>
      </c>
      <c r="GX196">
        <f t="shared" si="242"/>
        <v>0</v>
      </c>
      <c r="HA196">
        <v>0</v>
      </c>
      <c r="HB196">
        <v>0</v>
      </c>
      <c r="HC196">
        <f t="shared" si="243"/>
        <v>0</v>
      </c>
      <c r="IK196">
        <v>0</v>
      </c>
    </row>
    <row r="197" spans="1:245" x14ac:dyDescent="0.2">
      <c r="A197">
        <v>18</v>
      </c>
      <c r="B197">
        <v>1</v>
      </c>
      <c r="C197">
        <v>299</v>
      </c>
      <c r="E197" t="s">
        <v>522</v>
      </c>
      <c r="F197" t="s">
        <v>523</v>
      </c>
      <c r="G197" t="s">
        <v>524</v>
      </c>
      <c r="H197" t="s">
        <v>39</v>
      </c>
      <c r="I197">
        <f>I196*J197</f>
        <v>0.79</v>
      </c>
      <c r="J197">
        <v>1</v>
      </c>
      <c r="O197">
        <f t="shared" si="210"/>
        <v>7209.22</v>
      </c>
      <c r="P197">
        <f t="shared" si="211"/>
        <v>7209.22</v>
      </c>
      <c r="Q197">
        <f t="shared" si="212"/>
        <v>0</v>
      </c>
      <c r="R197">
        <f t="shared" si="213"/>
        <v>0</v>
      </c>
      <c r="S197">
        <f t="shared" si="214"/>
        <v>0</v>
      </c>
      <c r="T197">
        <f t="shared" si="215"/>
        <v>0</v>
      </c>
      <c r="U197">
        <f t="shared" si="216"/>
        <v>0</v>
      </c>
      <c r="V197">
        <f t="shared" si="217"/>
        <v>0</v>
      </c>
      <c r="W197">
        <f t="shared" si="218"/>
        <v>0</v>
      </c>
      <c r="X197">
        <f t="shared" si="219"/>
        <v>0</v>
      </c>
      <c r="Y197">
        <f t="shared" si="220"/>
        <v>0</v>
      </c>
      <c r="AA197">
        <v>16812721</v>
      </c>
      <c r="AB197">
        <f t="shared" si="221"/>
        <v>1360</v>
      </c>
      <c r="AC197">
        <f t="shared" si="244"/>
        <v>1360</v>
      </c>
      <c r="AD197">
        <f t="shared" si="245"/>
        <v>0</v>
      </c>
      <c r="AE197">
        <f t="shared" si="246"/>
        <v>0</v>
      </c>
      <c r="AF197">
        <f t="shared" si="247"/>
        <v>0</v>
      </c>
      <c r="AG197">
        <f t="shared" si="222"/>
        <v>0</v>
      </c>
      <c r="AH197">
        <f t="shared" si="248"/>
        <v>0</v>
      </c>
      <c r="AI197">
        <f t="shared" si="249"/>
        <v>0</v>
      </c>
      <c r="AJ197">
        <f t="shared" si="223"/>
        <v>0</v>
      </c>
      <c r="AK197">
        <v>1360</v>
      </c>
      <c r="AL197">
        <v>1360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95</v>
      </c>
      <c r="AU197">
        <v>65</v>
      </c>
      <c r="AV197">
        <v>1</v>
      </c>
      <c r="AW197">
        <v>1</v>
      </c>
      <c r="AZ197">
        <v>6.71</v>
      </c>
      <c r="BA197">
        <v>1</v>
      </c>
      <c r="BB197">
        <v>1</v>
      </c>
      <c r="BC197">
        <v>6.71</v>
      </c>
      <c r="BD197" t="s">
        <v>6</v>
      </c>
      <c r="BE197" t="s">
        <v>6</v>
      </c>
      <c r="BF197" t="s">
        <v>6</v>
      </c>
      <c r="BG197" t="s">
        <v>6</v>
      </c>
      <c r="BH197">
        <v>3</v>
      </c>
      <c r="BI197">
        <v>2</v>
      </c>
      <c r="BJ197" t="s">
        <v>525</v>
      </c>
      <c r="BM197">
        <v>108001</v>
      </c>
      <c r="BN197">
        <v>0</v>
      </c>
      <c r="BO197" t="s">
        <v>6</v>
      </c>
      <c r="BP197">
        <v>0</v>
      </c>
      <c r="BQ197">
        <v>3</v>
      </c>
      <c r="BR197">
        <v>0</v>
      </c>
      <c r="BS197">
        <v>1</v>
      </c>
      <c r="BT197">
        <v>1</v>
      </c>
      <c r="BU197">
        <v>1</v>
      </c>
      <c r="BV197">
        <v>1</v>
      </c>
      <c r="BW197">
        <v>1</v>
      </c>
      <c r="BX197">
        <v>1</v>
      </c>
      <c r="BY197" t="s">
        <v>6</v>
      </c>
      <c r="BZ197">
        <v>95</v>
      </c>
      <c r="CA197">
        <v>65</v>
      </c>
      <c r="CE197">
        <v>0</v>
      </c>
      <c r="CF197">
        <v>0</v>
      </c>
      <c r="CG197">
        <v>0</v>
      </c>
      <c r="CM197">
        <v>0</v>
      </c>
      <c r="CN197" t="s">
        <v>6</v>
      </c>
      <c r="CO197">
        <v>0</v>
      </c>
      <c r="CP197">
        <f t="shared" si="224"/>
        <v>7209.22</v>
      </c>
      <c r="CQ197">
        <f t="shared" si="225"/>
        <v>9125.6</v>
      </c>
      <c r="CR197">
        <f t="shared" si="226"/>
        <v>0</v>
      </c>
      <c r="CS197">
        <f t="shared" si="227"/>
        <v>0</v>
      </c>
      <c r="CT197">
        <f t="shared" si="228"/>
        <v>0</v>
      </c>
      <c r="CU197">
        <f t="shared" si="229"/>
        <v>0</v>
      </c>
      <c r="CV197">
        <f t="shared" si="230"/>
        <v>0</v>
      </c>
      <c r="CW197">
        <f t="shared" si="231"/>
        <v>0</v>
      </c>
      <c r="CX197">
        <f t="shared" si="232"/>
        <v>0</v>
      </c>
      <c r="CY197">
        <f t="shared" si="233"/>
        <v>0</v>
      </c>
      <c r="CZ197">
        <f t="shared" si="234"/>
        <v>0</v>
      </c>
      <c r="DC197" t="s">
        <v>6</v>
      </c>
      <c r="DD197" t="s">
        <v>6</v>
      </c>
      <c r="DE197" t="s">
        <v>6</v>
      </c>
      <c r="DF197" t="s">
        <v>6</v>
      </c>
      <c r="DG197" t="s">
        <v>6</v>
      </c>
      <c r="DH197" t="s">
        <v>6</v>
      </c>
      <c r="DI197" t="s">
        <v>6</v>
      </c>
      <c r="DJ197" t="s">
        <v>6</v>
      </c>
      <c r="DK197" t="s">
        <v>6</v>
      </c>
      <c r="DL197" t="s">
        <v>6</v>
      </c>
      <c r="DM197" t="s">
        <v>6</v>
      </c>
      <c r="DN197">
        <v>0</v>
      </c>
      <c r="DO197">
        <v>0</v>
      </c>
      <c r="DP197">
        <v>1</v>
      </c>
      <c r="DQ197">
        <v>1</v>
      </c>
      <c r="DU197">
        <v>1003</v>
      </c>
      <c r="DV197" t="s">
        <v>39</v>
      </c>
      <c r="DW197" t="s">
        <v>39</v>
      </c>
      <c r="DX197">
        <v>100</v>
      </c>
      <c r="EE197">
        <v>16510370</v>
      </c>
      <c r="EF197">
        <v>3</v>
      </c>
      <c r="EG197" t="s">
        <v>472</v>
      </c>
      <c r="EH197">
        <v>0</v>
      </c>
      <c r="EI197" t="s">
        <v>6</v>
      </c>
      <c r="EJ197">
        <v>2</v>
      </c>
      <c r="EK197">
        <v>108001</v>
      </c>
      <c r="EL197" t="s">
        <v>473</v>
      </c>
      <c r="EM197" t="s">
        <v>474</v>
      </c>
      <c r="EO197" t="s">
        <v>6</v>
      </c>
      <c r="EQ197">
        <v>0</v>
      </c>
      <c r="ER197">
        <v>1360</v>
      </c>
      <c r="ES197">
        <v>1360</v>
      </c>
      <c r="ET197">
        <v>0</v>
      </c>
      <c r="EU197">
        <v>0</v>
      </c>
      <c r="EV197">
        <v>0</v>
      </c>
      <c r="EW197">
        <v>0</v>
      </c>
      <c r="EX197">
        <v>0</v>
      </c>
      <c r="FQ197">
        <v>0</v>
      </c>
      <c r="FR197">
        <f t="shared" si="235"/>
        <v>0</v>
      </c>
      <c r="FS197">
        <v>0</v>
      </c>
      <c r="FX197">
        <v>95</v>
      </c>
      <c r="FY197">
        <v>65</v>
      </c>
      <c r="GA197" t="s">
        <v>6</v>
      </c>
      <c r="GD197">
        <v>0</v>
      </c>
      <c r="GF197">
        <v>866845708</v>
      </c>
      <c r="GG197">
        <v>1</v>
      </c>
      <c r="GH197">
        <v>1</v>
      </c>
      <c r="GI197">
        <v>4</v>
      </c>
      <c r="GJ197">
        <v>0</v>
      </c>
      <c r="GK197">
        <f>ROUND(R197*(R12)/100,2)</f>
        <v>0</v>
      </c>
      <c r="GL197">
        <f t="shared" si="236"/>
        <v>0</v>
      </c>
      <c r="GM197">
        <f t="shared" si="237"/>
        <v>7209.22</v>
      </c>
      <c r="GN197">
        <f t="shared" si="238"/>
        <v>0</v>
      </c>
      <c r="GO197">
        <f t="shared" si="239"/>
        <v>7209.22</v>
      </c>
      <c r="GP197">
        <f t="shared" si="240"/>
        <v>0</v>
      </c>
      <c r="GR197">
        <v>0</v>
      </c>
      <c r="GS197">
        <v>3</v>
      </c>
      <c r="GT197">
        <v>0</v>
      </c>
      <c r="GU197" t="s">
        <v>6</v>
      </c>
      <c r="GV197">
        <f t="shared" si="241"/>
        <v>0</v>
      </c>
      <c r="GW197">
        <v>1</v>
      </c>
      <c r="GX197">
        <f t="shared" si="242"/>
        <v>0</v>
      </c>
      <c r="HA197">
        <v>0</v>
      </c>
      <c r="HB197">
        <v>0</v>
      </c>
      <c r="HC197">
        <f t="shared" si="243"/>
        <v>0</v>
      </c>
      <c r="IK197">
        <v>0</v>
      </c>
    </row>
    <row r="198" spans="1:245" x14ac:dyDescent="0.2">
      <c r="A198">
        <v>17</v>
      </c>
      <c r="B198">
        <v>1</v>
      </c>
      <c r="C198">
        <f>ROW(SmtRes!A304)</f>
        <v>304</v>
      </c>
      <c r="D198">
        <f>ROW(EtalonRes!A296)</f>
        <v>296</v>
      </c>
      <c r="E198" t="s">
        <v>526</v>
      </c>
      <c r="F198" t="s">
        <v>527</v>
      </c>
      <c r="G198" t="s">
        <v>528</v>
      </c>
      <c r="H198" t="s">
        <v>39</v>
      </c>
      <c r="I198">
        <f>ROUND(315/100,9)</f>
        <v>3.15</v>
      </c>
      <c r="J198">
        <v>0</v>
      </c>
      <c r="O198">
        <f t="shared" si="210"/>
        <v>3304.27</v>
      </c>
      <c r="P198">
        <f t="shared" si="211"/>
        <v>354.88</v>
      </c>
      <c r="Q198">
        <f t="shared" si="212"/>
        <v>0</v>
      </c>
      <c r="R198">
        <f t="shared" si="213"/>
        <v>0</v>
      </c>
      <c r="S198">
        <f t="shared" si="214"/>
        <v>2949.39</v>
      </c>
      <c r="T198">
        <f t="shared" si="215"/>
        <v>0</v>
      </c>
      <c r="U198">
        <f t="shared" si="216"/>
        <v>47.879999999999995</v>
      </c>
      <c r="V198">
        <f t="shared" si="217"/>
        <v>0</v>
      </c>
      <c r="W198">
        <f t="shared" si="218"/>
        <v>0</v>
      </c>
      <c r="X198">
        <f t="shared" si="219"/>
        <v>2801.92</v>
      </c>
      <c r="Y198">
        <f t="shared" si="220"/>
        <v>1917.1</v>
      </c>
      <c r="AA198">
        <v>16812721</v>
      </c>
      <c r="AB198">
        <f t="shared" si="221"/>
        <v>156.33000000000001</v>
      </c>
      <c r="AC198">
        <f t="shared" si="244"/>
        <v>16.79</v>
      </c>
      <c r="AD198">
        <f t="shared" si="245"/>
        <v>0</v>
      </c>
      <c r="AE198">
        <f t="shared" si="246"/>
        <v>0</v>
      </c>
      <c r="AF198">
        <f t="shared" si="247"/>
        <v>139.54</v>
      </c>
      <c r="AG198">
        <f t="shared" si="222"/>
        <v>0</v>
      </c>
      <c r="AH198">
        <f t="shared" si="248"/>
        <v>15.2</v>
      </c>
      <c r="AI198">
        <f t="shared" si="249"/>
        <v>0</v>
      </c>
      <c r="AJ198">
        <f t="shared" si="223"/>
        <v>0</v>
      </c>
      <c r="AK198">
        <v>156.33000000000001</v>
      </c>
      <c r="AL198">
        <v>16.79</v>
      </c>
      <c r="AM198">
        <v>0</v>
      </c>
      <c r="AN198">
        <v>0</v>
      </c>
      <c r="AO198">
        <v>139.54</v>
      </c>
      <c r="AP198">
        <v>0</v>
      </c>
      <c r="AQ198">
        <v>15.2</v>
      </c>
      <c r="AR198">
        <v>0</v>
      </c>
      <c r="AS198">
        <v>0</v>
      </c>
      <c r="AT198">
        <v>95</v>
      </c>
      <c r="AU198">
        <v>65</v>
      </c>
      <c r="AV198">
        <v>1</v>
      </c>
      <c r="AW198">
        <v>1</v>
      </c>
      <c r="AZ198">
        <v>6.71</v>
      </c>
      <c r="BA198">
        <v>6.71</v>
      </c>
      <c r="BB198">
        <v>6.71</v>
      </c>
      <c r="BC198">
        <v>6.71</v>
      </c>
      <c r="BD198" t="s">
        <v>6</v>
      </c>
      <c r="BE198" t="s">
        <v>6</v>
      </c>
      <c r="BF198" t="s">
        <v>6</v>
      </c>
      <c r="BG198" t="s">
        <v>6</v>
      </c>
      <c r="BH198">
        <v>0</v>
      </c>
      <c r="BI198">
        <v>2</v>
      </c>
      <c r="BJ198" t="s">
        <v>529</v>
      </c>
      <c r="BM198">
        <v>108001</v>
      </c>
      <c r="BN198">
        <v>0</v>
      </c>
      <c r="BO198" t="s">
        <v>6</v>
      </c>
      <c r="BP198">
        <v>0</v>
      </c>
      <c r="BQ198">
        <v>3</v>
      </c>
      <c r="BR198">
        <v>0</v>
      </c>
      <c r="BS198">
        <v>6.71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6</v>
      </c>
      <c r="BZ198">
        <v>95</v>
      </c>
      <c r="CA198">
        <v>65</v>
      </c>
      <c r="CE198">
        <v>0</v>
      </c>
      <c r="CF198">
        <v>0</v>
      </c>
      <c r="CG198">
        <v>0</v>
      </c>
      <c r="CM198">
        <v>0</v>
      </c>
      <c r="CN198" t="s">
        <v>6</v>
      </c>
      <c r="CO198">
        <v>0</v>
      </c>
      <c r="CP198">
        <f t="shared" si="224"/>
        <v>3304.27</v>
      </c>
      <c r="CQ198">
        <f t="shared" si="225"/>
        <v>112.6609</v>
      </c>
      <c r="CR198">
        <f t="shared" si="226"/>
        <v>0</v>
      </c>
      <c r="CS198">
        <f t="shared" si="227"/>
        <v>0</v>
      </c>
      <c r="CT198">
        <f t="shared" si="228"/>
        <v>936.31339999999989</v>
      </c>
      <c r="CU198">
        <f t="shared" si="229"/>
        <v>0</v>
      </c>
      <c r="CV198">
        <f t="shared" si="230"/>
        <v>15.2</v>
      </c>
      <c r="CW198">
        <f t="shared" si="231"/>
        <v>0</v>
      </c>
      <c r="CX198">
        <f t="shared" si="232"/>
        <v>0</v>
      </c>
      <c r="CY198">
        <f t="shared" si="233"/>
        <v>2801.9204999999997</v>
      </c>
      <c r="CZ198">
        <f t="shared" si="234"/>
        <v>1917.1035000000002</v>
      </c>
      <c r="DC198" t="s">
        <v>6</v>
      </c>
      <c r="DD198" t="s">
        <v>6</v>
      </c>
      <c r="DE198" t="s">
        <v>6</v>
      </c>
      <c r="DF198" t="s">
        <v>6</v>
      </c>
      <c r="DG198" t="s">
        <v>6</v>
      </c>
      <c r="DH198" t="s">
        <v>6</v>
      </c>
      <c r="DI198" t="s">
        <v>6</v>
      </c>
      <c r="DJ198" t="s">
        <v>6</v>
      </c>
      <c r="DK198" t="s">
        <v>6</v>
      </c>
      <c r="DL198" t="s">
        <v>6</v>
      </c>
      <c r="DM198" t="s">
        <v>6</v>
      </c>
      <c r="DN198">
        <v>0</v>
      </c>
      <c r="DO198">
        <v>0</v>
      </c>
      <c r="DP198">
        <v>1</v>
      </c>
      <c r="DQ198">
        <v>1</v>
      </c>
      <c r="DU198">
        <v>1003</v>
      </c>
      <c r="DV198" t="s">
        <v>39</v>
      </c>
      <c r="DW198" t="s">
        <v>39</v>
      </c>
      <c r="DX198">
        <v>100</v>
      </c>
      <c r="EE198">
        <v>16510370</v>
      </c>
      <c r="EF198">
        <v>3</v>
      </c>
      <c r="EG198" t="s">
        <v>472</v>
      </c>
      <c r="EH198">
        <v>0</v>
      </c>
      <c r="EI198" t="s">
        <v>6</v>
      </c>
      <c r="EJ198">
        <v>2</v>
      </c>
      <c r="EK198">
        <v>108001</v>
      </c>
      <c r="EL198" t="s">
        <v>473</v>
      </c>
      <c r="EM198" t="s">
        <v>474</v>
      </c>
      <c r="EO198" t="s">
        <v>6</v>
      </c>
      <c r="EQ198">
        <v>131072</v>
      </c>
      <c r="ER198">
        <v>156.33000000000001</v>
      </c>
      <c r="ES198">
        <v>16.79</v>
      </c>
      <c r="ET198">
        <v>0</v>
      </c>
      <c r="EU198">
        <v>0</v>
      </c>
      <c r="EV198">
        <v>139.54</v>
      </c>
      <c r="EW198">
        <v>15.2</v>
      </c>
      <c r="EX198">
        <v>0</v>
      </c>
      <c r="EY198">
        <v>0</v>
      </c>
      <c r="FQ198">
        <v>0</v>
      </c>
      <c r="FR198">
        <f t="shared" si="235"/>
        <v>0</v>
      </c>
      <c r="FS198">
        <v>0</v>
      </c>
      <c r="FX198">
        <v>95</v>
      </c>
      <c r="FY198">
        <v>65</v>
      </c>
      <c r="GA198" t="s">
        <v>6</v>
      </c>
      <c r="GD198">
        <v>0</v>
      </c>
      <c r="GF198">
        <v>-596386547</v>
      </c>
      <c r="GG198">
        <v>1</v>
      </c>
      <c r="GH198">
        <v>1</v>
      </c>
      <c r="GI198">
        <v>4</v>
      </c>
      <c r="GJ198">
        <v>0</v>
      </c>
      <c r="GK198">
        <f>ROUND(R198*(R12)/100,2)</f>
        <v>0</v>
      </c>
      <c r="GL198">
        <f t="shared" si="236"/>
        <v>0</v>
      </c>
      <c r="GM198">
        <f t="shared" si="237"/>
        <v>8023.29</v>
      </c>
      <c r="GN198">
        <f t="shared" si="238"/>
        <v>0</v>
      </c>
      <c r="GO198">
        <f t="shared" si="239"/>
        <v>8023.29</v>
      </c>
      <c r="GP198">
        <f t="shared" si="240"/>
        <v>0</v>
      </c>
      <c r="GR198">
        <v>0</v>
      </c>
      <c r="GS198">
        <v>3</v>
      </c>
      <c r="GT198">
        <v>0</v>
      </c>
      <c r="GU198" t="s">
        <v>6</v>
      </c>
      <c r="GV198">
        <f t="shared" si="241"/>
        <v>0</v>
      </c>
      <c r="GW198">
        <v>1</v>
      </c>
      <c r="GX198">
        <f t="shared" si="242"/>
        <v>0</v>
      </c>
      <c r="HA198">
        <v>0</v>
      </c>
      <c r="HB198">
        <v>0</v>
      </c>
      <c r="HC198">
        <f t="shared" si="243"/>
        <v>0</v>
      </c>
      <c r="IK198">
        <v>0</v>
      </c>
    </row>
    <row r="199" spans="1:245" x14ac:dyDescent="0.2">
      <c r="A199">
        <v>18</v>
      </c>
      <c r="B199">
        <v>1</v>
      </c>
      <c r="C199">
        <v>303</v>
      </c>
      <c r="E199" t="s">
        <v>530</v>
      </c>
      <c r="F199" t="s">
        <v>531</v>
      </c>
      <c r="G199" t="s">
        <v>532</v>
      </c>
      <c r="H199" t="s">
        <v>505</v>
      </c>
      <c r="I199">
        <f>I198*J199</f>
        <v>31.5</v>
      </c>
      <c r="J199">
        <v>10</v>
      </c>
      <c r="O199">
        <f t="shared" si="210"/>
        <v>6679.13</v>
      </c>
      <c r="P199">
        <f t="shared" si="211"/>
        <v>6679.13</v>
      </c>
      <c r="Q199">
        <f t="shared" si="212"/>
        <v>0</v>
      </c>
      <c r="R199">
        <f t="shared" si="213"/>
        <v>0</v>
      </c>
      <c r="S199">
        <f t="shared" si="214"/>
        <v>0</v>
      </c>
      <c r="T199">
        <f t="shared" si="215"/>
        <v>0</v>
      </c>
      <c r="U199">
        <f t="shared" si="216"/>
        <v>0</v>
      </c>
      <c r="V199">
        <f t="shared" si="217"/>
        <v>0</v>
      </c>
      <c r="W199">
        <f t="shared" si="218"/>
        <v>0</v>
      </c>
      <c r="X199">
        <f t="shared" si="219"/>
        <v>0</v>
      </c>
      <c r="Y199">
        <f t="shared" si="220"/>
        <v>0</v>
      </c>
      <c r="AA199">
        <v>16812721</v>
      </c>
      <c r="AB199">
        <f t="shared" si="221"/>
        <v>31.6</v>
      </c>
      <c r="AC199">
        <f t="shared" si="244"/>
        <v>31.6</v>
      </c>
      <c r="AD199">
        <f t="shared" si="245"/>
        <v>0</v>
      </c>
      <c r="AE199">
        <f t="shared" si="246"/>
        <v>0</v>
      </c>
      <c r="AF199">
        <f t="shared" si="247"/>
        <v>0</v>
      </c>
      <c r="AG199">
        <f t="shared" si="222"/>
        <v>0</v>
      </c>
      <c r="AH199">
        <f t="shared" si="248"/>
        <v>0</v>
      </c>
      <c r="AI199">
        <f t="shared" si="249"/>
        <v>0</v>
      </c>
      <c r="AJ199">
        <f t="shared" si="223"/>
        <v>0</v>
      </c>
      <c r="AK199">
        <v>31.6</v>
      </c>
      <c r="AL199">
        <v>31.6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95</v>
      </c>
      <c r="AU199">
        <v>65</v>
      </c>
      <c r="AV199">
        <v>1</v>
      </c>
      <c r="AW199">
        <v>1</v>
      </c>
      <c r="AZ199">
        <v>6.71</v>
      </c>
      <c r="BA199">
        <v>1</v>
      </c>
      <c r="BB199">
        <v>1</v>
      </c>
      <c r="BC199">
        <v>6.71</v>
      </c>
      <c r="BD199" t="s">
        <v>6</v>
      </c>
      <c r="BE199" t="s">
        <v>6</v>
      </c>
      <c r="BF199" t="s">
        <v>6</v>
      </c>
      <c r="BG199" t="s">
        <v>6</v>
      </c>
      <c r="BH199">
        <v>3</v>
      </c>
      <c r="BI199">
        <v>2</v>
      </c>
      <c r="BJ199" t="s">
        <v>533</v>
      </c>
      <c r="BM199">
        <v>108001</v>
      </c>
      <c r="BN199">
        <v>0</v>
      </c>
      <c r="BO199" t="s">
        <v>6</v>
      </c>
      <c r="BP199">
        <v>0</v>
      </c>
      <c r="BQ199">
        <v>3</v>
      </c>
      <c r="BR199">
        <v>0</v>
      </c>
      <c r="BS199">
        <v>1</v>
      </c>
      <c r="BT199">
        <v>1</v>
      </c>
      <c r="BU199">
        <v>1</v>
      </c>
      <c r="BV199">
        <v>1</v>
      </c>
      <c r="BW199">
        <v>1</v>
      </c>
      <c r="BX199">
        <v>1</v>
      </c>
      <c r="BY199" t="s">
        <v>6</v>
      </c>
      <c r="BZ199">
        <v>95</v>
      </c>
      <c r="CA199">
        <v>65</v>
      </c>
      <c r="CE199">
        <v>0</v>
      </c>
      <c r="CF199">
        <v>0</v>
      </c>
      <c r="CG199">
        <v>0</v>
      </c>
      <c r="CM199">
        <v>0</v>
      </c>
      <c r="CN199" t="s">
        <v>6</v>
      </c>
      <c r="CO199">
        <v>0</v>
      </c>
      <c r="CP199">
        <f t="shared" si="224"/>
        <v>6679.13</v>
      </c>
      <c r="CQ199">
        <f t="shared" si="225"/>
        <v>212.036</v>
      </c>
      <c r="CR199">
        <f t="shared" si="226"/>
        <v>0</v>
      </c>
      <c r="CS199">
        <f t="shared" si="227"/>
        <v>0</v>
      </c>
      <c r="CT199">
        <f t="shared" si="228"/>
        <v>0</v>
      </c>
      <c r="CU199">
        <f t="shared" si="229"/>
        <v>0</v>
      </c>
      <c r="CV199">
        <f t="shared" si="230"/>
        <v>0</v>
      </c>
      <c r="CW199">
        <f t="shared" si="231"/>
        <v>0</v>
      </c>
      <c r="CX199">
        <f t="shared" si="232"/>
        <v>0</v>
      </c>
      <c r="CY199">
        <f t="shared" si="233"/>
        <v>0</v>
      </c>
      <c r="CZ199">
        <f t="shared" si="234"/>
        <v>0</v>
      </c>
      <c r="DC199" t="s">
        <v>6</v>
      </c>
      <c r="DD199" t="s">
        <v>6</v>
      </c>
      <c r="DE199" t="s">
        <v>6</v>
      </c>
      <c r="DF199" t="s">
        <v>6</v>
      </c>
      <c r="DG199" t="s">
        <v>6</v>
      </c>
      <c r="DH199" t="s">
        <v>6</v>
      </c>
      <c r="DI199" t="s">
        <v>6</v>
      </c>
      <c r="DJ199" t="s">
        <v>6</v>
      </c>
      <c r="DK199" t="s">
        <v>6</v>
      </c>
      <c r="DL199" t="s">
        <v>6</v>
      </c>
      <c r="DM199" t="s">
        <v>6</v>
      </c>
      <c r="DN199">
        <v>0</v>
      </c>
      <c r="DO199">
        <v>0</v>
      </c>
      <c r="DP199">
        <v>1</v>
      </c>
      <c r="DQ199">
        <v>1</v>
      </c>
      <c r="DU199">
        <v>1003</v>
      </c>
      <c r="DV199" t="s">
        <v>505</v>
      </c>
      <c r="DW199" t="s">
        <v>505</v>
      </c>
      <c r="DX199">
        <v>10</v>
      </c>
      <c r="EE199">
        <v>16510370</v>
      </c>
      <c r="EF199">
        <v>3</v>
      </c>
      <c r="EG199" t="s">
        <v>472</v>
      </c>
      <c r="EH199">
        <v>0</v>
      </c>
      <c r="EI199" t="s">
        <v>6</v>
      </c>
      <c r="EJ199">
        <v>2</v>
      </c>
      <c r="EK199">
        <v>108001</v>
      </c>
      <c r="EL199" t="s">
        <v>473</v>
      </c>
      <c r="EM199" t="s">
        <v>474</v>
      </c>
      <c r="EO199" t="s">
        <v>6</v>
      </c>
      <c r="EQ199">
        <v>0</v>
      </c>
      <c r="ER199">
        <v>31.6</v>
      </c>
      <c r="ES199">
        <v>31.6</v>
      </c>
      <c r="ET199">
        <v>0</v>
      </c>
      <c r="EU199">
        <v>0</v>
      </c>
      <c r="EV199">
        <v>0</v>
      </c>
      <c r="EW199">
        <v>0</v>
      </c>
      <c r="EX199">
        <v>0</v>
      </c>
      <c r="FQ199">
        <v>0</v>
      </c>
      <c r="FR199">
        <f t="shared" si="235"/>
        <v>0</v>
      </c>
      <c r="FS199">
        <v>0</v>
      </c>
      <c r="FX199">
        <v>95</v>
      </c>
      <c r="FY199">
        <v>65</v>
      </c>
      <c r="GA199" t="s">
        <v>6</v>
      </c>
      <c r="GD199">
        <v>0</v>
      </c>
      <c r="GF199">
        <v>1745554190</v>
      </c>
      <c r="GG199">
        <v>1</v>
      </c>
      <c r="GH199">
        <v>1</v>
      </c>
      <c r="GI199">
        <v>4</v>
      </c>
      <c r="GJ199">
        <v>0</v>
      </c>
      <c r="GK199">
        <f>ROUND(R199*(R12)/100,2)</f>
        <v>0</v>
      </c>
      <c r="GL199">
        <f t="shared" si="236"/>
        <v>0</v>
      </c>
      <c r="GM199">
        <f t="shared" si="237"/>
        <v>6679.13</v>
      </c>
      <c r="GN199">
        <f t="shared" si="238"/>
        <v>0</v>
      </c>
      <c r="GO199">
        <f t="shared" si="239"/>
        <v>6679.13</v>
      </c>
      <c r="GP199">
        <f t="shared" si="240"/>
        <v>0</v>
      </c>
      <c r="GR199">
        <v>0</v>
      </c>
      <c r="GS199">
        <v>3</v>
      </c>
      <c r="GT199">
        <v>0</v>
      </c>
      <c r="GU199" t="s">
        <v>6</v>
      </c>
      <c r="GV199">
        <f t="shared" si="241"/>
        <v>0</v>
      </c>
      <c r="GW199">
        <v>1</v>
      </c>
      <c r="GX199">
        <f t="shared" si="242"/>
        <v>0</v>
      </c>
      <c r="HA199">
        <v>0</v>
      </c>
      <c r="HB199">
        <v>0</v>
      </c>
      <c r="HC199">
        <f t="shared" si="243"/>
        <v>0</v>
      </c>
      <c r="IK199">
        <v>0</v>
      </c>
    </row>
    <row r="200" spans="1:245" x14ac:dyDescent="0.2">
      <c r="A200">
        <v>17</v>
      </c>
      <c r="B200">
        <v>1</v>
      </c>
      <c r="C200">
        <f>ROW(SmtRes!A313)</f>
        <v>313</v>
      </c>
      <c r="D200">
        <f>ROW(EtalonRes!A304)</f>
        <v>304</v>
      </c>
      <c r="E200" t="s">
        <v>534</v>
      </c>
      <c r="F200" t="s">
        <v>535</v>
      </c>
      <c r="G200" t="s">
        <v>536</v>
      </c>
      <c r="H200" t="s">
        <v>39</v>
      </c>
      <c r="I200">
        <f>ROUND(256/100,9)</f>
        <v>2.56</v>
      </c>
      <c r="J200">
        <v>0</v>
      </c>
      <c r="O200">
        <f t="shared" si="210"/>
        <v>871.26</v>
      </c>
      <c r="P200">
        <f t="shared" si="211"/>
        <v>233.62</v>
      </c>
      <c r="Q200">
        <f t="shared" si="212"/>
        <v>30.58</v>
      </c>
      <c r="R200">
        <f t="shared" si="213"/>
        <v>4.47</v>
      </c>
      <c r="S200">
        <f t="shared" si="214"/>
        <v>607.05999999999995</v>
      </c>
      <c r="T200">
        <f t="shared" si="215"/>
        <v>0</v>
      </c>
      <c r="U200">
        <f t="shared" si="216"/>
        <v>9.6256000000000004</v>
      </c>
      <c r="V200">
        <f t="shared" si="217"/>
        <v>5.1200000000000002E-2</v>
      </c>
      <c r="W200">
        <f t="shared" si="218"/>
        <v>0</v>
      </c>
      <c r="X200">
        <f t="shared" si="219"/>
        <v>580.95000000000005</v>
      </c>
      <c r="Y200">
        <f t="shared" si="220"/>
        <v>397.49</v>
      </c>
      <c r="AA200">
        <v>16812721</v>
      </c>
      <c r="AB200">
        <f t="shared" si="221"/>
        <v>50.72</v>
      </c>
      <c r="AC200">
        <f t="shared" si="244"/>
        <v>13.6</v>
      </c>
      <c r="AD200">
        <f t="shared" si="245"/>
        <v>1.78</v>
      </c>
      <c r="AE200">
        <f t="shared" si="246"/>
        <v>0.26</v>
      </c>
      <c r="AF200">
        <f t="shared" si="247"/>
        <v>35.340000000000003</v>
      </c>
      <c r="AG200">
        <f t="shared" si="222"/>
        <v>0</v>
      </c>
      <c r="AH200">
        <f t="shared" si="248"/>
        <v>3.76</v>
      </c>
      <c r="AI200">
        <f t="shared" si="249"/>
        <v>0.02</v>
      </c>
      <c r="AJ200">
        <f t="shared" si="223"/>
        <v>0</v>
      </c>
      <c r="AK200">
        <v>50.72</v>
      </c>
      <c r="AL200">
        <v>13.6</v>
      </c>
      <c r="AM200">
        <v>1.78</v>
      </c>
      <c r="AN200">
        <v>0.26</v>
      </c>
      <c r="AO200">
        <v>35.340000000000003</v>
      </c>
      <c r="AP200">
        <v>0</v>
      </c>
      <c r="AQ200">
        <v>3.76</v>
      </c>
      <c r="AR200">
        <v>0.02</v>
      </c>
      <c r="AS200">
        <v>0</v>
      </c>
      <c r="AT200">
        <v>95</v>
      </c>
      <c r="AU200">
        <v>65</v>
      </c>
      <c r="AV200">
        <v>1</v>
      </c>
      <c r="AW200">
        <v>1</v>
      </c>
      <c r="AZ200">
        <v>6.71</v>
      </c>
      <c r="BA200">
        <v>6.71</v>
      </c>
      <c r="BB200">
        <v>6.71</v>
      </c>
      <c r="BC200">
        <v>6.71</v>
      </c>
      <c r="BD200" t="s">
        <v>6</v>
      </c>
      <c r="BE200" t="s">
        <v>6</v>
      </c>
      <c r="BF200" t="s">
        <v>6</v>
      </c>
      <c r="BG200" t="s">
        <v>6</v>
      </c>
      <c r="BH200">
        <v>0</v>
      </c>
      <c r="BI200">
        <v>2</v>
      </c>
      <c r="BJ200" t="s">
        <v>537</v>
      </c>
      <c r="BM200">
        <v>108001</v>
      </c>
      <c r="BN200">
        <v>0</v>
      </c>
      <c r="BO200" t="s">
        <v>6</v>
      </c>
      <c r="BP200">
        <v>0</v>
      </c>
      <c r="BQ200">
        <v>3</v>
      </c>
      <c r="BR200">
        <v>0</v>
      </c>
      <c r="BS200">
        <v>6.71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6</v>
      </c>
      <c r="BZ200">
        <v>95</v>
      </c>
      <c r="CA200">
        <v>65</v>
      </c>
      <c r="CE200">
        <v>0</v>
      </c>
      <c r="CF200">
        <v>0</v>
      </c>
      <c r="CG200">
        <v>0</v>
      </c>
      <c r="CM200">
        <v>0</v>
      </c>
      <c r="CN200" t="s">
        <v>6</v>
      </c>
      <c r="CO200">
        <v>0</v>
      </c>
      <c r="CP200">
        <f t="shared" si="224"/>
        <v>871.26</v>
      </c>
      <c r="CQ200">
        <f t="shared" si="225"/>
        <v>91.256</v>
      </c>
      <c r="CR200">
        <f t="shared" si="226"/>
        <v>11.9438</v>
      </c>
      <c r="CS200">
        <f t="shared" si="227"/>
        <v>1.7446000000000002</v>
      </c>
      <c r="CT200">
        <f t="shared" si="228"/>
        <v>237.13140000000001</v>
      </c>
      <c r="CU200">
        <f t="shared" si="229"/>
        <v>0</v>
      </c>
      <c r="CV200">
        <f t="shared" si="230"/>
        <v>3.76</v>
      </c>
      <c r="CW200">
        <f t="shared" si="231"/>
        <v>0.02</v>
      </c>
      <c r="CX200">
        <f t="shared" si="232"/>
        <v>0</v>
      </c>
      <c r="CY200">
        <f t="shared" si="233"/>
        <v>580.95349999999996</v>
      </c>
      <c r="CZ200">
        <f t="shared" si="234"/>
        <v>397.49449999999996</v>
      </c>
      <c r="DC200" t="s">
        <v>6</v>
      </c>
      <c r="DD200" t="s">
        <v>6</v>
      </c>
      <c r="DE200" t="s">
        <v>6</v>
      </c>
      <c r="DF200" t="s">
        <v>6</v>
      </c>
      <c r="DG200" t="s">
        <v>6</v>
      </c>
      <c r="DH200" t="s">
        <v>6</v>
      </c>
      <c r="DI200" t="s">
        <v>6</v>
      </c>
      <c r="DJ200" t="s">
        <v>6</v>
      </c>
      <c r="DK200" t="s">
        <v>6</v>
      </c>
      <c r="DL200" t="s">
        <v>6</v>
      </c>
      <c r="DM200" t="s">
        <v>6</v>
      </c>
      <c r="DN200">
        <v>0</v>
      </c>
      <c r="DO200">
        <v>0</v>
      </c>
      <c r="DP200">
        <v>1</v>
      </c>
      <c r="DQ200">
        <v>1</v>
      </c>
      <c r="DU200">
        <v>1003</v>
      </c>
      <c r="DV200" t="s">
        <v>39</v>
      </c>
      <c r="DW200" t="s">
        <v>39</v>
      </c>
      <c r="DX200">
        <v>100</v>
      </c>
      <c r="EE200">
        <v>16510370</v>
      </c>
      <c r="EF200">
        <v>3</v>
      </c>
      <c r="EG200" t="s">
        <v>472</v>
      </c>
      <c r="EH200">
        <v>0</v>
      </c>
      <c r="EI200" t="s">
        <v>6</v>
      </c>
      <c r="EJ200">
        <v>2</v>
      </c>
      <c r="EK200">
        <v>108001</v>
      </c>
      <c r="EL200" t="s">
        <v>473</v>
      </c>
      <c r="EM200" t="s">
        <v>474</v>
      </c>
      <c r="EO200" t="s">
        <v>6</v>
      </c>
      <c r="EQ200">
        <v>131072</v>
      </c>
      <c r="ER200">
        <v>50.72</v>
      </c>
      <c r="ES200">
        <v>13.6</v>
      </c>
      <c r="ET200">
        <v>1.78</v>
      </c>
      <c r="EU200">
        <v>0.26</v>
      </c>
      <c r="EV200">
        <v>35.340000000000003</v>
      </c>
      <c r="EW200">
        <v>3.76</v>
      </c>
      <c r="EX200">
        <v>0.02</v>
      </c>
      <c r="EY200">
        <v>0</v>
      </c>
      <c r="FQ200">
        <v>0</v>
      </c>
      <c r="FR200">
        <f t="shared" si="235"/>
        <v>0</v>
      </c>
      <c r="FS200">
        <v>0</v>
      </c>
      <c r="FX200">
        <v>95</v>
      </c>
      <c r="FY200">
        <v>65</v>
      </c>
      <c r="GA200" t="s">
        <v>6</v>
      </c>
      <c r="GD200">
        <v>0</v>
      </c>
      <c r="GF200">
        <v>-1448624239</v>
      </c>
      <c r="GG200">
        <v>1</v>
      </c>
      <c r="GH200">
        <v>1</v>
      </c>
      <c r="GI200">
        <v>4</v>
      </c>
      <c r="GJ200">
        <v>0</v>
      </c>
      <c r="GK200">
        <f>ROUND(R200*(R12)/100,2)</f>
        <v>0</v>
      </c>
      <c r="GL200">
        <f t="shared" si="236"/>
        <v>0</v>
      </c>
      <c r="GM200">
        <f t="shared" si="237"/>
        <v>1849.7</v>
      </c>
      <c r="GN200">
        <f t="shared" si="238"/>
        <v>0</v>
      </c>
      <c r="GO200">
        <f t="shared" si="239"/>
        <v>1849.7</v>
      </c>
      <c r="GP200">
        <f t="shared" si="240"/>
        <v>0</v>
      </c>
      <c r="GR200">
        <v>0</v>
      </c>
      <c r="GS200">
        <v>3</v>
      </c>
      <c r="GT200">
        <v>0</v>
      </c>
      <c r="GU200" t="s">
        <v>6</v>
      </c>
      <c r="GV200">
        <f t="shared" si="241"/>
        <v>0</v>
      </c>
      <c r="GW200">
        <v>1</v>
      </c>
      <c r="GX200">
        <f t="shared" si="242"/>
        <v>0</v>
      </c>
      <c r="HA200">
        <v>0</v>
      </c>
      <c r="HB200">
        <v>0</v>
      </c>
      <c r="HC200">
        <f t="shared" si="243"/>
        <v>0</v>
      </c>
      <c r="IK200">
        <v>0</v>
      </c>
    </row>
    <row r="201" spans="1:245" x14ac:dyDescent="0.2">
      <c r="A201">
        <v>18</v>
      </c>
      <c r="B201">
        <v>1</v>
      </c>
      <c r="C201">
        <v>312</v>
      </c>
      <c r="E201" t="s">
        <v>538</v>
      </c>
      <c r="F201" t="s">
        <v>539</v>
      </c>
      <c r="G201" t="s">
        <v>540</v>
      </c>
      <c r="H201" t="s">
        <v>541</v>
      </c>
      <c r="I201">
        <f>I200*J201</f>
        <v>0.25600000000000001</v>
      </c>
      <c r="J201">
        <v>0.1</v>
      </c>
      <c r="O201">
        <f t="shared" si="210"/>
        <v>11887.6</v>
      </c>
      <c r="P201">
        <f t="shared" si="211"/>
        <v>11887.6</v>
      </c>
      <c r="Q201">
        <f t="shared" si="212"/>
        <v>0</v>
      </c>
      <c r="R201">
        <f t="shared" si="213"/>
        <v>0</v>
      </c>
      <c r="S201">
        <f t="shared" si="214"/>
        <v>0</v>
      </c>
      <c r="T201">
        <f t="shared" si="215"/>
        <v>0</v>
      </c>
      <c r="U201">
        <f t="shared" si="216"/>
        <v>0</v>
      </c>
      <c r="V201">
        <f t="shared" si="217"/>
        <v>0</v>
      </c>
      <c r="W201">
        <f t="shared" si="218"/>
        <v>0</v>
      </c>
      <c r="X201">
        <f t="shared" si="219"/>
        <v>0</v>
      </c>
      <c r="Y201">
        <f t="shared" si="220"/>
        <v>0</v>
      </c>
      <c r="AA201">
        <v>16812721</v>
      </c>
      <c r="AB201">
        <f t="shared" si="221"/>
        <v>6920.41</v>
      </c>
      <c r="AC201">
        <f t="shared" si="244"/>
        <v>6920.41</v>
      </c>
      <c r="AD201">
        <f t="shared" si="245"/>
        <v>0</v>
      </c>
      <c r="AE201">
        <f t="shared" si="246"/>
        <v>0</v>
      </c>
      <c r="AF201">
        <f t="shared" si="247"/>
        <v>0</v>
      </c>
      <c r="AG201">
        <f t="shared" si="222"/>
        <v>0</v>
      </c>
      <c r="AH201">
        <f t="shared" si="248"/>
        <v>0</v>
      </c>
      <c r="AI201">
        <f t="shared" si="249"/>
        <v>0</v>
      </c>
      <c r="AJ201">
        <f t="shared" si="223"/>
        <v>0</v>
      </c>
      <c r="AK201">
        <v>6920.41</v>
      </c>
      <c r="AL201">
        <v>6920.41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95</v>
      </c>
      <c r="AU201">
        <v>65</v>
      </c>
      <c r="AV201">
        <v>1</v>
      </c>
      <c r="AW201">
        <v>1</v>
      </c>
      <c r="AZ201">
        <v>6.71</v>
      </c>
      <c r="BA201">
        <v>1</v>
      </c>
      <c r="BB201">
        <v>1</v>
      </c>
      <c r="BC201">
        <v>6.71</v>
      </c>
      <c r="BD201" t="s">
        <v>6</v>
      </c>
      <c r="BE201" t="s">
        <v>6</v>
      </c>
      <c r="BF201" t="s">
        <v>6</v>
      </c>
      <c r="BG201" t="s">
        <v>6</v>
      </c>
      <c r="BH201">
        <v>3</v>
      </c>
      <c r="BI201">
        <v>2</v>
      </c>
      <c r="BJ201" t="s">
        <v>542</v>
      </c>
      <c r="BM201">
        <v>108001</v>
      </c>
      <c r="BN201">
        <v>0</v>
      </c>
      <c r="BO201" t="s">
        <v>6</v>
      </c>
      <c r="BP201">
        <v>0</v>
      </c>
      <c r="BQ201">
        <v>3</v>
      </c>
      <c r="BR201">
        <v>0</v>
      </c>
      <c r="BS201">
        <v>1</v>
      </c>
      <c r="BT201">
        <v>1</v>
      </c>
      <c r="BU201">
        <v>1</v>
      </c>
      <c r="BV201">
        <v>1</v>
      </c>
      <c r="BW201">
        <v>1</v>
      </c>
      <c r="BX201">
        <v>1</v>
      </c>
      <c r="BY201" t="s">
        <v>6</v>
      </c>
      <c r="BZ201">
        <v>95</v>
      </c>
      <c r="CA201">
        <v>65</v>
      </c>
      <c r="CE201">
        <v>0</v>
      </c>
      <c r="CF201">
        <v>0</v>
      </c>
      <c r="CG201">
        <v>0</v>
      </c>
      <c r="CM201">
        <v>0</v>
      </c>
      <c r="CN201" t="s">
        <v>6</v>
      </c>
      <c r="CO201">
        <v>0</v>
      </c>
      <c r="CP201">
        <f t="shared" si="224"/>
        <v>11887.6</v>
      </c>
      <c r="CQ201">
        <f t="shared" si="225"/>
        <v>46435.951099999998</v>
      </c>
      <c r="CR201">
        <f t="shared" si="226"/>
        <v>0</v>
      </c>
      <c r="CS201">
        <f t="shared" si="227"/>
        <v>0</v>
      </c>
      <c r="CT201">
        <f t="shared" si="228"/>
        <v>0</v>
      </c>
      <c r="CU201">
        <f t="shared" si="229"/>
        <v>0</v>
      </c>
      <c r="CV201">
        <f t="shared" si="230"/>
        <v>0</v>
      </c>
      <c r="CW201">
        <f t="shared" si="231"/>
        <v>0</v>
      </c>
      <c r="CX201">
        <f t="shared" si="232"/>
        <v>0</v>
      </c>
      <c r="CY201">
        <f t="shared" si="233"/>
        <v>0</v>
      </c>
      <c r="CZ201">
        <f t="shared" si="234"/>
        <v>0</v>
      </c>
      <c r="DC201" t="s">
        <v>6</v>
      </c>
      <c r="DD201" t="s">
        <v>6</v>
      </c>
      <c r="DE201" t="s">
        <v>6</v>
      </c>
      <c r="DF201" t="s">
        <v>6</v>
      </c>
      <c r="DG201" t="s">
        <v>6</v>
      </c>
      <c r="DH201" t="s">
        <v>6</v>
      </c>
      <c r="DI201" t="s">
        <v>6</v>
      </c>
      <c r="DJ201" t="s">
        <v>6</v>
      </c>
      <c r="DK201" t="s">
        <v>6</v>
      </c>
      <c r="DL201" t="s">
        <v>6</v>
      </c>
      <c r="DM201" t="s">
        <v>6</v>
      </c>
      <c r="DN201">
        <v>0</v>
      </c>
      <c r="DO201">
        <v>0</v>
      </c>
      <c r="DP201">
        <v>1</v>
      </c>
      <c r="DQ201">
        <v>1</v>
      </c>
      <c r="DU201">
        <v>1013</v>
      </c>
      <c r="DV201" t="s">
        <v>541</v>
      </c>
      <c r="DW201" t="s">
        <v>543</v>
      </c>
      <c r="DX201">
        <v>1</v>
      </c>
      <c r="EE201">
        <v>16510370</v>
      </c>
      <c r="EF201">
        <v>3</v>
      </c>
      <c r="EG201" t="s">
        <v>472</v>
      </c>
      <c r="EH201">
        <v>0</v>
      </c>
      <c r="EI201" t="s">
        <v>6</v>
      </c>
      <c r="EJ201">
        <v>2</v>
      </c>
      <c r="EK201">
        <v>108001</v>
      </c>
      <c r="EL201" t="s">
        <v>473</v>
      </c>
      <c r="EM201" t="s">
        <v>474</v>
      </c>
      <c r="EO201" t="s">
        <v>6</v>
      </c>
      <c r="EQ201">
        <v>0</v>
      </c>
      <c r="ER201">
        <v>6920.41</v>
      </c>
      <c r="ES201">
        <v>6920.41</v>
      </c>
      <c r="ET201">
        <v>0</v>
      </c>
      <c r="EU201">
        <v>0</v>
      </c>
      <c r="EV201">
        <v>0</v>
      </c>
      <c r="EW201">
        <v>0</v>
      </c>
      <c r="EX201">
        <v>0</v>
      </c>
      <c r="FQ201">
        <v>0</v>
      </c>
      <c r="FR201">
        <f t="shared" si="235"/>
        <v>0</v>
      </c>
      <c r="FS201">
        <v>0</v>
      </c>
      <c r="FX201">
        <v>95</v>
      </c>
      <c r="FY201">
        <v>65</v>
      </c>
      <c r="GA201" t="s">
        <v>6</v>
      </c>
      <c r="GD201">
        <v>0</v>
      </c>
      <c r="GF201">
        <v>559331636</v>
      </c>
      <c r="GG201">
        <v>1</v>
      </c>
      <c r="GH201">
        <v>1</v>
      </c>
      <c r="GI201">
        <v>4</v>
      </c>
      <c r="GJ201">
        <v>0</v>
      </c>
      <c r="GK201">
        <f>ROUND(R201*(R12)/100,2)</f>
        <v>0</v>
      </c>
      <c r="GL201">
        <f t="shared" si="236"/>
        <v>0</v>
      </c>
      <c r="GM201">
        <f t="shared" si="237"/>
        <v>11887.6</v>
      </c>
      <c r="GN201">
        <f t="shared" si="238"/>
        <v>0</v>
      </c>
      <c r="GO201">
        <f t="shared" si="239"/>
        <v>11887.6</v>
      </c>
      <c r="GP201">
        <f t="shared" si="240"/>
        <v>0</v>
      </c>
      <c r="GR201">
        <v>0</v>
      </c>
      <c r="GS201">
        <v>3</v>
      </c>
      <c r="GT201">
        <v>0</v>
      </c>
      <c r="GU201" t="s">
        <v>6</v>
      </c>
      <c r="GV201">
        <f t="shared" si="241"/>
        <v>0</v>
      </c>
      <c r="GW201">
        <v>1</v>
      </c>
      <c r="GX201">
        <f t="shared" si="242"/>
        <v>0</v>
      </c>
      <c r="HA201">
        <v>0</v>
      </c>
      <c r="HB201">
        <v>0</v>
      </c>
      <c r="HC201">
        <f t="shared" si="243"/>
        <v>0</v>
      </c>
      <c r="IK201">
        <v>0</v>
      </c>
    </row>
    <row r="202" spans="1:245" x14ac:dyDescent="0.2">
      <c r="A202">
        <v>17</v>
      </c>
      <c r="B202">
        <v>1</v>
      </c>
      <c r="C202">
        <f>ROW(SmtRes!A324)</f>
        <v>324</v>
      </c>
      <c r="D202">
        <f>ROW(EtalonRes!A314)</f>
        <v>314</v>
      </c>
      <c r="E202" t="s">
        <v>544</v>
      </c>
      <c r="F202" t="s">
        <v>545</v>
      </c>
      <c r="G202" t="s">
        <v>546</v>
      </c>
      <c r="H202" t="s">
        <v>39</v>
      </c>
      <c r="I202">
        <f>ROUND(351/100,9)</f>
        <v>3.51</v>
      </c>
      <c r="J202">
        <v>0</v>
      </c>
      <c r="O202">
        <f t="shared" si="210"/>
        <v>2052.5700000000002</v>
      </c>
      <c r="P202">
        <f t="shared" si="211"/>
        <v>534.4</v>
      </c>
      <c r="Q202">
        <f t="shared" si="212"/>
        <v>125.53</v>
      </c>
      <c r="R202">
        <f t="shared" si="213"/>
        <v>17.899999999999999</v>
      </c>
      <c r="S202">
        <f t="shared" si="214"/>
        <v>1392.64</v>
      </c>
      <c r="T202">
        <f t="shared" si="215"/>
        <v>0</v>
      </c>
      <c r="U202">
        <f t="shared" si="216"/>
        <v>22.0779</v>
      </c>
      <c r="V202">
        <f t="shared" si="217"/>
        <v>0.21059999999999998</v>
      </c>
      <c r="W202">
        <f t="shared" si="218"/>
        <v>0</v>
      </c>
      <c r="X202">
        <f t="shared" si="219"/>
        <v>1340.01</v>
      </c>
      <c r="Y202">
        <f t="shared" si="220"/>
        <v>916.85</v>
      </c>
      <c r="AA202">
        <v>16812721</v>
      </c>
      <c r="AB202">
        <f t="shared" si="221"/>
        <v>87.15</v>
      </c>
      <c r="AC202">
        <f t="shared" si="244"/>
        <v>22.69</v>
      </c>
      <c r="AD202">
        <f t="shared" si="245"/>
        <v>5.33</v>
      </c>
      <c r="AE202">
        <f t="shared" si="246"/>
        <v>0.76</v>
      </c>
      <c r="AF202">
        <f t="shared" si="247"/>
        <v>59.13</v>
      </c>
      <c r="AG202">
        <f t="shared" si="222"/>
        <v>0</v>
      </c>
      <c r="AH202">
        <f t="shared" si="248"/>
        <v>6.29</v>
      </c>
      <c r="AI202">
        <f t="shared" si="249"/>
        <v>0.06</v>
      </c>
      <c r="AJ202">
        <f t="shared" si="223"/>
        <v>0</v>
      </c>
      <c r="AK202">
        <v>87.15</v>
      </c>
      <c r="AL202">
        <v>22.69</v>
      </c>
      <c r="AM202">
        <v>5.33</v>
      </c>
      <c r="AN202">
        <v>0.76</v>
      </c>
      <c r="AO202">
        <v>59.13</v>
      </c>
      <c r="AP202">
        <v>0</v>
      </c>
      <c r="AQ202">
        <v>6.29</v>
      </c>
      <c r="AR202">
        <v>0.06</v>
      </c>
      <c r="AS202">
        <v>0</v>
      </c>
      <c r="AT202">
        <v>95</v>
      </c>
      <c r="AU202">
        <v>65</v>
      </c>
      <c r="AV202">
        <v>1</v>
      </c>
      <c r="AW202">
        <v>1</v>
      </c>
      <c r="AZ202">
        <v>6.71</v>
      </c>
      <c r="BA202">
        <v>6.71</v>
      </c>
      <c r="BB202">
        <v>6.71</v>
      </c>
      <c r="BC202">
        <v>6.71</v>
      </c>
      <c r="BD202" t="s">
        <v>6</v>
      </c>
      <c r="BE202" t="s">
        <v>6</v>
      </c>
      <c r="BF202" t="s">
        <v>6</v>
      </c>
      <c r="BG202" t="s">
        <v>6</v>
      </c>
      <c r="BH202">
        <v>0</v>
      </c>
      <c r="BI202">
        <v>2</v>
      </c>
      <c r="BJ202" t="s">
        <v>547</v>
      </c>
      <c r="BM202">
        <v>108001</v>
      </c>
      <c r="BN202">
        <v>0</v>
      </c>
      <c r="BO202" t="s">
        <v>6</v>
      </c>
      <c r="BP202">
        <v>0</v>
      </c>
      <c r="BQ202">
        <v>3</v>
      </c>
      <c r="BR202">
        <v>0</v>
      </c>
      <c r="BS202">
        <v>6.71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6</v>
      </c>
      <c r="BZ202">
        <v>95</v>
      </c>
      <c r="CA202">
        <v>65</v>
      </c>
      <c r="CE202">
        <v>0</v>
      </c>
      <c r="CF202">
        <v>0</v>
      </c>
      <c r="CG202">
        <v>0</v>
      </c>
      <c r="CM202">
        <v>0</v>
      </c>
      <c r="CN202" t="s">
        <v>6</v>
      </c>
      <c r="CO202">
        <v>0</v>
      </c>
      <c r="CP202">
        <f t="shared" si="224"/>
        <v>2052.5700000000002</v>
      </c>
      <c r="CQ202">
        <f t="shared" si="225"/>
        <v>152.2499</v>
      </c>
      <c r="CR202">
        <f t="shared" si="226"/>
        <v>35.764299999999999</v>
      </c>
      <c r="CS202">
        <f t="shared" si="227"/>
        <v>5.0995999999999997</v>
      </c>
      <c r="CT202">
        <f t="shared" si="228"/>
        <v>396.76230000000004</v>
      </c>
      <c r="CU202">
        <f t="shared" si="229"/>
        <v>0</v>
      </c>
      <c r="CV202">
        <f t="shared" si="230"/>
        <v>6.29</v>
      </c>
      <c r="CW202">
        <f t="shared" si="231"/>
        <v>0.06</v>
      </c>
      <c r="CX202">
        <f t="shared" si="232"/>
        <v>0</v>
      </c>
      <c r="CY202">
        <f t="shared" si="233"/>
        <v>1340.0130000000001</v>
      </c>
      <c r="CZ202">
        <f t="shared" si="234"/>
        <v>916.85100000000011</v>
      </c>
      <c r="DC202" t="s">
        <v>6</v>
      </c>
      <c r="DD202" t="s">
        <v>6</v>
      </c>
      <c r="DE202" t="s">
        <v>6</v>
      </c>
      <c r="DF202" t="s">
        <v>6</v>
      </c>
      <c r="DG202" t="s">
        <v>6</v>
      </c>
      <c r="DH202" t="s">
        <v>6</v>
      </c>
      <c r="DI202" t="s">
        <v>6</v>
      </c>
      <c r="DJ202" t="s">
        <v>6</v>
      </c>
      <c r="DK202" t="s">
        <v>6</v>
      </c>
      <c r="DL202" t="s">
        <v>6</v>
      </c>
      <c r="DM202" t="s">
        <v>6</v>
      </c>
      <c r="DN202">
        <v>0</v>
      </c>
      <c r="DO202">
        <v>0</v>
      </c>
      <c r="DP202">
        <v>1</v>
      </c>
      <c r="DQ202">
        <v>1</v>
      </c>
      <c r="DU202">
        <v>1003</v>
      </c>
      <c r="DV202" t="s">
        <v>39</v>
      </c>
      <c r="DW202" t="s">
        <v>39</v>
      </c>
      <c r="DX202">
        <v>100</v>
      </c>
      <c r="EE202">
        <v>16510370</v>
      </c>
      <c r="EF202">
        <v>3</v>
      </c>
      <c r="EG202" t="s">
        <v>472</v>
      </c>
      <c r="EH202">
        <v>0</v>
      </c>
      <c r="EI202" t="s">
        <v>6</v>
      </c>
      <c r="EJ202">
        <v>2</v>
      </c>
      <c r="EK202">
        <v>108001</v>
      </c>
      <c r="EL202" t="s">
        <v>473</v>
      </c>
      <c r="EM202" t="s">
        <v>474</v>
      </c>
      <c r="EO202" t="s">
        <v>6</v>
      </c>
      <c r="EQ202">
        <v>131072</v>
      </c>
      <c r="ER202">
        <v>87.15</v>
      </c>
      <c r="ES202">
        <v>22.69</v>
      </c>
      <c r="ET202">
        <v>5.33</v>
      </c>
      <c r="EU202">
        <v>0.76</v>
      </c>
      <c r="EV202">
        <v>59.13</v>
      </c>
      <c r="EW202">
        <v>6.29</v>
      </c>
      <c r="EX202">
        <v>0.06</v>
      </c>
      <c r="EY202">
        <v>0</v>
      </c>
      <c r="FQ202">
        <v>0</v>
      </c>
      <c r="FR202">
        <f t="shared" si="235"/>
        <v>0</v>
      </c>
      <c r="FS202">
        <v>0</v>
      </c>
      <c r="FX202">
        <v>95</v>
      </c>
      <c r="FY202">
        <v>65</v>
      </c>
      <c r="GA202" t="s">
        <v>6</v>
      </c>
      <c r="GD202">
        <v>0</v>
      </c>
      <c r="GF202">
        <v>1667817228</v>
      </c>
      <c r="GG202">
        <v>1</v>
      </c>
      <c r="GH202">
        <v>1</v>
      </c>
      <c r="GI202">
        <v>4</v>
      </c>
      <c r="GJ202">
        <v>0</v>
      </c>
      <c r="GK202">
        <f>ROUND(R202*(R12)/100,2)</f>
        <v>0</v>
      </c>
      <c r="GL202">
        <f t="shared" si="236"/>
        <v>0</v>
      </c>
      <c r="GM202">
        <f t="shared" si="237"/>
        <v>4309.43</v>
      </c>
      <c r="GN202">
        <f t="shared" si="238"/>
        <v>0</v>
      </c>
      <c r="GO202">
        <f t="shared" si="239"/>
        <v>4309.43</v>
      </c>
      <c r="GP202">
        <f t="shared" si="240"/>
        <v>0</v>
      </c>
      <c r="GR202">
        <v>0</v>
      </c>
      <c r="GS202">
        <v>3</v>
      </c>
      <c r="GT202">
        <v>0</v>
      </c>
      <c r="GU202" t="s">
        <v>6</v>
      </c>
      <c r="GV202">
        <f t="shared" si="241"/>
        <v>0</v>
      </c>
      <c r="GW202">
        <v>1</v>
      </c>
      <c r="GX202">
        <f t="shared" si="242"/>
        <v>0</v>
      </c>
      <c r="HA202">
        <v>0</v>
      </c>
      <c r="HB202">
        <v>0</v>
      </c>
      <c r="HC202">
        <f t="shared" si="243"/>
        <v>0</v>
      </c>
      <c r="IK202">
        <v>0</v>
      </c>
    </row>
    <row r="203" spans="1:245" x14ac:dyDescent="0.2">
      <c r="A203">
        <v>18</v>
      </c>
      <c r="B203">
        <v>1</v>
      </c>
      <c r="C203">
        <v>323</v>
      </c>
      <c r="E203" t="s">
        <v>548</v>
      </c>
      <c r="F203" t="s">
        <v>539</v>
      </c>
      <c r="G203" t="s">
        <v>540</v>
      </c>
      <c r="H203" t="s">
        <v>541</v>
      </c>
      <c r="I203">
        <f>I202*J203</f>
        <v>0.35099999999999998</v>
      </c>
      <c r="J203">
        <v>0.1</v>
      </c>
      <c r="O203">
        <f t="shared" si="210"/>
        <v>16299.02</v>
      </c>
      <c r="P203">
        <f t="shared" si="211"/>
        <v>16299.02</v>
      </c>
      <c r="Q203">
        <f t="shared" si="212"/>
        <v>0</v>
      </c>
      <c r="R203">
        <f t="shared" si="213"/>
        <v>0</v>
      </c>
      <c r="S203">
        <f t="shared" si="214"/>
        <v>0</v>
      </c>
      <c r="T203">
        <f t="shared" si="215"/>
        <v>0</v>
      </c>
      <c r="U203">
        <f t="shared" si="216"/>
        <v>0</v>
      </c>
      <c r="V203">
        <f t="shared" si="217"/>
        <v>0</v>
      </c>
      <c r="W203">
        <f t="shared" si="218"/>
        <v>0</v>
      </c>
      <c r="X203">
        <f t="shared" si="219"/>
        <v>0</v>
      </c>
      <c r="Y203">
        <f t="shared" si="220"/>
        <v>0</v>
      </c>
      <c r="AA203">
        <v>16812721</v>
      </c>
      <c r="AB203">
        <f t="shared" si="221"/>
        <v>6920.41</v>
      </c>
      <c r="AC203">
        <f t="shared" si="244"/>
        <v>6920.41</v>
      </c>
      <c r="AD203">
        <f t="shared" si="245"/>
        <v>0</v>
      </c>
      <c r="AE203">
        <f t="shared" si="246"/>
        <v>0</v>
      </c>
      <c r="AF203">
        <f t="shared" si="247"/>
        <v>0</v>
      </c>
      <c r="AG203">
        <f t="shared" si="222"/>
        <v>0</v>
      </c>
      <c r="AH203">
        <f t="shared" si="248"/>
        <v>0</v>
      </c>
      <c r="AI203">
        <f t="shared" si="249"/>
        <v>0</v>
      </c>
      <c r="AJ203">
        <f t="shared" si="223"/>
        <v>0</v>
      </c>
      <c r="AK203">
        <v>6920.41</v>
      </c>
      <c r="AL203">
        <v>6920.41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95</v>
      </c>
      <c r="AU203">
        <v>65</v>
      </c>
      <c r="AV203">
        <v>1</v>
      </c>
      <c r="AW203">
        <v>1</v>
      </c>
      <c r="AZ203">
        <v>6.71</v>
      </c>
      <c r="BA203">
        <v>1</v>
      </c>
      <c r="BB203">
        <v>1</v>
      </c>
      <c r="BC203">
        <v>6.71</v>
      </c>
      <c r="BD203" t="s">
        <v>6</v>
      </c>
      <c r="BE203" t="s">
        <v>6</v>
      </c>
      <c r="BF203" t="s">
        <v>6</v>
      </c>
      <c r="BG203" t="s">
        <v>6</v>
      </c>
      <c r="BH203">
        <v>3</v>
      </c>
      <c r="BI203">
        <v>2</v>
      </c>
      <c r="BJ203" t="s">
        <v>542</v>
      </c>
      <c r="BM203">
        <v>108001</v>
      </c>
      <c r="BN203">
        <v>0</v>
      </c>
      <c r="BO203" t="s">
        <v>6</v>
      </c>
      <c r="BP203">
        <v>0</v>
      </c>
      <c r="BQ203">
        <v>3</v>
      </c>
      <c r="BR203">
        <v>0</v>
      </c>
      <c r="BS203">
        <v>1</v>
      </c>
      <c r="BT203">
        <v>1</v>
      </c>
      <c r="BU203">
        <v>1</v>
      </c>
      <c r="BV203">
        <v>1</v>
      </c>
      <c r="BW203">
        <v>1</v>
      </c>
      <c r="BX203">
        <v>1</v>
      </c>
      <c r="BY203" t="s">
        <v>6</v>
      </c>
      <c r="BZ203">
        <v>95</v>
      </c>
      <c r="CA203">
        <v>65</v>
      </c>
      <c r="CE203">
        <v>0</v>
      </c>
      <c r="CF203">
        <v>0</v>
      </c>
      <c r="CG203">
        <v>0</v>
      </c>
      <c r="CM203">
        <v>0</v>
      </c>
      <c r="CN203" t="s">
        <v>6</v>
      </c>
      <c r="CO203">
        <v>0</v>
      </c>
      <c r="CP203">
        <f t="shared" si="224"/>
        <v>16299.02</v>
      </c>
      <c r="CQ203">
        <f t="shared" si="225"/>
        <v>46435.951099999998</v>
      </c>
      <c r="CR203">
        <f t="shared" si="226"/>
        <v>0</v>
      </c>
      <c r="CS203">
        <f t="shared" si="227"/>
        <v>0</v>
      </c>
      <c r="CT203">
        <f t="shared" si="228"/>
        <v>0</v>
      </c>
      <c r="CU203">
        <f t="shared" si="229"/>
        <v>0</v>
      </c>
      <c r="CV203">
        <f t="shared" si="230"/>
        <v>0</v>
      </c>
      <c r="CW203">
        <f t="shared" si="231"/>
        <v>0</v>
      </c>
      <c r="CX203">
        <f t="shared" si="232"/>
        <v>0</v>
      </c>
      <c r="CY203">
        <f t="shared" si="233"/>
        <v>0</v>
      </c>
      <c r="CZ203">
        <f t="shared" si="234"/>
        <v>0</v>
      </c>
      <c r="DC203" t="s">
        <v>6</v>
      </c>
      <c r="DD203" t="s">
        <v>6</v>
      </c>
      <c r="DE203" t="s">
        <v>6</v>
      </c>
      <c r="DF203" t="s">
        <v>6</v>
      </c>
      <c r="DG203" t="s">
        <v>6</v>
      </c>
      <c r="DH203" t="s">
        <v>6</v>
      </c>
      <c r="DI203" t="s">
        <v>6</v>
      </c>
      <c r="DJ203" t="s">
        <v>6</v>
      </c>
      <c r="DK203" t="s">
        <v>6</v>
      </c>
      <c r="DL203" t="s">
        <v>6</v>
      </c>
      <c r="DM203" t="s">
        <v>6</v>
      </c>
      <c r="DN203">
        <v>0</v>
      </c>
      <c r="DO203">
        <v>0</v>
      </c>
      <c r="DP203">
        <v>1</v>
      </c>
      <c r="DQ203">
        <v>1</v>
      </c>
      <c r="DU203">
        <v>1013</v>
      </c>
      <c r="DV203" t="s">
        <v>541</v>
      </c>
      <c r="DW203" t="s">
        <v>543</v>
      </c>
      <c r="DX203">
        <v>1</v>
      </c>
      <c r="EE203">
        <v>16510370</v>
      </c>
      <c r="EF203">
        <v>3</v>
      </c>
      <c r="EG203" t="s">
        <v>472</v>
      </c>
      <c r="EH203">
        <v>0</v>
      </c>
      <c r="EI203" t="s">
        <v>6</v>
      </c>
      <c r="EJ203">
        <v>2</v>
      </c>
      <c r="EK203">
        <v>108001</v>
      </c>
      <c r="EL203" t="s">
        <v>473</v>
      </c>
      <c r="EM203" t="s">
        <v>474</v>
      </c>
      <c r="EO203" t="s">
        <v>6</v>
      </c>
      <c r="EQ203">
        <v>0</v>
      </c>
      <c r="ER203">
        <v>6920.41</v>
      </c>
      <c r="ES203">
        <v>6920.41</v>
      </c>
      <c r="ET203">
        <v>0</v>
      </c>
      <c r="EU203">
        <v>0</v>
      </c>
      <c r="EV203">
        <v>0</v>
      </c>
      <c r="EW203">
        <v>0</v>
      </c>
      <c r="EX203">
        <v>0</v>
      </c>
      <c r="FQ203">
        <v>0</v>
      </c>
      <c r="FR203">
        <f t="shared" si="235"/>
        <v>0</v>
      </c>
      <c r="FS203">
        <v>0</v>
      </c>
      <c r="FX203">
        <v>95</v>
      </c>
      <c r="FY203">
        <v>65</v>
      </c>
      <c r="GA203" t="s">
        <v>6</v>
      </c>
      <c r="GD203">
        <v>0</v>
      </c>
      <c r="GF203">
        <v>559331636</v>
      </c>
      <c r="GG203">
        <v>1</v>
      </c>
      <c r="GH203">
        <v>1</v>
      </c>
      <c r="GI203">
        <v>4</v>
      </c>
      <c r="GJ203">
        <v>0</v>
      </c>
      <c r="GK203">
        <f>ROUND(R203*(R12)/100,2)</f>
        <v>0</v>
      </c>
      <c r="GL203">
        <f t="shared" si="236"/>
        <v>0</v>
      </c>
      <c r="GM203">
        <f t="shared" si="237"/>
        <v>16299.02</v>
      </c>
      <c r="GN203">
        <f t="shared" si="238"/>
        <v>0</v>
      </c>
      <c r="GO203">
        <f t="shared" si="239"/>
        <v>16299.02</v>
      </c>
      <c r="GP203">
        <f t="shared" si="240"/>
        <v>0</v>
      </c>
      <c r="GR203">
        <v>0</v>
      </c>
      <c r="GS203">
        <v>3</v>
      </c>
      <c r="GT203">
        <v>0</v>
      </c>
      <c r="GU203" t="s">
        <v>6</v>
      </c>
      <c r="GV203">
        <f t="shared" si="241"/>
        <v>0</v>
      </c>
      <c r="GW203">
        <v>1</v>
      </c>
      <c r="GX203">
        <f t="shared" si="242"/>
        <v>0</v>
      </c>
      <c r="HA203">
        <v>0</v>
      </c>
      <c r="HB203">
        <v>0</v>
      </c>
      <c r="HC203">
        <f t="shared" si="243"/>
        <v>0</v>
      </c>
      <c r="IK203">
        <v>0</v>
      </c>
    </row>
    <row r="204" spans="1:245" x14ac:dyDescent="0.2">
      <c r="A204">
        <v>17</v>
      </c>
      <c r="B204">
        <v>1</v>
      </c>
      <c r="C204">
        <f>ROW(SmtRes!A336)</f>
        <v>336</v>
      </c>
      <c r="D204">
        <f>ROW(EtalonRes!A325)</f>
        <v>325</v>
      </c>
      <c r="E204" t="s">
        <v>549</v>
      </c>
      <c r="F204" t="s">
        <v>550</v>
      </c>
      <c r="G204" t="s">
        <v>551</v>
      </c>
      <c r="H204" t="s">
        <v>39</v>
      </c>
      <c r="I204">
        <f>ROUND(132/100,9)</f>
        <v>1.32</v>
      </c>
      <c r="J204">
        <v>0</v>
      </c>
      <c r="O204">
        <f t="shared" si="210"/>
        <v>1961.52</v>
      </c>
      <c r="P204">
        <f t="shared" si="211"/>
        <v>319.04000000000002</v>
      </c>
      <c r="Q204">
        <f t="shared" si="212"/>
        <v>438.52</v>
      </c>
      <c r="R204">
        <f t="shared" si="213"/>
        <v>44.46</v>
      </c>
      <c r="S204">
        <f t="shared" si="214"/>
        <v>1203.96</v>
      </c>
      <c r="T204">
        <f t="shared" si="215"/>
        <v>0</v>
      </c>
      <c r="U204">
        <f t="shared" si="216"/>
        <v>18.651600000000002</v>
      </c>
      <c r="V204">
        <f t="shared" si="217"/>
        <v>0.52800000000000002</v>
      </c>
      <c r="W204">
        <f t="shared" si="218"/>
        <v>0</v>
      </c>
      <c r="X204">
        <f t="shared" si="219"/>
        <v>1186</v>
      </c>
      <c r="Y204">
        <f t="shared" si="220"/>
        <v>811.47</v>
      </c>
      <c r="AA204">
        <v>16812721</v>
      </c>
      <c r="AB204">
        <f t="shared" si="221"/>
        <v>221.46</v>
      </c>
      <c r="AC204">
        <f t="shared" si="244"/>
        <v>36.020000000000003</v>
      </c>
      <c r="AD204">
        <f t="shared" si="245"/>
        <v>49.51</v>
      </c>
      <c r="AE204">
        <f t="shared" si="246"/>
        <v>5.0199999999999996</v>
      </c>
      <c r="AF204">
        <f t="shared" si="247"/>
        <v>135.93</v>
      </c>
      <c r="AG204">
        <f t="shared" si="222"/>
        <v>0</v>
      </c>
      <c r="AH204">
        <f t="shared" si="248"/>
        <v>14.13</v>
      </c>
      <c r="AI204">
        <f t="shared" si="249"/>
        <v>0.4</v>
      </c>
      <c r="AJ204">
        <f t="shared" si="223"/>
        <v>0</v>
      </c>
      <c r="AK204">
        <v>221.46</v>
      </c>
      <c r="AL204">
        <v>36.020000000000003</v>
      </c>
      <c r="AM204">
        <v>49.51</v>
      </c>
      <c r="AN204">
        <v>5.0199999999999996</v>
      </c>
      <c r="AO204">
        <v>135.93</v>
      </c>
      <c r="AP204">
        <v>0</v>
      </c>
      <c r="AQ204">
        <v>14.13</v>
      </c>
      <c r="AR204">
        <v>0.4</v>
      </c>
      <c r="AS204">
        <v>0</v>
      </c>
      <c r="AT204">
        <v>95</v>
      </c>
      <c r="AU204">
        <v>65</v>
      </c>
      <c r="AV204">
        <v>1</v>
      </c>
      <c r="AW204">
        <v>1</v>
      </c>
      <c r="AZ204">
        <v>6.71</v>
      </c>
      <c r="BA204">
        <v>6.71</v>
      </c>
      <c r="BB204">
        <v>6.71</v>
      </c>
      <c r="BC204">
        <v>6.71</v>
      </c>
      <c r="BD204" t="s">
        <v>6</v>
      </c>
      <c r="BE204" t="s">
        <v>6</v>
      </c>
      <c r="BF204" t="s">
        <v>6</v>
      </c>
      <c r="BG204" t="s">
        <v>6</v>
      </c>
      <c r="BH204">
        <v>0</v>
      </c>
      <c r="BI204">
        <v>2</v>
      </c>
      <c r="BJ204" t="s">
        <v>552</v>
      </c>
      <c r="BM204">
        <v>108001</v>
      </c>
      <c r="BN204">
        <v>0</v>
      </c>
      <c r="BO204" t="s">
        <v>6</v>
      </c>
      <c r="BP204">
        <v>0</v>
      </c>
      <c r="BQ204">
        <v>3</v>
      </c>
      <c r="BR204">
        <v>0</v>
      </c>
      <c r="BS204">
        <v>6.71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6</v>
      </c>
      <c r="BZ204">
        <v>95</v>
      </c>
      <c r="CA204">
        <v>65</v>
      </c>
      <c r="CE204">
        <v>0</v>
      </c>
      <c r="CF204">
        <v>0</v>
      </c>
      <c r="CG204">
        <v>0</v>
      </c>
      <c r="CM204">
        <v>0</v>
      </c>
      <c r="CN204" t="s">
        <v>6</v>
      </c>
      <c r="CO204">
        <v>0</v>
      </c>
      <c r="CP204">
        <f t="shared" si="224"/>
        <v>1961.52</v>
      </c>
      <c r="CQ204">
        <f t="shared" si="225"/>
        <v>241.69420000000002</v>
      </c>
      <c r="CR204">
        <f t="shared" si="226"/>
        <v>332.21209999999996</v>
      </c>
      <c r="CS204">
        <f t="shared" si="227"/>
        <v>33.684199999999997</v>
      </c>
      <c r="CT204">
        <f t="shared" si="228"/>
        <v>912.09030000000007</v>
      </c>
      <c r="CU204">
        <f t="shared" si="229"/>
        <v>0</v>
      </c>
      <c r="CV204">
        <f t="shared" si="230"/>
        <v>14.13</v>
      </c>
      <c r="CW204">
        <f t="shared" si="231"/>
        <v>0.4</v>
      </c>
      <c r="CX204">
        <f t="shared" si="232"/>
        <v>0</v>
      </c>
      <c r="CY204">
        <f t="shared" si="233"/>
        <v>1185.999</v>
      </c>
      <c r="CZ204">
        <f t="shared" si="234"/>
        <v>811.47300000000007</v>
      </c>
      <c r="DC204" t="s">
        <v>6</v>
      </c>
      <c r="DD204" t="s">
        <v>6</v>
      </c>
      <c r="DE204" t="s">
        <v>6</v>
      </c>
      <c r="DF204" t="s">
        <v>6</v>
      </c>
      <c r="DG204" t="s">
        <v>6</v>
      </c>
      <c r="DH204" t="s">
        <v>6</v>
      </c>
      <c r="DI204" t="s">
        <v>6</v>
      </c>
      <c r="DJ204" t="s">
        <v>6</v>
      </c>
      <c r="DK204" t="s">
        <v>6</v>
      </c>
      <c r="DL204" t="s">
        <v>6</v>
      </c>
      <c r="DM204" t="s">
        <v>6</v>
      </c>
      <c r="DN204">
        <v>0</v>
      </c>
      <c r="DO204">
        <v>0</v>
      </c>
      <c r="DP204">
        <v>1</v>
      </c>
      <c r="DQ204">
        <v>1</v>
      </c>
      <c r="DU204">
        <v>1003</v>
      </c>
      <c r="DV204" t="s">
        <v>39</v>
      </c>
      <c r="DW204" t="s">
        <v>39</v>
      </c>
      <c r="DX204">
        <v>100</v>
      </c>
      <c r="EE204">
        <v>16510370</v>
      </c>
      <c r="EF204">
        <v>3</v>
      </c>
      <c r="EG204" t="s">
        <v>472</v>
      </c>
      <c r="EH204">
        <v>0</v>
      </c>
      <c r="EI204" t="s">
        <v>6</v>
      </c>
      <c r="EJ204">
        <v>2</v>
      </c>
      <c r="EK204">
        <v>108001</v>
      </c>
      <c r="EL204" t="s">
        <v>473</v>
      </c>
      <c r="EM204" t="s">
        <v>474</v>
      </c>
      <c r="EO204" t="s">
        <v>6</v>
      </c>
      <c r="EQ204">
        <v>0</v>
      </c>
      <c r="ER204">
        <v>221.46</v>
      </c>
      <c r="ES204">
        <v>36.020000000000003</v>
      </c>
      <c r="ET204">
        <v>49.51</v>
      </c>
      <c r="EU204">
        <v>5.0199999999999996</v>
      </c>
      <c r="EV204">
        <v>135.93</v>
      </c>
      <c r="EW204">
        <v>14.13</v>
      </c>
      <c r="EX204">
        <v>0.4</v>
      </c>
      <c r="EY204">
        <v>0</v>
      </c>
      <c r="FQ204">
        <v>0</v>
      </c>
      <c r="FR204">
        <f t="shared" si="235"/>
        <v>0</v>
      </c>
      <c r="FS204">
        <v>0</v>
      </c>
      <c r="FX204">
        <v>95</v>
      </c>
      <c r="FY204">
        <v>65</v>
      </c>
      <c r="GA204" t="s">
        <v>6</v>
      </c>
      <c r="GD204">
        <v>0</v>
      </c>
      <c r="GF204">
        <v>96787645</v>
      </c>
      <c r="GG204">
        <v>1</v>
      </c>
      <c r="GH204">
        <v>1</v>
      </c>
      <c r="GI204">
        <v>4</v>
      </c>
      <c r="GJ204">
        <v>0</v>
      </c>
      <c r="GK204">
        <f>ROUND(R204*(R12)/100,2)</f>
        <v>0</v>
      </c>
      <c r="GL204">
        <f t="shared" si="236"/>
        <v>0</v>
      </c>
      <c r="GM204">
        <f t="shared" si="237"/>
        <v>3958.99</v>
      </c>
      <c r="GN204">
        <f t="shared" si="238"/>
        <v>0</v>
      </c>
      <c r="GO204">
        <f t="shared" si="239"/>
        <v>3958.99</v>
      </c>
      <c r="GP204">
        <f t="shared" si="240"/>
        <v>0</v>
      </c>
      <c r="GR204">
        <v>0</v>
      </c>
      <c r="GS204">
        <v>3</v>
      </c>
      <c r="GT204">
        <v>0</v>
      </c>
      <c r="GU204" t="s">
        <v>6</v>
      </c>
      <c r="GV204">
        <f t="shared" si="241"/>
        <v>0</v>
      </c>
      <c r="GW204">
        <v>1</v>
      </c>
      <c r="GX204">
        <f t="shared" si="242"/>
        <v>0</v>
      </c>
      <c r="HA204">
        <v>0</v>
      </c>
      <c r="HB204">
        <v>0</v>
      </c>
      <c r="HC204">
        <f t="shared" si="243"/>
        <v>0</v>
      </c>
      <c r="IK204">
        <v>0</v>
      </c>
    </row>
    <row r="205" spans="1:245" x14ac:dyDescent="0.2">
      <c r="A205">
        <v>18</v>
      </c>
      <c r="B205">
        <v>1</v>
      </c>
      <c r="C205">
        <v>335</v>
      </c>
      <c r="E205" t="s">
        <v>553</v>
      </c>
      <c r="F205" t="s">
        <v>554</v>
      </c>
      <c r="G205" t="s">
        <v>555</v>
      </c>
      <c r="H205" t="s">
        <v>541</v>
      </c>
      <c r="I205">
        <f>I204*J205</f>
        <v>0.13200000000000001</v>
      </c>
      <c r="J205">
        <v>0.1</v>
      </c>
      <c r="O205">
        <f t="shared" si="210"/>
        <v>22525.46</v>
      </c>
      <c r="P205">
        <f t="shared" si="211"/>
        <v>22525.46</v>
      </c>
      <c r="Q205">
        <f t="shared" si="212"/>
        <v>0</v>
      </c>
      <c r="R205">
        <f t="shared" si="213"/>
        <v>0</v>
      </c>
      <c r="S205">
        <f t="shared" si="214"/>
        <v>0</v>
      </c>
      <c r="T205">
        <f t="shared" si="215"/>
        <v>0</v>
      </c>
      <c r="U205">
        <f t="shared" si="216"/>
        <v>0</v>
      </c>
      <c r="V205">
        <f t="shared" si="217"/>
        <v>0</v>
      </c>
      <c r="W205">
        <f t="shared" si="218"/>
        <v>0</v>
      </c>
      <c r="X205">
        <f t="shared" si="219"/>
        <v>0</v>
      </c>
      <c r="Y205">
        <f t="shared" si="220"/>
        <v>0</v>
      </c>
      <c r="AA205">
        <v>16812721</v>
      </c>
      <c r="AB205">
        <f t="shared" si="221"/>
        <v>25431.81</v>
      </c>
      <c r="AC205">
        <f t="shared" si="244"/>
        <v>25431.81</v>
      </c>
      <c r="AD205">
        <f t="shared" si="245"/>
        <v>0</v>
      </c>
      <c r="AE205">
        <f t="shared" si="246"/>
        <v>0</v>
      </c>
      <c r="AF205">
        <f t="shared" si="247"/>
        <v>0</v>
      </c>
      <c r="AG205">
        <f t="shared" si="222"/>
        <v>0</v>
      </c>
      <c r="AH205">
        <f t="shared" si="248"/>
        <v>0</v>
      </c>
      <c r="AI205">
        <f t="shared" si="249"/>
        <v>0</v>
      </c>
      <c r="AJ205">
        <f t="shared" si="223"/>
        <v>0</v>
      </c>
      <c r="AK205">
        <v>25431.81</v>
      </c>
      <c r="AL205">
        <v>25431.81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95</v>
      </c>
      <c r="AU205">
        <v>65</v>
      </c>
      <c r="AV205">
        <v>1</v>
      </c>
      <c r="AW205">
        <v>1</v>
      </c>
      <c r="AZ205">
        <v>6.71</v>
      </c>
      <c r="BA205">
        <v>1</v>
      </c>
      <c r="BB205">
        <v>1</v>
      </c>
      <c r="BC205">
        <v>6.71</v>
      </c>
      <c r="BD205" t="s">
        <v>6</v>
      </c>
      <c r="BE205" t="s">
        <v>6</v>
      </c>
      <c r="BF205" t="s">
        <v>6</v>
      </c>
      <c r="BG205" t="s">
        <v>6</v>
      </c>
      <c r="BH205">
        <v>3</v>
      </c>
      <c r="BI205">
        <v>2</v>
      </c>
      <c r="BJ205" t="s">
        <v>556</v>
      </c>
      <c r="BM205">
        <v>108001</v>
      </c>
      <c r="BN205">
        <v>0</v>
      </c>
      <c r="BO205" t="s">
        <v>6</v>
      </c>
      <c r="BP205">
        <v>0</v>
      </c>
      <c r="BQ205">
        <v>3</v>
      </c>
      <c r="BR205">
        <v>0</v>
      </c>
      <c r="BS205">
        <v>1</v>
      </c>
      <c r="BT205">
        <v>1</v>
      </c>
      <c r="BU205">
        <v>1</v>
      </c>
      <c r="BV205">
        <v>1</v>
      </c>
      <c r="BW205">
        <v>1</v>
      </c>
      <c r="BX205">
        <v>1</v>
      </c>
      <c r="BY205" t="s">
        <v>6</v>
      </c>
      <c r="BZ205">
        <v>95</v>
      </c>
      <c r="CA205">
        <v>65</v>
      </c>
      <c r="CE205">
        <v>0</v>
      </c>
      <c r="CF205">
        <v>0</v>
      </c>
      <c r="CG205">
        <v>0</v>
      </c>
      <c r="CM205">
        <v>0</v>
      </c>
      <c r="CN205" t="s">
        <v>6</v>
      </c>
      <c r="CO205">
        <v>0</v>
      </c>
      <c r="CP205">
        <f t="shared" si="224"/>
        <v>22525.46</v>
      </c>
      <c r="CQ205">
        <f t="shared" si="225"/>
        <v>170647.44510000001</v>
      </c>
      <c r="CR205">
        <f t="shared" si="226"/>
        <v>0</v>
      </c>
      <c r="CS205">
        <f t="shared" si="227"/>
        <v>0</v>
      </c>
      <c r="CT205">
        <f t="shared" si="228"/>
        <v>0</v>
      </c>
      <c r="CU205">
        <f t="shared" si="229"/>
        <v>0</v>
      </c>
      <c r="CV205">
        <f t="shared" si="230"/>
        <v>0</v>
      </c>
      <c r="CW205">
        <f t="shared" si="231"/>
        <v>0</v>
      </c>
      <c r="CX205">
        <f t="shared" si="232"/>
        <v>0</v>
      </c>
      <c r="CY205">
        <f t="shared" si="233"/>
        <v>0</v>
      </c>
      <c r="CZ205">
        <f t="shared" si="234"/>
        <v>0</v>
      </c>
      <c r="DC205" t="s">
        <v>6</v>
      </c>
      <c r="DD205" t="s">
        <v>6</v>
      </c>
      <c r="DE205" t="s">
        <v>6</v>
      </c>
      <c r="DF205" t="s">
        <v>6</v>
      </c>
      <c r="DG205" t="s">
        <v>6</v>
      </c>
      <c r="DH205" t="s">
        <v>6</v>
      </c>
      <c r="DI205" t="s">
        <v>6</v>
      </c>
      <c r="DJ205" t="s">
        <v>6</v>
      </c>
      <c r="DK205" t="s">
        <v>6</v>
      </c>
      <c r="DL205" t="s">
        <v>6</v>
      </c>
      <c r="DM205" t="s">
        <v>6</v>
      </c>
      <c r="DN205">
        <v>0</v>
      </c>
      <c r="DO205">
        <v>0</v>
      </c>
      <c r="DP205">
        <v>1</v>
      </c>
      <c r="DQ205">
        <v>1</v>
      </c>
      <c r="DU205">
        <v>1013</v>
      </c>
      <c r="DV205" t="s">
        <v>541</v>
      </c>
      <c r="DW205" t="s">
        <v>543</v>
      </c>
      <c r="DX205">
        <v>1</v>
      </c>
      <c r="EE205">
        <v>16510370</v>
      </c>
      <c r="EF205">
        <v>3</v>
      </c>
      <c r="EG205" t="s">
        <v>472</v>
      </c>
      <c r="EH205">
        <v>0</v>
      </c>
      <c r="EI205" t="s">
        <v>6</v>
      </c>
      <c r="EJ205">
        <v>2</v>
      </c>
      <c r="EK205">
        <v>108001</v>
      </c>
      <c r="EL205" t="s">
        <v>473</v>
      </c>
      <c r="EM205" t="s">
        <v>474</v>
      </c>
      <c r="EO205" t="s">
        <v>6</v>
      </c>
      <c r="EQ205">
        <v>0</v>
      </c>
      <c r="ER205">
        <v>25431.81</v>
      </c>
      <c r="ES205">
        <v>25431.81</v>
      </c>
      <c r="ET205">
        <v>0</v>
      </c>
      <c r="EU205">
        <v>0</v>
      </c>
      <c r="EV205">
        <v>0</v>
      </c>
      <c r="EW205">
        <v>0</v>
      </c>
      <c r="EX205">
        <v>0</v>
      </c>
      <c r="FQ205">
        <v>0</v>
      </c>
      <c r="FR205">
        <f t="shared" si="235"/>
        <v>0</v>
      </c>
      <c r="FS205">
        <v>0</v>
      </c>
      <c r="FX205">
        <v>95</v>
      </c>
      <c r="FY205">
        <v>65</v>
      </c>
      <c r="GA205" t="s">
        <v>6</v>
      </c>
      <c r="GD205">
        <v>0</v>
      </c>
      <c r="GF205">
        <v>595716002</v>
      </c>
      <c r="GG205">
        <v>1</v>
      </c>
      <c r="GH205">
        <v>1</v>
      </c>
      <c r="GI205">
        <v>4</v>
      </c>
      <c r="GJ205">
        <v>0</v>
      </c>
      <c r="GK205">
        <f>ROUND(R205*(R12)/100,2)</f>
        <v>0</v>
      </c>
      <c r="GL205">
        <f t="shared" si="236"/>
        <v>0</v>
      </c>
      <c r="GM205">
        <f t="shared" si="237"/>
        <v>22525.46</v>
      </c>
      <c r="GN205">
        <f t="shared" si="238"/>
        <v>0</v>
      </c>
      <c r="GO205">
        <f t="shared" si="239"/>
        <v>22525.46</v>
      </c>
      <c r="GP205">
        <f t="shared" si="240"/>
        <v>0</v>
      </c>
      <c r="GR205">
        <v>0</v>
      </c>
      <c r="GS205">
        <v>3</v>
      </c>
      <c r="GT205">
        <v>0</v>
      </c>
      <c r="GU205" t="s">
        <v>6</v>
      </c>
      <c r="GV205">
        <f t="shared" si="241"/>
        <v>0</v>
      </c>
      <c r="GW205">
        <v>1</v>
      </c>
      <c r="GX205">
        <f t="shared" si="242"/>
        <v>0</v>
      </c>
      <c r="HA205">
        <v>0</v>
      </c>
      <c r="HB205">
        <v>0</v>
      </c>
      <c r="HC205">
        <f t="shared" si="243"/>
        <v>0</v>
      </c>
      <c r="IK205">
        <v>0</v>
      </c>
    </row>
    <row r="206" spans="1:245" x14ac:dyDescent="0.2">
      <c r="A206">
        <v>17</v>
      </c>
      <c r="B206">
        <v>1</v>
      </c>
      <c r="C206">
        <f>ROW(SmtRes!A345)</f>
        <v>345</v>
      </c>
      <c r="D206">
        <f>ROW(EtalonRes!A333)</f>
        <v>333</v>
      </c>
      <c r="E206" t="s">
        <v>557</v>
      </c>
      <c r="F206" t="s">
        <v>558</v>
      </c>
      <c r="G206" t="s">
        <v>559</v>
      </c>
      <c r="H206" t="s">
        <v>55</v>
      </c>
      <c r="I206">
        <f>ROUND(4/100,9)</f>
        <v>0.04</v>
      </c>
      <c r="J206">
        <v>0</v>
      </c>
      <c r="O206">
        <f t="shared" si="210"/>
        <v>122.48</v>
      </c>
      <c r="P206">
        <f t="shared" si="211"/>
        <v>27.7</v>
      </c>
      <c r="Q206">
        <f t="shared" si="212"/>
        <v>1.25</v>
      </c>
      <c r="R206">
        <f t="shared" si="213"/>
        <v>0.17</v>
      </c>
      <c r="S206">
        <f t="shared" si="214"/>
        <v>93.53</v>
      </c>
      <c r="T206">
        <f t="shared" si="215"/>
        <v>0</v>
      </c>
      <c r="U206">
        <f t="shared" si="216"/>
        <v>1.4052000000000002</v>
      </c>
      <c r="V206">
        <f t="shared" si="217"/>
        <v>2E-3</v>
      </c>
      <c r="W206">
        <f t="shared" si="218"/>
        <v>0</v>
      </c>
      <c r="X206">
        <f t="shared" si="219"/>
        <v>89.02</v>
      </c>
      <c r="Y206">
        <f t="shared" si="220"/>
        <v>60.91</v>
      </c>
      <c r="AA206">
        <v>16812721</v>
      </c>
      <c r="AB206">
        <f t="shared" si="221"/>
        <v>456.35</v>
      </c>
      <c r="AC206">
        <f t="shared" si="244"/>
        <v>103.19</v>
      </c>
      <c r="AD206">
        <f t="shared" si="245"/>
        <v>4.67</v>
      </c>
      <c r="AE206">
        <f t="shared" si="246"/>
        <v>0.64</v>
      </c>
      <c r="AF206">
        <f t="shared" si="247"/>
        <v>348.49</v>
      </c>
      <c r="AG206">
        <f t="shared" si="222"/>
        <v>0</v>
      </c>
      <c r="AH206">
        <f t="shared" si="248"/>
        <v>35.130000000000003</v>
      </c>
      <c r="AI206">
        <f t="shared" si="249"/>
        <v>0.05</v>
      </c>
      <c r="AJ206">
        <f t="shared" si="223"/>
        <v>0</v>
      </c>
      <c r="AK206">
        <v>456.35</v>
      </c>
      <c r="AL206">
        <v>103.19</v>
      </c>
      <c r="AM206">
        <v>4.67</v>
      </c>
      <c r="AN206">
        <v>0.64</v>
      </c>
      <c r="AO206">
        <v>348.49</v>
      </c>
      <c r="AP206">
        <v>0</v>
      </c>
      <c r="AQ206">
        <v>35.130000000000003</v>
      </c>
      <c r="AR206">
        <v>0.05</v>
      </c>
      <c r="AS206">
        <v>0</v>
      </c>
      <c r="AT206">
        <v>95</v>
      </c>
      <c r="AU206">
        <v>65</v>
      </c>
      <c r="AV206">
        <v>1</v>
      </c>
      <c r="AW206">
        <v>1</v>
      </c>
      <c r="AZ206">
        <v>6.71</v>
      </c>
      <c r="BA206">
        <v>6.71</v>
      </c>
      <c r="BB206">
        <v>6.71</v>
      </c>
      <c r="BC206">
        <v>6.71</v>
      </c>
      <c r="BD206" t="s">
        <v>6</v>
      </c>
      <c r="BE206" t="s">
        <v>6</v>
      </c>
      <c r="BF206" t="s">
        <v>6</v>
      </c>
      <c r="BG206" t="s">
        <v>6</v>
      </c>
      <c r="BH206">
        <v>0</v>
      </c>
      <c r="BI206">
        <v>2</v>
      </c>
      <c r="BJ206" t="s">
        <v>560</v>
      </c>
      <c r="BM206">
        <v>108001</v>
      </c>
      <c r="BN206">
        <v>0</v>
      </c>
      <c r="BO206" t="s">
        <v>6</v>
      </c>
      <c r="BP206">
        <v>0</v>
      </c>
      <c r="BQ206">
        <v>3</v>
      </c>
      <c r="BR206">
        <v>0</v>
      </c>
      <c r="BS206">
        <v>6.71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6</v>
      </c>
      <c r="BZ206">
        <v>95</v>
      </c>
      <c r="CA206">
        <v>65</v>
      </c>
      <c r="CE206">
        <v>0</v>
      </c>
      <c r="CF206">
        <v>0</v>
      </c>
      <c r="CG206">
        <v>0</v>
      </c>
      <c r="CM206">
        <v>0</v>
      </c>
      <c r="CN206" t="s">
        <v>6</v>
      </c>
      <c r="CO206">
        <v>0</v>
      </c>
      <c r="CP206">
        <f t="shared" si="224"/>
        <v>122.48</v>
      </c>
      <c r="CQ206">
        <f t="shared" si="225"/>
        <v>692.4049</v>
      </c>
      <c r="CR206">
        <f t="shared" si="226"/>
        <v>31.335699999999999</v>
      </c>
      <c r="CS206">
        <f t="shared" si="227"/>
        <v>4.2944000000000004</v>
      </c>
      <c r="CT206">
        <f t="shared" si="228"/>
        <v>2338.3679000000002</v>
      </c>
      <c r="CU206">
        <f t="shared" si="229"/>
        <v>0</v>
      </c>
      <c r="CV206">
        <f t="shared" si="230"/>
        <v>35.130000000000003</v>
      </c>
      <c r="CW206">
        <f t="shared" si="231"/>
        <v>0.05</v>
      </c>
      <c r="CX206">
        <f t="shared" si="232"/>
        <v>0</v>
      </c>
      <c r="CY206">
        <f t="shared" si="233"/>
        <v>89.015000000000001</v>
      </c>
      <c r="CZ206">
        <f t="shared" si="234"/>
        <v>60.905000000000001</v>
      </c>
      <c r="DC206" t="s">
        <v>6</v>
      </c>
      <c r="DD206" t="s">
        <v>6</v>
      </c>
      <c r="DE206" t="s">
        <v>6</v>
      </c>
      <c r="DF206" t="s">
        <v>6</v>
      </c>
      <c r="DG206" t="s">
        <v>6</v>
      </c>
      <c r="DH206" t="s">
        <v>6</v>
      </c>
      <c r="DI206" t="s">
        <v>6</v>
      </c>
      <c r="DJ206" t="s">
        <v>6</v>
      </c>
      <c r="DK206" t="s">
        <v>6</v>
      </c>
      <c r="DL206" t="s">
        <v>6</v>
      </c>
      <c r="DM206" t="s">
        <v>6</v>
      </c>
      <c r="DN206">
        <v>0</v>
      </c>
      <c r="DO206">
        <v>0</v>
      </c>
      <c r="DP206">
        <v>1</v>
      </c>
      <c r="DQ206">
        <v>1</v>
      </c>
      <c r="DU206">
        <v>1013</v>
      </c>
      <c r="DV206" t="s">
        <v>55</v>
      </c>
      <c r="DW206" t="s">
        <v>55</v>
      </c>
      <c r="DX206">
        <v>1</v>
      </c>
      <c r="EE206">
        <v>16510370</v>
      </c>
      <c r="EF206">
        <v>3</v>
      </c>
      <c r="EG206" t="s">
        <v>472</v>
      </c>
      <c r="EH206">
        <v>0</v>
      </c>
      <c r="EI206" t="s">
        <v>6</v>
      </c>
      <c r="EJ206">
        <v>2</v>
      </c>
      <c r="EK206">
        <v>108001</v>
      </c>
      <c r="EL206" t="s">
        <v>473</v>
      </c>
      <c r="EM206" t="s">
        <v>474</v>
      </c>
      <c r="EO206" t="s">
        <v>6</v>
      </c>
      <c r="EQ206">
        <v>131072</v>
      </c>
      <c r="ER206">
        <v>456.35</v>
      </c>
      <c r="ES206">
        <v>103.19</v>
      </c>
      <c r="ET206">
        <v>4.67</v>
      </c>
      <c r="EU206">
        <v>0.64</v>
      </c>
      <c r="EV206">
        <v>348.49</v>
      </c>
      <c r="EW206">
        <v>35.130000000000003</v>
      </c>
      <c r="EX206">
        <v>0.05</v>
      </c>
      <c r="EY206">
        <v>0</v>
      </c>
      <c r="FQ206">
        <v>0</v>
      </c>
      <c r="FR206">
        <f t="shared" si="235"/>
        <v>0</v>
      </c>
      <c r="FS206">
        <v>0</v>
      </c>
      <c r="FX206">
        <v>95</v>
      </c>
      <c r="FY206">
        <v>65</v>
      </c>
      <c r="GA206" t="s">
        <v>6</v>
      </c>
      <c r="GD206">
        <v>0</v>
      </c>
      <c r="GF206">
        <v>-991288307</v>
      </c>
      <c r="GG206">
        <v>1</v>
      </c>
      <c r="GH206">
        <v>1</v>
      </c>
      <c r="GI206">
        <v>4</v>
      </c>
      <c r="GJ206">
        <v>0</v>
      </c>
      <c r="GK206">
        <f>ROUND(R206*(R12)/100,2)</f>
        <v>0</v>
      </c>
      <c r="GL206">
        <f t="shared" si="236"/>
        <v>0</v>
      </c>
      <c r="GM206">
        <f t="shared" si="237"/>
        <v>272.41000000000003</v>
      </c>
      <c r="GN206">
        <f t="shared" si="238"/>
        <v>0</v>
      </c>
      <c r="GO206">
        <f t="shared" si="239"/>
        <v>272.41000000000003</v>
      </c>
      <c r="GP206">
        <f t="shared" si="240"/>
        <v>0</v>
      </c>
      <c r="GR206">
        <v>0</v>
      </c>
      <c r="GS206">
        <v>3</v>
      </c>
      <c r="GT206">
        <v>0</v>
      </c>
      <c r="GU206" t="s">
        <v>6</v>
      </c>
      <c r="GV206">
        <f t="shared" si="241"/>
        <v>0</v>
      </c>
      <c r="GW206">
        <v>1</v>
      </c>
      <c r="GX206">
        <f t="shared" si="242"/>
        <v>0</v>
      </c>
      <c r="HA206">
        <v>0</v>
      </c>
      <c r="HB206">
        <v>0</v>
      </c>
      <c r="HC206">
        <f t="shared" si="243"/>
        <v>0</v>
      </c>
      <c r="IK206">
        <v>0</v>
      </c>
    </row>
    <row r="207" spans="1:245" x14ac:dyDescent="0.2">
      <c r="A207">
        <v>18</v>
      </c>
      <c r="B207">
        <v>1</v>
      </c>
      <c r="C207">
        <v>344</v>
      </c>
      <c r="E207" t="s">
        <v>561</v>
      </c>
      <c r="F207" t="s">
        <v>562</v>
      </c>
      <c r="G207" t="s">
        <v>563</v>
      </c>
      <c r="H207" t="s">
        <v>516</v>
      </c>
      <c r="I207">
        <f>I206*J207</f>
        <v>0.4</v>
      </c>
      <c r="J207">
        <v>10</v>
      </c>
      <c r="O207">
        <f t="shared" si="210"/>
        <v>229.75</v>
      </c>
      <c r="P207">
        <f t="shared" si="211"/>
        <v>229.75</v>
      </c>
      <c r="Q207">
        <f t="shared" si="212"/>
        <v>0</v>
      </c>
      <c r="R207">
        <f t="shared" si="213"/>
        <v>0</v>
      </c>
      <c r="S207">
        <f t="shared" si="214"/>
        <v>0</v>
      </c>
      <c r="T207">
        <f t="shared" si="215"/>
        <v>0</v>
      </c>
      <c r="U207">
        <f t="shared" si="216"/>
        <v>0</v>
      </c>
      <c r="V207">
        <f t="shared" si="217"/>
        <v>0</v>
      </c>
      <c r="W207">
        <f t="shared" si="218"/>
        <v>0</v>
      </c>
      <c r="X207">
        <f t="shared" si="219"/>
        <v>0</v>
      </c>
      <c r="Y207">
        <f t="shared" si="220"/>
        <v>0</v>
      </c>
      <c r="AA207">
        <v>16812721</v>
      </c>
      <c r="AB207">
        <f t="shared" si="221"/>
        <v>85.6</v>
      </c>
      <c r="AC207">
        <f t="shared" si="244"/>
        <v>85.6</v>
      </c>
      <c r="AD207">
        <f t="shared" si="245"/>
        <v>0</v>
      </c>
      <c r="AE207">
        <f t="shared" si="246"/>
        <v>0</v>
      </c>
      <c r="AF207">
        <f t="shared" si="247"/>
        <v>0</v>
      </c>
      <c r="AG207">
        <f t="shared" si="222"/>
        <v>0</v>
      </c>
      <c r="AH207">
        <f t="shared" si="248"/>
        <v>0</v>
      </c>
      <c r="AI207">
        <f t="shared" si="249"/>
        <v>0</v>
      </c>
      <c r="AJ207">
        <f t="shared" si="223"/>
        <v>0</v>
      </c>
      <c r="AK207">
        <v>85.6</v>
      </c>
      <c r="AL207">
        <v>85.6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95</v>
      </c>
      <c r="AU207">
        <v>65</v>
      </c>
      <c r="AV207">
        <v>1</v>
      </c>
      <c r="AW207">
        <v>1</v>
      </c>
      <c r="AZ207">
        <v>6.71</v>
      </c>
      <c r="BA207">
        <v>1</v>
      </c>
      <c r="BB207">
        <v>1</v>
      </c>
      <c r="BC207">
        <v>6.71</v>
      </c>
      <c r="BD207" t="s">
        <v>6</v>
      </c>
      <c r="BE207" t="s">
        <v>6</v>
      </c>
      <c r="BF207" t="s">
        <v>6</v>
      </c>
      <c r="BG207" t="s">
        <v>6</v>
      </c>
      <c r="BH207">
        <v>3</v>
      </c>
      <c r="BI207">
        <v>2</v>
      </c>
      <c r="BJ207" t="s">
        <v>564</v>
      </c>
      <c r="BM207">
        <v>108001</v>
      </c>
      <c r="BN207">
        <v>0</v>
      </c>
      <c r="BO207" t="s">
        <v>6</v>
      </c>
      <c r="BP207">
        <v>0</v>
      </c>
      <c r="BQ207">
        <v>3</v>
      </c>
      <c r="BR207">
        <v>0</v>
      </c>
      <c r="BS207">
        <v>1</v>
      </c>
      <c r="BT207">
        <v>1</v>
      </c>
      <c r="BU207">
        <v>1</v>
      </c>
      <c r="BV207">
        <v>1</v>
      </c>
      <c r="BW207">
        <v>1</v>
      </c>
      <c r="BX207">
        <v>1</v>
      </c>
      <c r="BY207" t="s">
        <v>6</v>
      </c>
      <c r="BZ207">
        <v>95</v>
      </c>
      <c r="CA207">
        <v>65</v>
      </c>
      <c r="CE207">
        <v>0</v>
      </c>
      <c r="CF207">
        <v>0</v>
      </c>
      <c r="CG207">
        <v>0</v>
      </c>
      <c r="CM207">
        <v>0</v>
      </c>
      <c r="CN207" t="s">
        <v>6</v>
      </c>
      <c r="CO207">
        <v>0</v>
      </c>
      <c r="CP207">
        <f t="shared" si="224"/>
        <v>229.75</v>
      </c>
      <c r="CQ207">
        <f t="shared" si="225"/>
        <v>574.37599999999998</v>
      </c>
      <c r="CR207">
        <f t="shared" si="226"/>
        <v>0</v>
      </c>
      <c r="CS207">
        <f t="shared" si="227"/>
        <v>0</v>
      </c>
      <c r="CT207">
        <f t="shared" si="228"/>
        <v>0</v>
      </c>
      <c r="CU207">
        <f t="shared" si="229"/>
        <v>0</v>
      </c>
      <c r="CV207">
        <f t="shared" si="230"/>
        <v>0</v>
      </c>
      <c r="CW207">
        <f t="shared" si="231"/>
        <v>0</v>
      </c>
      <c r="CX207">
        <f t="shared" si="232"/>
        <v>0</v>
      </c>
      <c r="CY207">
        <f t="shared" si="233"/>
        <v>0</v>
      </c>
      <c r="CZ207">
        <f t="shared" si="234"/>
        <v>0</v>
      </c>
      <c r="DC207" t="s">
        <v>6</v>
      </c>
      <c r="DD207" t="s">
        <v>6</v>
      </c>
      <c r="DE207" t="s">
        <v>6</v>
      </c>
      <c r="DF207" t="s">
        <v>6</v>
      </c>
      <c r="DG207" t="s">
        <v>6</v>
      </c>
      <c r="DH207" t="s">
        <v>6</v>
      </c>
      <c r="DI207" t="s">
        <v>6</v>
      </c>
      <c r="DJ207" t="s">
        <v>6</v>
      </c>
      <c r="DK207" t="s">
        <v>6</v>
      </c>
      <c r="DL207" t="s">
        <v>6</v>
      </c>
      <c r="DM207" t="s">
        <v>6</v>
      </c>
      <c r="DN207">
        <v>0</v>
      </c>
      <c r="DO207">
        <v>0</v>
      </c>
      <c r="DP207">
        <v>1</v>
      </c>
      <c r="DQ207">
        <v>1</v>
      </c>
      <c r="DU207">
        <v>1010</v>
      </c>
      <c r="DV207" t="s">
        <v>516</v>
      </c>
      <c r="DW207" t="s">
        <v>516</v>
      </c>
      <c r="DX207">
        <v>10</v>
      </c>
      <c r="EE207">
        <v>16510370</v>
      </c>
      <c r="EF207">
        <v>3</v>
      </c>
      <c r="EG207" t="s">
        <v>472</v>
      </c>
      <c r="EH207">
        <v>0</v>
      </c>
      <c r="EI207" t="s">
        <v>6</v>
      </c>
      <c r="EJ207">
        <v>2</v>
      </c>
      <c r="EK207">
        <v>108001</v>
      </c>
      <c r="EL207" t="s">
        <v>473</v>
      </c>
      <c r="EM207" t="s">
        <v>474</v>
      </c>
      <c r="EO207" t="s">
        <v>6</v>
      </c>
      <c r="EQ207">
        <v>0</v>
      </c>
      <c r="ER207">
        <v>85.6</v>
      </c>
      <c r="ES207">
        <v>85.6</v>
      </c>
      <c r="ET207">
        <v>0</v>
      </c>
      <c r="EU207">
        <v>0</v>
      </c>
      <c r="EV207">
        <v>0</v>
      </c>
      <c r="EW207">
        <v>0</v>
      </c>
      <c r="EX207">
        <v>0</v>
      </c>
      <c r="FQ207">
        <v>0</v>
      </c>
      <c r="FR207">
        <f t="shared" si="235"/>
        <v>0</v>
      </c>
      <c r="FS207">
        <v>0</v>
      </c>
      <c r="FX207">
        <v>95</v>
      </c>
      <c r="FY207">
        <v>65</v>
      </c>
      <c r="GA207" t="s">
        <v>6</v>
      </c>
      <c r="GD207">
        <v>0</v>
      </c>
      <c r="GF207">
        <v>-265205787</v>
      </c>
      <c r="GG207">
        <v>1</v>
      </c>
      <c r="GH207">
        <v>1</v>
      </c>
      <c r="GI207">
        <v>4</v>
      </c>
      <c r="GJ207">
        <v>0</v>
      </c>
      <c r="GK207">
        <f>ROUND(R207*(R12)/100,2)</f>
        <v>0</v>
      </c>
      <c r="GL207">
        <f t="shared" si="236"/>
        <v>0</v>
      </c>
      <c r="GM207">
        <f t="shared" si="237"/>
        <v>229.75</v>
      </c>
      <c r="GN207">
        <f t="shared" si="238"/>
        <v>0</v>
      </c>
      <c r="GO207">
        <f t="shared" si="239"/>
        <v>229.75</v>
      </c>
      <c r="GP207">
        <f t="shared" si="240"/>
        <v>0</v>
      </c>
      <c r="GR207">
        <v>0</v>
      </c>
      <c r="GS207">
        <v>3</v>
      </c>
      <c r="GT207">
        <v>0</v>
      </c>
      <c r="GU207" t="s">
        <v>6</v>
      </c>
      <c r="GV207">
        <f t="shared" si="241"/>
        <v>0</v>
      </c>
      <c r="GW207">
        <v>1</v>
      </c>
      <c r="GX207">
        <f t="shared" si="242"/>
        <v>0</v>
      </c>
      <c r="HA207">
        <v>0</v>
      </c>
      <c r="HB207">
        <v>0</v>
      </c>
      <c r="HC207">
        <f t="shared" si="243"/>
        <v>0</v>
      </c>
      <c r="IK207">
        <v>0</v>
      </c>
    </row>
    <row r="208" spans="1:245" x14ac:dyDescent="0.2">
      <c r="A208">
        <v>17</v>
      </c>
      <c r="B208">
        <v>1</v>
      </c>
      <c r="C208">
        <f>ROW(SmtRes!A356)</f>
        <v>356</v>
      </c>
      <c r="D208">
        <f>ROW(EtalonRes!A342)</f>
        <v>342</v>
      </c>
      <c r="E208" t="s">
        <v>565</v>
      </c>
      <c r="F208" t="s">
        <v>566</v>
      </c>
      <c r="G208" t="s">
        <v>567</v>
      </c>
      <c r="H208" t="s">
        <v>55</v>
      </c>
      <c r="I208">
        <f>ROUND(87/100,9)</f>
        <v>0.87</v>
      </c>
      <c r="J208">
        <v>0</v>
      </c>
      <c r="O208">
        <f t="shared" si="210"/>
        <v>2649.91</v>
      </c>
      <c r="P208">
        <f t="shared" si="211"/>
        <v>621.25</v>
      </c>
      <c r="Q208">
        <f t="shared" si="212"/>
        <v>27.26</v>
      </c>
      <c r="R208">
        <f t="shared" si="213"/>
        <v>3.74</v>
      </c>
      <c r="S208">
        <f t="shared" si="214"/>
        <v>2001.4</v>
      </c>
      <c r="T208">
        <f t="shared" si="215"/>
        <v>0</v>
      </c>
      <c r="U208">
        <f t="shared" si="216"/>
        <v>30.067200000000003</v>
      </c>
      <c r="V208">
        <f t="shared" si="217"/>
        <v>4.3500000000000004E-2</v>
      </c>
      <c r="W208">
        <f t="shared" si="218"/>
        <v>0</v>
      </c>
      <c r="X208">
        <f t="shared" si="219"/>
        <v>1904.88</v>
      </c>
      <c r="Y208">
        <f t="shared" si="220"/>
        <v>1303.3399999999999</v>
      </c>
      <c r="AA208">
        <v>16812721</v>
      </c>
      <c r="AB208">
        <f t="shared" si="221"/>
        <v>453.93</v>
      </c>
      <c r="AC208">
        <f t="shared" si="244"/>
        <v>106.42</v>
      </c>
      <c r="AD208">
        <f t="shared" si="245"/>
        <v>4.67</v>
      </c>
      <c r="AE208">
        <f t="shared" si="246"/>
        <v>0.64</v>
      </c>
      <c r="AF208">
        <f t="shared" si="247"/>
        <v>342.84</v>
      </c>
      <c r="AG208">
        <f t="shared" si="222"/>
        <v>0</v>
      </c>
      <c r="AH208">
        <f t="shared" si="248"/>
        <v>34.56</v>
      </c>
      <c r="AI208">
        <f t="shared" si="249"/>
        <v>0.05</v>
      </c>
      <c r="AJ208">
        <f t="shared" si="223"/>
        <v>0</v>
      </c>
      <c r="AK208">
        <v>453.93</v>
      </c>
      <c r="AL208">
        <v>106.42</v>
      </c>
      <c r="AM208">
        <v>4.67</v>
      </c>
      <c r="AN208">
        <v>0.64</v>
      </c>
      <c r="AO208">
        <v>342.84</v>
      </c>
      <c r="AP208">
        <v>0</v>
      </c>
      <c r="AQ208">
        <v>34.56</v>
      </c>
      <c r="AR208">
        <v>0.05</v>
      </c>
      <c r="AS208">
        <v>0</v>
      </c>
      <c r="AT208">
        <v>95</v>
      </c>
      <c r="AU208">
        <v>65</v>
      </c>
      <c r="AV208">
        <v>1</v>
      </c>
      <c r="AW208">
        <v>1</v>
      </c>
      <c r="AZ208">
        <v>6.71</v>
      </c>
      <c r="BA208">
        <v>6.71</v>
      </c>
      <c r="BB208">
        <v>6.71</v>
      </c>
      <c r="BC208">
        <v>6.71</v>
      </c>
      <c r="BD208" t="s">
        <v>6</v>
      </c>
      <c r="BE208" t="s">
        <v>6</v>
      </c>
      <c r="BF208" t="s">
        <v>6</v>
      </c>
      <c r="BG208" t="s">
        <v>6</v>
      </c>
      <c r="BH208">
        <v>0</v>
      </c>
      <c r="BI208">
        <v>2</v>
      </c>
      <c r="BJ208" t="s">
        <v>568</v>
      </c>
      <c r="BM208">
        <v>108001</v>
      </c>
      <c r="BN208">
        <v>0</v>
      </c>
      <c r="BO208" t="s">
        <v>6</v>
      </c>
      <c r="BP208">
        <v>0</v>
      </c>
      <c r="BQ208">
        <v>3</v>
      </c>
      <c r="BR208">
        <v>0</v>
      </c>
      <c r="BS208">
        <v>6.71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6</v>
      </c>
      <c r="BZ208">
        <v>95</v>
      </c>
      <c r="CA208">
        <v>65</v>
      </c>
      <c r="CE208">
        <v>0</v>
      </c>
      <c r="CF208">
        <v>0</v>
      </c>
      <c r="CG208">
        <v>0</v>
      </c>
      <c r="CM208">
        <v>0</v>
      </c>
      <c r="CN208" t="s">
        <v>6</v>
      </c>
      <c r="CO208">
        <v>0</v>
      </c>
      <c r="CP208">
        <f t="shared" si="224"/>
        <v>2649.91</v>
      </c>
      <c r="CQ208">
        <f t="shared" si="225"/>
        <v>714.07820000000004</v>
      </c>
      <c r="CR208">
        <f t="shared" si="226"/>
        <v>31.335699999999999</v>
      </c>
      <c r="CS208">
        <f t="shared" si="227"/>
        <v>4.2944000000000004</v>
      </c>
      <c r="CT208">
        <f t="shared" si="228"/>
        <v>2300.4564</v>
      </c>
      <c r="CU208">
        <f t="shared" si="229"/>
        <v>0</v>
      </c>
      <c r="CV208">
        <f t="shared" si="230"/>
        <v>34.56</v>
      </c>
      <c r="CW208">
        <f t="shared" si="231"/>
        <v>0.05</v>
      </c>
      <c r="CX208">
        <f t="shared" si="232"/>
        <v>0</v>
      </c>
      <c r="CY208">
        <f t="shared" si="233"/>
        <v>1904.8830000000003</v>
      </c>
      <c r="CZ208">
        <f t="shared" si="234"/>
        <v>1303.3410000000001</v>
      </c>
      <c r="DC208" t="s">
        <v>6</v>
      </c>
      <c r="DD208" t="s">
        <v>6</v>
      </c>
      <c r="DE208" t="s">
        <v>6</v>
      </c>
      <c r="DF208" t="s">
        <v>6</v>
      </c>
      <c r="DG208" t="s">
        <v>6</v>
      </c>
      <c r="DH208" t="s">
        <v>6</v>
      </c>
      <c r="DI208" t="s">
        <v>6</v>
      </c>
      <c r="DJ208" t="s">
        <v>6</v>
      </c>
      <c r="DK208" t="s">
        <v>6</v>
      </c>
      <c r="DL208" t="s">
        <v>6</v>
      </c>
      <c r="DM208" t="s">
        <v>6</v>
      </c>
      <c r="DN208">
        <v>0</v>
      </c>
      <c r="DO208">
        <v>0</v>
      </c>
      <c r="DP208">
        <v>1</v>
      </c>
      <c r="DQ208">
        <v>1</v>
      </c>
      <c r="DU208">
        <v>1013</v>
      </c>
      <c r="DV208" t="s">
        <v>55</v>
      </c>
      <c r="DW208" t="s">
        <v>55</v>
      </c>
      <c r="DX208">
        <v>1</v>
      </c>
      <c r="EE208">
        <v>16510370</v>
      </c>
      <c r="EF208">
        <v>3</v>
      </c>
      <c r="EG208" t="s">
        <v>472</v>
      </c>
      <c r="EH208">
        <v>0</v>
      </c>
      <c r="EI208" t="s">
        <v>6</v>
      </c>
      <c r="EJ208">
        <v>2</v>
      </c>
      <c r="EK208">
        <v>108001</v>
      </c>
      <c r="EL208" t="s">
        <v>473</v>
      </c>
      <c r="EM208" t="s">
        <v>474</v>
      </c>
      <c r="EO208" t="s">
        <v>6</v>
      </c>
      <c r="EQ208">
        <v>131072</v>
      </c>
      <c r="ER208">
        <v>453.93</v>
      </c>
      <c r="ES208">
        <v>106.42</v>
      </c>
      <c r="ET208">
        <v>4.67</v>
      </c>
      <c r="EU208">
        <v>0.64</v>
      </c>
      <c r="EV208">
        <v>342.84</v>
      </c>
      <c r="EW208">
        <v>34.56</v>
      </c>
      <c r="EX208">
        <v>0.05</v>
      </c>
      <c r="EY208">
        <v>0</v>
      </c>
      <c r="FQ208">
        <v>0</v>
      </c>
      <c r="FR208">
        <f t="shared" si="235"/>
        <v>0</v>
      </c>
      <c r="FS208">
        <v>0</v>
      </c>
      <c r="FX208">
        <v>95</v>
      </c>
      <c r="FY208">
        <v>65</v>
      </c>
      <c r="GA208" t="s">
        <v>6</v>
      </c>
      <c r="GD208">
        <v>0</v>
      </c>
      <c r="GF208">
        <v>1188648583</v>
      </c>
      <c r="GG208">
        <v>1</v>
      </c>
      <c r="GH208">
        <v>1</v>
      </c>
      <c r="GI208">
        <v>4</v>
      </c>
      <c r="GJ208">
        <v>0</v>
      </c>
      <c r="GK208">
        <f>ROUND(R208*(R12)/100,2)</f>
        <v>0</v>
      </c>
      <c r="GL208">
        <f t="shared" si="236"/>
        <v>0</v>
      </c>
      <c r="GM208">
        <f t="shared" si="237"/>
        <v>5858.13</v>
      </c>
      <c r="GN208">
        <f t="shared" si="238"/>
        <v>0</v>
      </c>
      <c r="GO208">
        <f t="shared" si="239"/>
        <v>5858.13</v>
      </c>
      <c r="GP208">
        <f t="shared" si="240"/>
        <v>0</v>
      </c>
      <c r="GR208">
        <v>0</v>
      </c>
      <c r="GS208">
        <v>3</v>
      </c>
      <c r="GT208">
        <v>0</v>
      </c>
      <c r="GU208" t="s">
        <v>6</v>
      </c>
      <c r="GV208">
        <f t="shared" si="241"/>
        <v>0</v>
      </c>
      <c r="GW208">
        <v>1</v>
      </c>
      <c r="GX208">
        <f t="shared" si="242"/>
        <v>0</v>
      </c>
      <c r="HA208">
        <v>0</v>
      </c>
      <c r="HB208">
        <v>0</v>
      </c>
      <c r="HC208">
        <f t="shared" si="243"/>
        <v>0</v>
      </c>
      <c r="IK208">
        <v>0</v>
      </c>
    </row>
    <row r="209" spans="1:245" x14ac:dyDescent="0.2">
      <c r="A209">
        <v>18</v>
      </c>
      <c r="B209">
        <v>1</v>
      </c>
      <c r="C209">
        <v>354</v>
      </c>
      <c r="E209" t="s">
        <v>569</v>
      </c>
      <c r="F209" t="s">
        <v>570</v>
      </c>
      <c r="G209" t="s">
        <v>571</v>
      </c>
      <c r="H209" t="s">
        <v>188</v>
      </c>
      <c r="I209">
        <f>I208*J209</f>
        <v>0.8</v>
      </c>
      <c r="J209">
        <v>0.91954022988505757</v>
      </c>
      <c r="O209">
        <f t="shared" si="210"/>
        <v>4825.83</v>
      </c>
      <c r="P209">
        <f t="shared" si="211"/>
        <v>4825.83</v>
      </c>
      <c r="Q209">
        <f t="shared" si="212"/>
        <v>0</v>
      </c>
      <c r="R209">
        <f t="shared" si="213"/>
        <v>0</v>
      </c>
      <c r="S209">
        <f t="shared" si="214"/>
        <v>0</v>
      </c>
      <c r="T209">
        <f t="shared" si="215"/>
        <v>0</v>
      </c>
      <c r="U209">
        <f t="shared" si="216"/>
        <v>0</v>
      </c>
      <c r="V209">
        <f t="shared" si="217"/>
        <v>0</v>
      </c>
      <c r="W209">
        <f t="shared" si="218"/>
        <v>0</v>
      </c>
      <c r="X209">
        <f t="shared" si="219"/>
        <v>0</v>
      </c>
      <c r="Y209">
        <f t="shared" si="220"/>
        <v>0</v>
      </c>
      <c r="AA209">
        <v>16812721</v>
      </c>
      <c r="AB209">
        <f t="shared" si="221"/>
        <v>899</v>
      </c>
      <c r="AC209">
        <f t="shared" si="244"/>
        <v>899</v>
      </c>
      <c r="AD209">
        <f t="shared" si="245"/>
        <v>0</v>
      </c>
      <c r="AE209">
        <f t="shared" si="246"/>
        <v>0</v>
      </c>
      <c r="AF209">
        <f t="shared" si="247"/>
        <v>0</v>
      </c>
      <c r="AG209">
        <f t="shared" si="222"/>
        <v>0</v>
      </c>
      <c r="AH209">
        <f t="shared" si="248"/>
        <v>0</v>
      </c>
      <c r="AI209">
        <f t="shared" si="249"/>
        <v>0</v>
      </c>
      <c r="AJ209">
        <f t="shared" si="223"/>
        <v>0</v>
      </c>
      <c r="AK209">
        <v>899</v>
      </c>
      <c r="AL209">
        <v>899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95</v>
      </c>
      <c r="AU209">
        <v>65</v>
      </c>
      <c r="AV209">
        <v>1</v>
      </c>
      <c r="AW209">
        <v>1</v>
      </c>
      <c r="AZ209">
        <v>6.71</v>
      </c>
      <c r="BA209">
        <v>1</v>
      </c>
      <c r="BB209">
        <v>1</v>
      </c>
      <c r="BC209">
        <v>6.71</v>
      </c>
      <c r="BD209" t="s">
        <v>6</v>
      </c>
      <c r="BE209" t="s">
        <v>6</v>
      </c>
      <c r="BF209" t="s">
        <v>6</v>
      </c>
      <c r="BG209" t="s">
        <v>6</v>
      </c>
      <c r="BH209">
        <v>3</v>
      </c>
      <c r="BI209">
        <v>2</v>
      </c>
      <c r="BJ209" t="s">
        <v>572</v>
      </c>
      <c r="BM209">
        <v>108001</v>
      </c>
      <c r="BN209">
        <v>0</v>
      </c>
      <c r="BO209" t="s">
        <v>6</v>
      </c>
      <c r="BP209">
        <v>0</v>
      </c>
      <c r="BQ209">
        <v>3</v>
      </c>
      <c r="BR209">
        <v>0</v>
      </c>
      <c r="BS209">
        <v>1</v>
      </c>
      <c r="BT209">
        <v>1</v>
      </c>
      <c r="BU209">
        <v>1</v>
      </c>
      <c r="BV209">
        <v>1</v>
      </c>
      <c r="BW209">
        <v>1</v>
      </c>
      <c r="BX209">
        <v>1</v>
      </c>
      <c r="BY209" t="s">
        <v>6</v>
      </c>
      <c r="BZ209">
        <v>95</v>
      </c>
      <c r="CA209">
        <v>65</v>
      </c>
      <c r="CE209">
        <v>0</v>
      </c>
      <c r="CF209">
        <v>0</v>
      </c>
      <c r="CG209">
        <v>0</v>
      </c>
      <c r="CM209">
        <v>0</v>
      </c>
      <c r="CN209" t="s">
        <v>6</v>
      </c>
      <c r="CO209">
        <v>0</v>
      </c>
      <c r="CP209">
        <f t="shared" si="224"/>
        <v>4825.83</v>
      </c>
      <c r="CQ209">
        <f t="shared" si="225"/>
        <v>6032.29</v>
      </c>
      <c r="CR209">
        <f t="shared" si="226"/>
        <v>0</v>
      </c>
      <c r="CS209">
        <f t="shared" si="227"/>
        <v>0</v>
      </c>
      <c r="CT209">
        <f t="shared" si="228"/>
        <v>0</v>
      </c>
      <c r="CU209">
        <f t="shared" si="229"/>
        <v>0</v>
      </c>
      <c r="CV209">
        <f t="shared" si="230"/>
        <v>0</v>
      </c>
      <c r="CW209">
        <f t="shared" si="231"/>
        <v>0</v>
      </c>
      <c r="CX209">
        <f t="shared" si="232"/>
        <v>0</v>
      </c>
      <c r="CY209">
        <f t="shared" si="233"/>
        <v>0</v>
      </c>
      <c r="CZ209">
        <f t="shared" si="234"/>
        <v>0</v>
      </c>
      <c r="DC209" t="s">
        <v>6</v>
      </c>
      <c r="DD209" t="s">
        <v>6</v>
      </c>
      <c r="DE209" t="s">
        <v>6</v>
      </c>
      <c r="DF209" t="s">
        <v>6</v>
      </c>
      <c r="DG209" t="s">
        <v>6</v>
      </c>
      <c r="DH209" t="s">
        <v>6</v>
      </c>
      <c r="DI209" t="s">
        <v>6</v>
      </c>
      <c r="DJ209" t="s">
        <v>6</v>
      </c>
      <c r="DK209" t="s">
        <v>6</v>
      </c>
      <c r="DL209" t="s">
        <v>6</v>
      </c>
      <c r="DM209" t="s">
        <v>6</v>
      </c>
      <c r="DN209">
        <v>0</v>
      </c>
      <c r="DO209">
        <v>0</v>
      </c>
      <c r="DP209">
        <v>1</v>
      </c>
      <c r="DQ209">
        <v>1</v>
      </c>
      <c r="DU209">
        <v>1010</v>
      </c>
      <c r="DV209" t="s">
        <v>188</v>
      </c>
      <c r="DW209" t="s">
        <v>188</v>
      </c>
      <c r="DX209">
        <v>100</v>
      </c>
      <c r="EE209">
        <v>16510370</v>
      </c>
      <c r="EF209">
        <v>3</v>
      </c>
      <c r="EG209" t="s">
        <v>472</v>
      </c>
      <c r="EH209">
        <v>0</v>
      </c>
      <c r="EI209" t="s">
        <v>6</v>
      </c>
      <c r="EJ209">
        <v>2</v>
      </c>
      <c r="EK209">
        <v>108001</v>
      </c>
      <c r="EL209" t="s">
        <v>473</v>
      </c>
      <c r="EM209" t="s">
        <v>474</v>
      </c>
      <c r="EO209" t="s">
        <v>6</v>
      </c>
      <c r="EQ209">
        <v>0</v>
      </c>
      <c r="ER209">
        <v>899</v>
      </c>
      <c r="ES209">
        <v>899</v>
      </c>
      <c r="ET209">
        <v>0</v>
      </c>
      <c r="EU209">
        <v>0</v>
      </c>
      <c r="EV209">
        <v>0</v>
      </c>
      <c r="EW209">
        <v>0</v>
      </c>
      <c r="EX209">
        <v>0</v>
      </c>
      <c r="FQ209">
        <v>0</v>
      </c>
      <c r="FR209">
        <f t="shared" si="235"/>
        <v>0</v>
      </c>
      <c r="FS209">
        <v>0</v>
      </c>
      <c r="FX209">
        <v>95</v>
      </c>
      <c r="FY209">
        <v>65</v>
      </c>
      <c r="GA209" t="s">
        <v>6</v>
      </c>
      <c r="GD209">
        <v>0</v>
      </c>
      <c r="GF209">
        <v>-2051776460</v>
      </c>
      <c r="GG209">
        <v>1</v>
      </c>
      <c r="GH209">
        <v>1</v>
      </c>
      <c r="GI209">
        <v>4</v>
      </c>
      <c r="GJ209">
        <v>0</v>
      </c>
      <c r="GK209">
        <f>ROUND(R209*(R12)/100,2)</f>
        <v>0</v>
      </c>
      <c r="GL209">
        <f t="shared" si="236"/>
        <v>0</v>
      </c>
      <c r="GM209">
        <f t="shared" si="237"/>
        <v>4825.83</v>
      </c>
      <c r="GN209">
        <f t="shared" si="238"/>
        <v>0</v>
      </c>
      <c r="GO209">
        <f t="shared" si="239"/>
        <v>4825.83</v>
      </c>
      <c r="GP209">
        <f t="shared" si="240"/>
        <v>0</v>
      </c>
      <c r="GR209">
        <v>0</v>
      </c>
      <c r="GS209">
        <v>3</v>
      </c>
      <c r="GT209">
        <v>0</v>
      </c>
      <c r="GU209" t="s">
        <v>6</v>
      </c>
      <c r="GV209">
        <f t="shared" si="241"/>
        <v>0</v>
      </c>
      <c r="GW209">
        <v>1</v>
      </c>
      <c r="GX209">
        <f t="shared" si="242"/>
        <v>0</v>
      </c>
      <c r="HA209">
        <v>0</v>
      </c>
      <c r="HB209">
        <v>0</v>
      </c>
      <c r="HC209">
        <f t="shared" si="243"/>
        <v>0</v>
      </c>
      <c r="IK209">
        <v>0</v>
      </c>
    </row>
    <row r="210" spans="1:245" x14ac:dyDescent="0.2">
      <c r="A210">
        <v>18</v>
      </c>
      <c r="B210">
        <v>1</v>
      </c>
      <c r="C210">
        <v>355</v>
      </c>
      <c r="E210" t="s">
        <v>573</v>
      </c>
      <c r="F210" t="s">
        <v>574</v>
      </c>
      <c r="G210" t="s">
        <v>575</v>
      </c>
      <c r="H210" t="s">
        <v>188</v>
      </c>
      <c r="I210">
        <f>I208*J210</f>
        <v>7.0000000000000007E-2</v>
      </c>
      <c r="J210">
        <v>8.0459770114942541E-2</v>
      </c>
      <c r="O210">
        <f t="shared" si="210"/>
        <v>344.76</v>
      </c>
      <c r="P210">
        <f t="shared" si="211"/>
        <v>344.76</v>
      </c>
      <c r="Q210">
        <f t="shared" si="212"/>
        <v>0</v>
      </c>
      <c r="R210">
        <f t="shared" si="213"/>
        <v>0</v>
      </c>
      <c r="S210">
        <f t="shared" si="214"/>
        <v>0</v>
      </c>
      <c r="T210">
        <f t="shared" si="215"/>
        <v>0</v>
      </c>
      <c r="U210">
        <f t="shared" si="216"/>
        <v>0</v>
      </c>
      <c r="V210">
        <f t="shared" si="217"/>
        <v>0</v>
      </c>
      <c r="W210">
        <f t="shared" si="218"/>
        <v>0</v>
      </c>
      <c r="X210">
        <f t="shared" si="219"/>
        <v>0</v>
      </c>
      <c r="Y210">
        <f t="shared" si="220"/>
        <v>0</v>
      </c>
      <c r="AA210">
        <v>16812721</v>
      </c>
      <c r="AB210">
        <f t="shared" si="221"/>
        <v>734</v>
      </c>
      <c r="AC210">
        <f t="shared" si="244"/>
        <v>734</v>
      </c>
      <c r="AD210">
        <f t="shared" si="245"/>
        <v>0</v>
      </c>
      <c r="AE210">
        <f t="shared" si="246"/>
        <v>0</v>
      </c>
      <c r="AF210">
        <f t="shared" si="247"/>
        <v>0</v>
      </c>
      <c r="AG210">
        <f t="shared" si="222"/>
        <v>0</v>
      </c>
      <c r="AH210">
        <f t="shared" si="248"/>
        <v>0</v>
      </c>
      <c r="AI210">
        <f t="shared" si="249"/>
        <v>0</v>
      </c>
      <c r="AJ210">
        <f t="shared" si="223"/>
        <v>0</v>
      </c>
      <c r="AK210">
        <v>734</v>
      </c>
      <c r="AL210">
        <v>734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95</v>
      </c>
      <c r="AU210">
        <v>65</v>
      </c>
      <c r="AV210">
        <v>1</v>
      </c>
      <c r="AW210">
        <v>1</v>
      </c>
      <c r="AZ210">
        <v>6.71</v>
      </c>
      <c r="BA210">
        <v>1</v>
      </c>
      <c r="BB210">
        <v>1</v>
      </c>
      <c r="BC210">
        <v>6.71</v>
      </c>
      <c r="BD210" t="s">
        <v>6</v>
      </c>
      <c r="BE210" t="s">
        <v>6</v>
      </c>
      <c r="BF210" t="s">
        <v>6</v>
      </c>
      <c r="BG210" t="s">
        <v>6</v>
      </c>
      <c r="BH210">
        <v>3</v>
      </c>
      <c r="BI210">
        <v>2</v>
      </c>
      <c r="BJ210" t="s">
        <v>576</v>
      </c>
      <c r="BM210">
        <v>108001</v>
      </c>
      <c r="BN210">
        <v>0</v>
      </c>
      <c r="BO210" t="s">
        <v>6</v>
      </c>
      <c r="BP210">
        <v>0</v>
      </c>
      <c r="BQ210">
        <v>3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6</v>
      </c>
      <c r="BZ210">
        <v>95</v>
      </c>
      <c r="CA210">
        <v>65</v>
      </c>
      <c r="CE210">
        <v>0</v>
      </c>
      <c r="CF210">
        <v>0</v>
      </c>
      <c r="CG210">
        <v>0</v>
      </c>
      <c r="CM210">
        <v>0</v>
      </c>
      <c r="CN210" t="s">
        <v>6</v>
      </c>
      <c r="CO210">
        <v>0</v>
      </c>
      <c r="CP210">
        <f t="shared" si="224"/>
        <v>344.76</v>
      </c>
      <c r="CQ210">
        <f t="shared" si="225"/>
        <v>4925.1400000000003</v>
      </c>
      <c r="CR210">
        <f t="shared" si="226"/>
        <v>0</v>
      </c>
      <c r="CS210">
        <f t="shared" si="227"/>
        <v>0</v>
      </c>
      <c r="CT210">
        <f t="shared" si="228"/>
        <v>0</v>
      </c>
      <c r="CU210">
        <f t="shared" si="229"/>
        <v>0</v>
      </c>
      <c r="CV210">
        <f t="shared" si="230"/>
        <v>0</v>
      </c>
      <c r="CW210">
        <f t="shared" si="231"/>
        <v>0</v>
      </c>
      <c r="CX210">
        <f t="shared" si="232"/>
        <v>0</v>
      </c>
      <c r="CY210">
        <f t="shared" si="233"/>
        <v>0</v>
      </c>
      <c r="CZ210">
        <f t="shared" si="234"/>
        <v>0</v>
      </c>
      <c r="DC210" t="s">
        <v>6</v>
      </c>
      <c r="DD210" t="s">
        <v>6</v>
      </c>
      <c r="DE210" t="s">
        <v>6</v>
      </c>
      <c r="DF210" t="s">
        <v>6</v>
      </c>
      <c r="DG210" t="s">
        <v>6</v>
      </c>
      <c r="DH210" t="s">
        <v>6</v>
      </c>
      <c r="DI210" t="s">
        <v>6</v>
      </c>
      <c r="DJ210" t="s">
        <v>6</v>
      </c>
      <c r="DK210" t="s">
        <v>6</v>
      </c>
      <c r="DL210" t="s">
        <v>6</v>
      </c>
      <c r="DM210" t="s">
        <v>6</v>
      </c>
      <c r="DN210">
        <v>0</v>
      </c>
      <c r="DO210">
        <v>0</v>
      </c>
      <c r="DP210">
        <v>1</v>
      </c>
      <c r="DQ210">
        <v>1</v>
      </c>
      <c r="DU210">
        <v>1010</v>
      </c>
      <c r="DV210" t="s">
        <v>188</v>
      </c>
      <c r="DW210" t="s">
        <v>188</v>
      </c>
      <c r="DX210">
        <v>100</v>
      </c>
      <c r="EE210">
        <v>16510370</v>
      </c>
      <c r="EF210">
        <v>3</v>
      </c>
      <c r="EG210" t="s">
        <v>472</v>
      </c>
      <c r="EH210">
        <v>0</v>
      </c>
      <c r="EI210" t="s">
        <v>6</v>
      </c>
      <c r="EJ210">
        <v>2</v>
      </c>
      <c r="EK210">
        <v>108001</v>
      </c>
      <c r="EL210" t="s">
        <v>473</v>
      </c>
      <c r="EM210" t="s">
        <v>474</v>
      </c>
      <c r="EO210" t="s">
        <v>6</v>
      </c>
      <c r="EQ210">
        <v>0</v>
      </c>
      <c r="ER210">
        <v>734</v>
      </c>
      <c r="ES210">
        <v>734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235"/>
        <v>0</v>
      </c>
      <c r="FS210">
        <v>0</v>
      </c>
      <c r="FX210">
        <v>95</v>
      </c>
      <c r="FY210">
        <v>65</v>
      </c>
      <c r="GA210" t="s">
        <v>6</v>
      </c>
      <c r="GD210">
        <v>0</v>
      </c>
      <c r="GF210">
        <v>760982988</v>
      </c>
      <c r="GG210">
        <v>1</v>
      </c>
      <c r="GH210">
        <v>1</v>
      </c>
      <c r="GI210">
        <v>4</v>
      </c>
      <c r="GJ210">
        <v>0</v>
      </c>
      <c r="GK210">
        <f>ROUND(R210*(R12)/100,2)</f>
        <v>0</v>
      </c>
      <c r="GL210">
        <f t="shared" si="236"/>
        <v>0</v>
      </c>
      <c r="GM210">
        <f t="shared" si="237"/>
        <v>344.76</v>
      </c>
      <c r="GN210">
        <f t="shared" si="238"/>
        <v>0</v>
      </c>
      <c r="GO210">
        <f t="shared" si="239"/>
        <v>344.76</v>
      </c>
      <c r="GP210">
        <f t="shared" si="240"/>
        <v>0</v>
      </c>
      <c r="GR210">
        <v>0</v>
      </c>
      <c r="GS210">
        <v>3</v>
      </c>
      <c r="GT210">
        <v>0</v>
      </c>
      <c r="GU210" t="s">
        <v>6</v>
      </c>
      <c r="GV210">
        <f t="shared" si="241"/>
        <v>0</v>
      </c>
      <c r="GW210">
        <v>1</v>
      </c>
      <c r="GX210">
        <f t="shared" si="242"/>
        <v>0</v>
      </c>
      <c r="HA210">
        <v>0</v>
      </c>
      <c r="HB210">
        <v>0</v>
      </c>
      <c r="HC210">
        <f t="shared" si="243"/>
        <v>0</v>
      </c>
      <c r="IK210">
        <v>0</v>
      </c>
    </row>
    <row r="211" spans="1:245" x14ac:dyDescent="0.2">
      <c r="A211">
        <v>17</v>
      </c>
      <c r="B211">
        <v>1</v>
      </c>
      <c r="C211">
        <f>ROW(SmtRes!A365)</f>
        <v>365</v>
      </c>
      <c r="D211">
        <f>ROW(EtalonRes!A350)</f>
        <v>350</v>
      </c>
      <c r="E211" t="s">
        <v>577</v>
      </c>
      <c r="F211" t="s">
        <v>578</v>
      </c>
      <c r="G211" t="s">
        <v>579</v>
      </c>
      <c r="H211" t="s">
        <v>437</v>
      </c>
      <c r="I211">
        <v>4</v>
      </c>
      <c r="J211">
        <v>0</v>
      </c>
      <c r="O211">
        <f t="shared" si="210"/>
        <v>897</v>
      </c>
      <c r="P211">
        <f t="shared" si="211"/>
        <v>166.41</v>
      </c>
      <c r="Q211">
        <f t="shared" si="212"/>
        <v>476.95</v>
      </c>
      <c r="R211">
        <f t="shared" si="213"/>
        <v>67.37</v>
      </c>
      <c r="S211">
        <f t="shared" si="214"/>
        <v>253.64</v>
      </c>
      <c r="T211">
        <f t="shared" si="215"/>
        <v>0</v>
      </c>
      <c r="U211">
        <f t="shared" si="216"/>
        <v>3.6</v>
      </c>
      <c r="V211">
        <f t="shared" si="217"/>
        <v>0.8</v>
      </c>
      <c r="W211">
        <f t="shared" si="218"/>
        <v>0</v>
      </c>
      <c r="X211">
        <f t="shared" si="219"/>
        <v>304.95999999999998</v>
      </c>
      <c r="Y211">
        <f t="shared" si="220"/>
        <v>208.66</v>
      </c>
      <c r="AA211">
        <v>16812721</v>
      </c>
      <c r="AB211">
        <f t="shared" si="221"/>
        <v>33.42</v>
      </c>
      <c r="AC211">
        <f t="shared" si="244"/>
        <v>6.2</v>
      </c>
      <c r="AD211">
        <f t="shared" si="245"/>
        <v>17.77</v>
      </c>
      <c r="AE211">
        <f t="shared" si="246"/>
        <v>2.5099999999999998</v>
      </c>
      <c r="AF211">
        <f t="shared" si="247"/>
        <v>9.4499999999999993</v>
      </c>
      <c r="AG211">
        <f t="shared" si="222"/>
        <v>0</v>
      </c>
      <c r="AH211">
        <f t="shared" si="248"/>
        <v>0.9</v>
      </c>
      <c r="AI211">
        <f t="shared" si="249"/>
        <v>0.2</v>
      </c>
      <c r="AJ211">
        <f t="shared" si="223"/>
        <v>0</v>
      </c>
      <c r="AK211">
        <v>33.42</v>
      </c>
      <c r="AL211">
        <v>6.2</v>
      </c>
      <c r="AM211">
        <v>17.77</v>
      </c>
      <c r="AN211">
        <v>2.5099999999999998</v>
      </c>
      <c r="AO211">
        <v>9.4499999999999993</v>
      </c>
      <c r="AP211">
        <v>0</v>
      </c>
      <c r="AQ211">
        <v>0.9</v>
      </c>
      <c r="AR211">
        <v>0.2</v>
      </c>
      <c r="AS211">
        <v>0</v>
      </c>
      <c r="AT211">
        <v>95</v>
      </c>
      <c r="AU211">
        <v>65</v>
      </c>
      <c r="AV211">
        <v>1</v>
      </c>
      <c r="AW211">
        <v>1</v>
      </c>
      <c r="AZ211">
        <v>6.71</v>
      </c>
      <c r="BA211">
        <v>6.71</v>
      </c>
      <c r="BB211">
        <v>6.71</v>
      </c>
      <c r="BC211">
        <v>6.71</v>
      </c>
      <c r="BD211" t="s">
        <v>6</v>
      </c>
      <c r="BE211" t="s">
        <v>6</v>
      </c>
      <c r="BF211" t="s">
        <v>6</v>
      </c>
      <c r="BG211" t="s">
        <v>6</v>
      </c>
      <c r="BH211">
        <v>0</v>
      </c>
      <c r="BI211">
        <v>2</v>
      </c>
      <c r="BJ211" t="s">
        <v>580</v>
      </c>
      <c r="BM211">
        <v>108001</v>
      </c>
      <c r="BN211">
        <v>0</v>
      </c>
      <c r="BO211" t="s">
        <v>6</v>
      </c>
      <c r="BP211">
        <v>0</v>
      </c>
      <c r="BQ211">
        <v>3</v>
      </c>
      <c r="BR211">
        <v>0</v>
      </c>
      <c r="BS211">
        <v>6.71</v>
      </c>
      <c r="BT211">
        <v>1</v>
      </c>
      <c r="BU211">
        <v>1</v>
      </c>
      <c r="BV211">
        <v>1</v>
      </c>
      <c r="BW211">
        <v>1</v>
      </c>
      <c r="BX211">
        <v>1</v>
      </c>
      <c r="BY211" t="s">
        <v>6</v>
      </c>
      <c r="BZ211">
        <v>95</v>
      </c>
      <c r="CA211">
        <v>65</v>
      </c>
      <c r="CE211">
        <v>0</v>
      </c>
      <c r="CF211">
        <v>0</v>
      </c>
      <c r="CG211">
        <v>0</v>
      </c>
      <c r="CM211">
        <v>0</v>
      </c>
      <c r="CN211" t="s">
        <v>6</v>
      </c>
      <c r="CO211">
        <v>0</v>
      </c>
      <c r="CP211">
        <f t="shared" si="224"/>
        <v>897</v>
      </c>
      <c r="CQ211">
        <f t="shared" si="225"/>
        <v>41.602000000000004</v>
      </c>
      <c r="CR211">
        <f t="shared" si="226"/>
        <v>119.2367</v>
      </c>
      <c r="CS211">
        <f t="shared" si="227"/>
        <v>16.842099999999999</v>
      </c>
      <c r="CT211">
        <f t="shared" si="228"/>
        <v>63.409499999999994</v>
      </c>
      <c r="CU211">
        <f t="shared" si="229"/>
        <v>0</v>
      </c>
      <c r="CV211">
        <f t="shared" si="230"/>
        <v>0.9</v>
      </c>
      <c r="CW211">
        <f t="shared" si="231"/>
        <v>0.2</v>
      </c>
      <c r="CX211">
        <f t="shared" si="232"/>
        <v>0</v>
      </c>
      <c r="CY211">
        <f t="shared" si="233"/>
        <v>304.95949999999999</v>
      </c>
      <c r="CZ211">
        <f t="shared" si="234"/>
        <v>208.65649999999997</v>
      </c>
      <c r="DC211" t="s">
        <v>6</v>
      </c>
      <c r="DD211" t="s">
        <v>6</v>
      </c>
      <c r="DE211" t="s">
        <v>6</v>
      </c>
      <c r="DF211" t="s">
        <v>6</v>
      </c>
      <c r="DG211" t="s">
        <v>6</v>
      </c>
      <c r="DH211" t="s">
        <v>6</v>
      </c>
      <c r="DI211" t="s">
        <v>6</v>
      </c>
      <c r="DJ211" t="s">
        <v>6</v>
      </c>
      <c r="DK211" t="s">
        <v>6</v>
      </c>
      <c r="DL211" t="s">
        <v>6</v>
      </c>
      <c r="DM211" t="s">
        <v>6</v>
      </c>
      <c r="DN211">
        <v>0</v>
      </c>
      <c r="DO211">
        <v>0</v>
      </c>
      <c r="DP211">
        <v>1</v>
      </c>
      <c r="DQ211">
        <v>1</v>
      </c>
      <c r="DU211">
        <v>1013</v>
      </c>
      <c r="DV211" t="s">
        <v>437</v>
      </c>
      <c r="DW211" t="s">
        <v>437</v>
      </c>
      <c r="DX211">
        <v>1</v>
      </c>
      <c r="EE211">
        <v>16510370</v>
      </c>
      <c r="EF211">
        <v>3</v>
      </c>
      <c r="EG211" t="s">
        <v>472</v>
      </c>
      <c r="EH211">
        <v>0</v>
      </c>
      <c r="EI211" t="s">
        <v>6</v>
      </c>
      <c r="EJ211">
        <v>2</v>
      </c>
      <c r="EK211">
        <v>108001</v>
      </c>
      <c r="EL211" t="s">
        <v>473</v>
      </c>
      <c r="EM211" t="s">
        <v>474</v>
      </c>
      <c r="EO211" t="s">
        <v>6</v>
      </c>
      <c r="EQ211">
        <v>131072</v>
      </c>
      <c r="ER211">
        <v>33.42</v>
      </c>
      <c r="ES211">
        <v>6.2</v>
      </c>
      <c r="ET211">
        <v>17.77</v>
      </c>
      <c r="EU211">
        <v>2.5099999999999998</v>
      </c>
      <c r="EV211">
        <v>9.4499999999999993</v>
      </c>
      <c r="EW211">
        <v>0.9</v>
      </c>
      <c r="EX211">
        <v>0.2</v>
      </c>
      <c r="EY211">
        <v>0</v>
      </c>
      <c r="FQ211">
        <v>0</v>
      </c>
      <c r="FR211">
        <f t="shared" si="235"/>
        <v>0</v>
      </c>
      <c r="FS211">
        <v>0</v>
      </c>
      <c r="FX211">
        <v>95</v>
      </c>
      <c r="FY211">
        <v>65</v>
      </c>
      <c r="GA211" t="s">
        <v>6</v>
      </c>
      <c r="GD211">
        <v>0</v>
      </c>
      <c r="GF211">
        <v>-1815094428</v>
      </c>
      <c r="GG211">
        <v>1</v>
      </c>
      <c r="GH211">
        <v>1</v>
      </c>
      <c r="GI211">
        <v>4</v>
      </c>
      <c r="GJ211">
        <v>0</v>
      </c>
      <c r="GK211">
        <f>ROUND(R211*(R12)/100,2)</f>
        <v>0</v>
      </c>
      <c r="GL211">
        <f t="shared" si="236"/>
        <v>0</v>
      </c>
      <c r="GM211">
        <f t="shared" si="237"/>
        <v>1410.62</v>
      </c>
      <c r="GN211">
        <f t="shared" si="238"/>
        <v>0</v>
      </c>
      <c r="GO211">
        <f t="shared" si="239"/>
        <v>1410.62</v>
      </c>
      <c r="GP211">
        <f t="shared" si="240"/>
        <v>0</v>
      </c>
      <c r="GR211">
        <v>0</v>
      </c>
      <c r="GS211">
        <v>3</v>
      </c>
      <c r="GT211">
        <v>0</v>
      </c>
      <c r="GU211" t="s">
        <v>6</v>
      </c>
      <c r="GV211">
        <f t="shared" si="241"/>
        <v>0</v>
      </c>
      <c r="GW211">
        <v>1</v>
      </c>
      <c r="GX211">
        <f t="shared" si="242"/>
        <v>0</v>
      </c>
      <c r="HA211">
        <v>0</v>
      </c>
      <c r="HB211">
        <v>0</v>
      </c>
      <c r="HC211">
        <f t="shared" si="243"/>
        <v>0</v>
      </c>
      <c r="IK211">
        <v>0</v>
      </c>
    </row>
    <row r="212" spans="1:245" x14ac:dyDescent="0.2">
      <c r="A212">
        <v>18</v>
      </c>
      <c r="B212">
        <v>1</v>
      </c>
      <c r="C212">
        <v>364</v>
      </c>
      <c r="E212" t="s">
        <v>581</v>
      </c>
      <c r="F212" t="s">
        <v>582</v>
      </c>
      <c r="G212" t="s">
        <v>583</v>
      </c>
      <c r="H212" t="s">
        <v>516</v>
      </c>
      <c r="I212">
        <f>I211*J212</f>
        <v>0.4</v>
      </c>
      <c r="J212">
        <v>0.1</v>
      </c>
      <c r="O212">
        <f t="shared" si="210"/>
        <v>505.93</v>
      </c>
      <c r="P212">
        <f t="shared" si="211"/>
        <v>505.93</v>
      </c>
      <c r="Q212">
        <f t="shared" si="212"/>
        <v>0</v>
      </c>
      <c r="R212">
        <f t="shared" si="213"/>
        <v>0</v>
      </c>
      <c r="S212">
        <f t="shared" si="214"/>
        <v>0</v>
      </c>
      <c r="T212">
        <f t="shared" si="215"/>
        <v>0</v>
      </c>
      <c r="U212">
        <f t="shared" si="216"/>
        <v>0</v>
      </c>
      <c r="V212">
        <f t="shared" si="217"/>
        <v>0</v>
      </c>
      <c r="W212">
        <f t="shared" si="218"/>
        <v>0</v>
      </c>
      <c r="X212">
        <f t="shared" si="219"/>
        <v>0</v>
      </c>
      <c r="Y212">
        <f t="shared" si="220"/>
        <v>0</v>
      </c>
      <c r="AA212">
        <v>16812721</v>
      </c>
      <c r="AB212">
        <f t="shared" si="221"/>
        <v>188.5</v>
      </c>
      <c r="AC212">
        <f t="shared" si="244"/>
        <v>188.5</v>
      </c>
      <c r="AD212">
        <f t="shared" si="245"/>
        <v>0</v>
      </c>
      <c r="AE212">
        <f t="shared" si="246"/>
        <v>0</v>
      </c>
      <c r="AF212">
        <f t="shared" si="247"/>
        <v>0</v>
      </c>
      <c r="AG212">
        <f t="shared" si="222"/>
        <v>0</v>
      </c>
      <c r="AH212">
        <f t="shared" si="248"/>
        <v>0</v>
      </c>
      <c r="AI212">
        <f t="shared" si="249"/>
        <v>0</v>
      </c>
      <c r="AJ212">
        <f t="shared" si="223"/>
        <v>0</v>
      </c>
      <c r="AK212">
        <v>188.5</v>
      </c>
      <c r="AL212">
        <v>188.5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95</v>
      </c>
      <c r="AU212">
        <v>65</v>
      </c>
      <c r="AV212">
        <v>1</v>
      </c>
      <c r="AW212">
        <v>1</v>
      </c>
      <c r="AZ212">
        <v>6.71</v>
      </c>
      <c r="BA212">
        <v>1</v>
      </c>
      <c r="BB212">
        <v>1</v>
      </c>
      <c r="BC212">
        <v>6.71</v>
      </c>
      <c r="BD212" t="s">
        <v>6</v>
      </c>
      <c r="BE212" t="s">
        <v>6</v>
      </c>
      <c r="BF212" t="s">
        <v>6</v>
      </c>
      <c r="BG212" t="s">
        <v>6</v>
      </c>
      <c r="BH212">
        <v>3</v>
      </c>
      <c r="BI212">
        <v>2</v>
      </c>
      <c r="BJ212" t="s">
        <v>584</v>
      </c>
      <c r="BM212">
        <v>108001</v>
      </c>
      <c r="BN212">
        <v>0</v>
      </c>
      <c r="BO212" t="s">
        <v>6</v>
      </c>
      <c r="BP212">
        <v>0</v>
      </c>
      <c r="BQ212">
        <v>3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6</v>
      </c>
      <c r="BZ212">
        <v>95</v>
      </c>
      <c r="CA212">
        <v>65</v>
      </c>
      <c r="CE212">
        <v>0</v>
      </c>
      <c r="CF212">
        <v>0</v>
      </c>
      <c r="CG212">
        <v>0</v>
      </c>
      <c r="CM212">
        <v>0</v>
      </c>
      <c r="CN212" t="s">
        <v>6</v>
      </c>
      <c r="CO212">
        <v>0</v>
      </c>
      <c r="CP212">
        <f t="shared" si="224"/>
        <v>505.93</v>
      </c>
      <c r="CQ212">
        <f t="shared" si="225"/>
        <v>1264.835</v>
      </c>
      <c r="CR212">
        <f t="shared" si="226"/>
        <v>0</v>
      </c>
      <c r="CS212">
        <f t="shared" si="227"/>
        <v>0</v>
      </c>
      <c r="CT212">
        <f t="shared" si="228"/>
        <v>0</v>
      </c>
      <c r="CU212">
        <f t="shared" si="229"/>
        <v>0</v>
      </c>
      <c r="CV212">
        <f t="shared" si="230"/>
        <v>0</v>
      </c>
      <c r="CW212">
        <f t="shared" si="231"/>
        <v>0</v>
      </c>
      <c r="CX212">
        <f t="shared" si="232"/>
        <v>0</v>
      </c>
      <c r="CY212">
        <f t="shared" si="233"/>
        <v>0</v>
      </c>
      <c r="CZ212">
        <f t="shared" si="234"/>
        <v>0</v>
      </c>
      <c r="DC212" t="s">
        <v>6</v>
      </c>
      <c r="DD212" t="s">
        <v>6</v>
      </c>
      <c r="DE212" t="s">
        <v>6</v>
      </c>
      <c r="DF212" t="s">
        <v>6</v>
      </c>
      <c r="DG212" t="s">
        <v>6</v>
      </c>
      <c r="DH212" t="s">
        <v>6</v>
      </c>
      <c r="DI212" t="s">
        <v>6</v>
      </c>
      <c r="DJ212" t="s">
        <v>6</v>
      </c>
      <c r="DK212" t="s">
        <v>6</v>
      </c>
      <c r="DL212" t="s">
        <v>6</v>
      </c>
      <c r="DM212" t="s">
        <v>6</v>
      </c>
      <c r="DN212">
        <v>0</v>
      </c>
      <c r="DO212">
        <v>0</v>
      </c>
      <c r="DP212">
        <v>1</v>
      </c>
      <c r="DQ212">
        <v>1</v>
      </c>
      <c r="DU212">
        <v>1010</v>
      </c>
      <c r="DV212" t="s">
        <v>516</v>
      </c>
      <c r="DW212" t="s">
        <v>516</v>
      </c>
      <c r="DX212">
        <v>10</v>
      </c>
      <c r="EE212">
        <v>16510370</v>
      </c>
      <c r="EF212">
        <v>3</v>
      </c>
      <c r="EG212" t="s">
        <v>472</v>
      </c>
      <c r="EH212">
        <v>0</v>
      </c>
      <c r="EI212" t="s">
        <v>6</v>
      </c>
      <c r="EJ212">
        <v>2</v>
      </c>
      <c r="EK212">
        <v>108001</v>
      </c>
      <c r="EL212" t="s">
        <v>473</v>
      </c>
      <c r="EM212" t="s">
        <v>474</v>
      </c>
      <c r="EO212" t="s">
        <v>6</v>
      </c>
      <c r="EQ212">
        <v>0</v>
      </c>
      <c r="ER212">
        <v>188.5</v>
      </c>
      <c r="ES212">
        <v>188.5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235"/>
        <v>0</v>
      </c>
      <c r="FS212">
        <v>0</v>
      </c>
      <c r="FX212">
        <v>95</v>
      </c>
      <c r="FY212">
        <v>65</v>
      </c>
      <c r="GA212" t="s">
        <v>6</v>
      </c>
      <c r="GD212">
        <v>0</v>
      </c>
      <c r="GF212">
        <v>-1428264759</v>
      </c>
      <c r="GG212">
        <v>1</v>
      </c>
      <c r="GH212">
        <v>1</v>
      </c>
      <c r="GI212">
        <v>4</v>
      </c>
      <c r="GJ212">
        <v>0</v>
      </c>
      <c r="GK212">
        <f>ROUND(R212*(R12)/100,2)</f>
        <v>0</v>
      </c>
      <c r="GL212">
        <f t="shared" si="236"/>
        <v>0</v>
      </c>
      <c r="GM212">
        <f t="shared" si="237"/>
        <v>505.93</v>
      </c>
      <c r="GN212">
        <f t="shared" si="238"/>
        <v>0</v>
      </c>
      <c r="GO212">
        <f t="shared" si="239"/>
        <v>505.93</v>
      </c>
      <c r="GP212">
        <f t="shared" si="240"/>
        <v>0</v>
      </c>
      <c r="GR212">
        <v>0</v>
      </c>
      <c r="GS212">
        <v>3</v>
      </c>
      <c r="GT212">
        <v>0</v>
      </c>
      <c r="GU212" t="s">
        <v>6</v>
      </c>
      <c r="GV212">
        <f t="shared" si="241"/>
        <v>0</v>
      </c>
      <c r="GW212">
        <v>1</v>
      </c>
      <c r="GX212">
        <f t="shared" si="242"/>
        <v>0</v>
      </c>
      <c r="HA212">
        <v>0</v>
      </c>
      <c r="HB212">
        <v>0</v>
      </c>
      <c r="HC212">
        <f t="shared" si="243"/>
        <v>0</v>
      </c>
      <c r="IK212">
        <v>0</v>
      </c>
    </row>
    <row r="213" spans="1:245" x14ac:dyDescent="0.2">
      <c r="A213">
        <v>17</v>
      </c>
      <c r="B213">
        <v>1</v>
      </c>
      <c r="C213">
        <f>ROW(SmtRes!A386)</f>
        <v>386</v>
      </c>
      <c r="D213">
        <f>ROW(EtalonRes!A364)</f>
        <v>364</v>
      </c>
      <c r="E213" t="s">
        <v>585</v>
      </c>
      <c r="F213" t="s">
        <v>586</v>
      </c>
      <c r="G213" t="s">
        <v>587</v>
      </c>
      <c r="H213" t="s">
        <v>437</v>
      </c>
      <c r="I213">
        <v>39</v>
      </c>
      <c r="J213">
        <v>0</v>
      </c>
      <c r="O213">
        <f t="shared" si="210"/>
        <v>9415.6</v>
      </c>
      <c r="P213">
        <f t="shared" si="211"/>
        <v>5257.35</v>
      </c>
      <c r="Q213">
        <f t="shared" si="212"/>
        <v>274.77</v>
      </c>
      <c r="R213">
        <f t="shared" si="213"/>
        <v>0</v>
      </c>
      <c r="S213">
        <f t="shared" si="214"/>
        <v>3883.48</v>
      </c>
      <c r="T213">
        <f t="shared" si="215"/>
        <v>0</v>
      </c>
      <c r="U213">
        <f t="shared" si="216"/>
        <v>60.84</v>
      </c>
      <c r="V213">
        <f t="shared" si="217"/>
        <v>0</v>
      </c>
      <c r="W213">
        <f t="shared" si="218"/>
        <v>0</v>
      </c>
      <c r="X213">
        <f t="shared" si="219"/>
        <v>3689.31</v>
      </c>
      <c r="Y213">
        <f t="shared" si="220"/>
        <v>2524.2600000000002</v>
      </c>
      <c r="AA213">
        <v>16812721</v>
      </c>
      <c r="AB213">
        <f t="shared" si="221"/>
        <v>35.979999999999997</v>
      </c>
      <c r="AC213">
        <f t="shared" si="244"/>
        <v>20.09</v>
      </c>
      <c r="AD213">
        <f t="shared" si="245"/>
        <v>1.05</v>
      </c>
      <c r="AE213">
        <f t="shared" si="246"/>
        <v>0</v>
      </c>
      <c r="AF213">
        <f t="shared" si="247"/>
        <v>14.84</v>
      </c>
      <c r="AG213">
        <f t="shared" si="222"/>
        <v>0</v>
      </c>
      <c r="AH213">
        <f t="shared" si="248"/>
        <v>1.56</v>
      </c>
      <c r="AI213">
        <f t="shared" si="249"/>
        <v>0</v>
      </c>
      <c r="AJ213">
        <f t="shared" si="223"/>
        <v>0</v>
      </c>
      <c r="AK213">
        <v>35.979999999999997</v>
      </c>
      <c r="AL213">
        <v>20.09</v>
      </c>
      <c r="AM213">
        <v>1.05</v>
      </c>
      <c r="AN213">
        <v>0</v>
      </c>
      <c r="AO213">
        <v>14.84</v>
      </c>
      <c r="AP213">
        <v>0</v>
      </c>
      <c r="AQ213">
        <v>1.56</v>
      </c>
      <c r="AR213">
        <v>0</v>
      </c>
      <c r="AS213">
        <v>0</v>
      </c>
      <c r="AT213">
        <v>95</v>
      </c>
      <c r="AU213">
        <v>65</v>
      </c>
      <c r="AV213">
        <v>1</v>
      </c>
      <c r="AW213">
        <v>1</v>
      </c>
      <c r="AZ213">
        <v>6.71</v>
      </c>
      <c r="BA213">
        <v>6.71</v>
      </c>
      <c r="BB213">
        <v>6.71</v>
      </c>
      <c r="BC213">
        <v>6.71</v>
      </c>
      <c r="BD213" t="s">
        <v>6</v>
      </c>
      <c r="BE213" t="s">
        <v>6</v>
      </c>
      <c r="BF213" t="s">
        <v>6</v>
      </c>
      <c r="BG213" t="s">
        <v>6</v>
      </c>
      <c r="BH213">
        <v>0</v>
      </c>
      <c r="BI213">
        <v>2</v>
      </c>
      <c r="BJ213" t="s">
        <v>588</v>
      </c>
      <c r="BM213">
        <v>108001</v>
      </c>
      <c r="BN213">
        <v>0</v>
      </c>
      <c r="BO213" t="s">
        <v>6</v>
      </c>
      <c r="BP213">
        <v>0</v>
      </c>
      <c r="BQ213">
        <v>3</v>
      </c>
      <c r="BR213">
        <v>0</v>
      </c>
      <c r="BS213">
        <v>6.71</v>
      </c>
      <c r="BT213">
        <v>1</v>
      </c>
      <c r="BU213">
        <v>1</v>
      </c>
      <c r="BV213">
        <v>1</v>
      </c>
      <c r="BW213">
        <v>1</v>
      </c>
      <c r="BX213">
        <v>1</v>
      </c>
      <c r="BY213" t="s">
        <v>6</v>
      </c>
      <c r="BZ213">
        <v>95</v>
      </c>
      <c r="CA213">
        <v>65</v>
      </c>
      <c r="CE213">
        <v>0</v>
      </c>
      <c r="CF213">
        <v>0</v>
      </c>
      <c r="CG213">
        <v>0</v>
      </c>
      <c r="CM213">
        <v>0</v>
      </c>
      <c r="CN213" t="s">
        <v>6</v>
      </c>
      <c r="CO213">
        <v>0</v>
      </c>
      <c r="CP213">
        <f t="shared" si="224"/>
        <v>9415.6</v>
      </c>
      <c r="CQ213">
        <f t="shared" si="225"/>
        <v>134.8039</v>
      </c>
      <c r="CR213">
        <f t="shared" si="226"/>
        <v>7.0455000000000005</v>
      </c>
      <c r="CS213">
        <f t="shared" si="227"/>
        <v>0</v>
      </c>
      <c r="CT213">
        <f t="shared" si="228"/>
        <v>99.576399999999992</v>
      </c>
      <c r="CU213">
        <f t="shared" si="229"/>
        <v>0</v>
      </c>
      <c r="CV213">
        <f t="shared" si="230"/>
        <v>1.56</v>
      </c>
      <c r="CW213">
        <f t="shared" si="231"/>
        <v>0</v>
      </c>
      <c r="CX213">
        <f t="shared" si="232"/>
        <v>0</v>
      </c>
      <c r="CY213">
        <f t="shared" si="233"/>
        <v>3689.3059999999996</v>
      </c>
      <c r="CZ213">
        <f t="shared" si="234"/>
        <v>2524.2620000000002</v>
      </c>
      <c r="DC213" t="s">
        <v>6</v>
      </c>
      <c r="DD213" t="s">
        <v>6</v>
      </c>
      <c r="DE213" t="s">
        <v>6</v>
      </c>
      <c r="DF213" t="s">
        <v>6</v>
      </c>
      <c r="DG213" t="s">
        <v>6</v>
      </c>
      <c r="DH213" t="s">
        <v>6</v>
      </c>
      <c r="DI213" t="s">
        <v>6</v>
      </c>
      <c r="DJ213" t="s">
        <v>6</v>
      </c>
      <c r="DK213" t="s">
        <v>6</v>
      </c>
      <c r="DL213" t="s">
        <v>6</v>
      </c>
      <c r="DM213" t="s">
        <v>6</v>
      </c>
      <c r="DN213">
        <v>0</v>
      </c>
      <c r="DO213">
        <v>0</v>
      </c>
      <c r="DP213">
        <v>1</v>
      </c>
      <c r="DQ213">
        <v>1</v>
      </c>
      <c r="DU213">
        <v>1013</v>
      </c>
      <c r="DV213" t="s">
        <v>437</v>
      </c>
      <c r="DW213" t="s">
        <v>437</v>
      </c>
      <c r="DX213">
        <v>1</v>
      </c>
      <c r="EE213">
        <v>16510370</v>
      </c>
      <c r="EF213">
        <v>3</v>
      </c>
      <c r="EG213" t="s">
        <v>472</v>
      </c>
      <c r="EH213">
        <v>0</v>
      </c>
      <c r="EI213" t="s">
        <v>6</v>
      </c>
      <c r="EJ213">
        <v>2</v>
      </c>
      <c r="EK213">
        <v>108001</v>
      </c>
      <c r="EL213" t="s">
        <v>473</v>
      </c>
      <c r="EM213" t="s">
        <v>474</v>
      </c>
      <c r="EO213" t="s">
        <v>6</v>
      </c>
      <c r="EQ213">
        <v>131072</v>
      </c>
      <c r="ER213">
        <v>35.979999999999997</v>
      </c>
      <c r="ES213">
        <v>20.09</v>
      </c>
      <c r="ET213">
        <v>1.05</v>
      </c>
      <c r="EU213">
        <v>0</v>
      </c>
      <c r="EV213">
        <v>14.84</v>
      </c>
      <c r="EW213">
        <v>1.56</v>
      </c>
      <c r="EX213">
        <v>0</v>
      </c>
      <c r="EY213">
        <v>0</v>
      </c>
      <c r="FQ213">
        <v>0</v>
      </c>
      <c r="FR213">
        <f t="shared" si="235"/>
        <v>0</v>
      </c>
      <c r="FS213">
        <v>0</v>
      </c>
      <c r="FX213">
        <v>95</v>
      </c>
      <c r="FY213">
        <v>65</v>
      </c>
      <c r="GA213" t="s">
        <v>6</v>
      </c>
      <c r="GD213">
        <v>0</v>
      </c>
      <c r="GF213">
        <v>942868882</v>
      </c>
      <c r="GG213">
        <v>1</v>
      </c>
      <c r="GH213">
        <v>1</v>
      </c>
      <c r="GI213">
        <v>4</v>
      </c>
      <c r="GJ213">
        <v>0</v>
      </c>
      <c r="GK213">
        <f>ROUND(R213*(R12)/100,2)</f>
        <v>0</v>
      </c>
      <c r="GL213">
        <f t="shared" si="236"/>
        <v>0</v>
      </c>
      <c r="GM213">
        <f t="shared" si="237"/>
        <v>15629.17</v>
      </c>
      <c r="GN213">
        <f t="shared" si="238"/>
        <v>0</v>
      </c>
      <c r="GO213">
        <f t="shared" si="239"/>
        <v>15629.17</v>
      </c>
      <c r="GP213">
        <f t="shared" si="240"/>
        <v>0</v>
      </c>
      <c r="GR213">
        <v>0</v>
      </c>
      <c r="GS213">
        <v>3</v>
      </c>
      <c r="GT213">
        <v>0</v>
      </c>
      <c r="GU213" t="s">
        <v>6</v>
      </c>
      <c r="GV213">
        <f t="shared" si="241"/>
        <v>0</v>
      </c>
      <c r="GW213">
        <v>1</v>
      </c>
      <c r="GX213">
        <f t="shared" si="242"/>
        <v>0</v>
      </c>
      <c r="HA213">
        <v>0</v>
      </c>
      <c r="HB213">
        <v>0</v>
      </c>
      <c r="HC213">
        <f t="shared" si="243"/>
        <v>0</v>
      </c>
      <c r="IK213">
        <v>0</v>
      </c>
    </row>
    <row r="214" spans="1:245" x14ac:dyDescent="0.2">
      <c r="A214">
        <v>18</v>
      </c>
      <c r="B214">
        <v>1</v>
      </c>
      <c r="C214">
        <v>380</v>
      </c>
      <c r="E214" t="s">
        <v>589</v>
      </c>
      <c r="F214" t="s">
        <v>590</v>
      </c>
      <c r="G214" t="s">
        <v>591</v>
      </c>
      <c r="H214" t="s">
        <v>62</v>
      </c>
      <c r="I214">
        <f>I213*J214</f>
        <v>20</v>
      </c>
      <c r="J214">
        <v>0.51282051282051277</v>
      </c>
      <c r="O214">
        <f t="shared" si="210"/>
        <v>8921.6200000000008</v>
      </c>
      <c r="P214">
        <f t="shared" si="211"/>
        <v>8921.6200000000008</v>
      </c>
      <c r="Q214">
        <f t="shared" si="212"/>
        <v>0</v>
      </c>
      <c r="R214">
        <f t="shared" si="213"/>
        <v>0</v>
      </c>
      <c r="S214">
        <f t="shared" si="214"/>
        <v>0</v>
      </c>
      <c r="T214">
        <f t="shared" si="215"/>
        <v>0</v>
      </c>
      <c r="U214">
        <f t="shared" si="216"/>
        <v>0</v>
      </c>
      <c r="V214">
        <f t="shared" si="217"/>
        <v>0</v>
      </c>
      <c r="W214">
        <f t="shared" si="218"/>
        <v>0</v>
      </c>
      <c r="X214">
        <f t="shared" si="219"/>
        <v>0</v>
      </c>
      <c r="Y214">
        <f t="shared" si="220"/>
        <v>0</v>
      </c>
      <c r="AA214">
        <v>16812721</v>
      </c>
      <c r="AB214">
        <f t="shared" si="221"/>
        <v>66.48</v>
      </c>
      <c r="AC214">
        <f t="shared" si="244"/>
        <v>66.48</v>
      </c>
      <c r="AD214">
        <f t="shared" si="245"/>
        <v>0</v>
      </c>
      <c r="AE214">
        <f t="shared" si="246"/>
        <v>0</v>
      </c>
      <c r="AF214">
        <f t="shared" si="247"/>
        <v>0</v>
      </c>
      <c r="AG214">
        <f t="shared" si="222"/>
        <v>0</v>
      </c>
      <c r="AH214">
        <f t="shared" si="248"/>
        <v>0</v>
      </c>
      <c r="AI214">
        <f t="shared" si="249"/>
        <v>0</v>
      </c>
      <c r="AJ214">
        <f t="shared" si="223"/>
        <v>0</v>
      </c>
      <c r="AK214">
        <v>66.48</v>
      </c>
      <c r="AL214">
        <v>66.48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95</v>
      </c>
      <c r="AU214">
        <v>65</v>
      </c>
      <c r="AV214">
        <v>1</v>
      </c>
      <c r="AW214">
        <v>1</v>
      </c>
      <c r="AZ214">
        <v>6.71</v>
      </c>
      <c r="BA214">
        <v>1</v>
      </c>
      <c r="BB214">
        <v>1</v>
      </c>
      <c r="BC214">
        <v>6.71</v>
      </c>
      <c r="BD214" t="s">
        <v>6</v>
      </c>
      <c r="BE214" t="s">
        <v>6</v>
      </c>
      <c r="BF214" t="s">
        <v>6</v>
      </c>
      <c r="BG214" t="s">
        <v>6</v>
      </c>
      <c r="BH214">
        <v>3</v>
      </c>
      <c r="BI214">
        <v>2</v>
      </c>
      <c r="BJ214" t="s">
        <v>592</v>
      </c>
      <c r="BM214">
        <v>108001</v>
      </c>
      <c r="BN214">
        <v>0</v>
      </c>
      <c r="BO214" t="s">
        <v>6</v>
      </c>
      <c r="BP214">
        <v>0</v>
      </c>
      <c r="BQ214">
        <v>3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6</v>
      </c>
      <c r="BZ214">
        <v>95</v>
      </c>
      <c r="CA214">
        <v>65</v>
      </c>
      <c r="CE214">
        <v>0</v>
      </c>
      <c r="CF214">
        <v>0</v>
      </c>
      <c r="CG214">
        <v>0</v>
      </c>
      <c r="CM214">
        <v>0</v>
      </c>
      <c r="CN214" t="s">
        <v>6</v>
      </c>
      <c r="CO214">
        <v>0</v>
      </c>
      <c r="CP214">
        <f t="shared" si="224"/>
        <v>8921.6200000000008</v>
      </c>
      <c r="CQ214">
        <f t="shared" si="225"/>
        <v>446.08080000000001</v>
      </c>
      <c r="CR214">
        <f t="shared" si="226"/>
        <v>0</v>
      </c>
      <c r="CS214">
        <f t="shared" si="227"/>
        <v>0</v>
      </c>
      <c r="CT214">
        <f t="shared" si="228"/>
        <v>0</v>
      </c>
      <c r="CU214">
        <f t="shared" si="229"/>
        <v>0</v>
      </c>
      <c r="CV214">
        <f t="shared" si="230"/>
        <v>0</v>
      </c>
      <c r="CW214">
        <f t="shared" si="231"/>
        <v>0</v>
      </c>
      <c r="CX214">
        <f t="shared" si="232"/>
        <v>0</v>
      </c>
      <c r="CY214">
        <f t="shared" si="233"/>
        <v>0</v>
      </c>
      <c r="CZ214">
        <f t="shared" si="234"/>
        <v>0</v>
      </c>
      <c r="DC214" t="s">
        <v>6</v>
      </c>
      <c r="DD214" t="s">
        <v>6</v>
      </c>
      <c r="DE214" t="s">
        <v>6</v>
      </c>
      <c r="DF214" t="s">
        <v>6</v>
      </c>
      <c r="DG214" t="s">
        <v>6</v>
      </c>
      <c r="DH214" t="s">
        <v>6</v>
      </c>
      <c r="DI214" t="s">
        <v>6</v>
      </c>
      <c r="DJ214" t="s">
        <v>6</v>
      </c>
      <c r="DK214" t="s">
        <v>6</v>
      </c>
      <c r="DL214" t="s">
        <v>6</v>
      </c>
      <c r="DM214" t="s">
        <v>6</v>
      </c>
      <c r="DN214">
        <v>0</v>
      </c>
      <c r="DO214">
        <v>0</v>
      </c>
      <c r="DP214">
        <v>1</v>
      </c>
      <c r="DQ214">
        <v>1</v>
      </c>
      <c r="DU214">
        <v>1010</v>
      </c>
      <c r="DV214" t="s">
        <v>62</v>
      </c>
      <c r="DW214" t="s">
        <v>62</v>
      </c>
      <c r="DX214">
        <v>1</v>
      </c>
      <c r="EE214">
        <v>16510370</v>
      </c>
      <c r="EF214">
        <v>3</v>
      </c>
      <c r="EG214" t="s">
        <v>472</v>
      </c>
      <c r="EH214">
        <v>0</v>
      </c>
      <c r="EI214" t="s">
        <v>6</v>
      </c>
      <c r="EJ214">
        <v>2</v>
      </c>
      <c r="EK214">
        <v>108001</v>
      </c>
      <c r="EL214" t="s">
        <v>473</v>
      </c>
      <c r="EM214" t="s">
        <v>474</v>
      </c>
      <c r="EO214" t="s">
        <v>6</v>
      </c>
      <c r="EQ214">
        <v>0</v>
      </c>
      <c r="ER214">
        <v>66.48</v>
      </c>
      <c r="ES214">
        <v>66.48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235"/>
        <v>0</v>
      </c>
      <c r="FS214">
        <v>0</v>
      </c>
      <c r="FX214">
        <v>95</v>
      </c>
      <c r="FY214">
        <v>65</v>
      </c>
      <c r="GA214" t="s">
        <v>6</v>
      </c>
      <c r="GD214">
        <v>0</v>
      </c>
      <c r="GF214">
        <v>1587256181</v>
      </c>
      <c r="GG214">
        <v>1</v>
      </c>
      <c r="GH214">
        <v>1</v>
      </c>
      <c r="GI214">
        <v>4</v>
      </c>
      <c r="GJ214">
        <v>0</v>
      </c>
      <c r="GK214">
        <f>ROUND(R214*(R12)/100,2)</f>
        <v>0</v>
      </c>
      <c r="GL214">
        <f t="shared" si="236"/>
        <v>0</v>
      </c>
      <c r="GM214">
        <f t="shared" si="237"/>
        <v>8921.6200000000008</v>
      </c>
      <c r="GN214">
        <f t="shared" si="238"/>
        <v>0</v>
      </c>
      <c r="GO214">
        <f t="shared" si="239"/>
        <v>8921.6200000000008</v>
      </c>
      <c r="GP214">
        <f t="shared" si="240"/>
        <v>0</v>
      </c>
      <c r="GR214">
        <v>0</v>
      </c>
      <c r="GS214">
        <v>3</v>
      </c>
      <c r="GT214">
        <v>0</v>
      </c>
      <c r="GU214" t="s">
        <v>6</v>
      </c>
      <c r="GV214">
        <f t="shared" si="241"/>
        <v>0</v>
      </c>
      <c r="GW214">
        <v>1</v>
      </c>
      <c r="GX214">
        <f t="shared" si="242"/>
        <v>0</v>
      </c>
      <c r="HA214">
        <v>0</v>
      </c>
      <c r="HB214">
        <v>0</v>
      </c>
      <c r="HC214">
        <f t="shared" si="243"/>
        <v>0</v>
      </c>
      <c r="IK214">
        <v>0</v>
      </c>
    </row>
    <row r="215" spans="1:245" x14ac:dyDescent="0.2">
      <c r="A215">
        <v>18</v>
      </c>
      <c r="B215">
        <v>1</v>
      </c>
      <c r="C215">
        <v>383</v>
      </c>
      <c r="E215" t="s">
        <v>593</v>
      </c>
      <c r="F215" t="s">
        <v>594</v>
      </c>
      <c r="G215" t="s">
        <v>595</v>
      </c>
      <c r="H215" t="s">
        <v>62</v>
      </c>
      <c r="I215">
        <f>I213*J215</f>
        <v>1</v>
      </c>
      <c r="J215">
        <v>2.564102564102564E-2</v>
      </c>
      <c r="O215">
        <f t="shared" si="210"/>
        <v>1552.02</v>
      </c>
      <c r="P215">
        <f t="shared" si="211"/>
        <v>1552.02</v>
      </c>
      <c r="Q215">
        <f t="shared" si="212"/>
        <v>0</v>
      </c>
      <c r="R215">
        <f t="shared" si="213"/>
        <v>0</v>
      </c>
      <c r="S215">
        <f t="shared" si="214"/>
        <v>0</v>
      </c>
      <c r="T215">
        <f t="shared" si="215"/>
        <v>0</v>
      </c>
      <c r="U215">
        <f t="shared" si="216"/>
        <v>0</v>
      </c>
      <c r="V215">
        <f t="shared" si="217"/>
        <v>0</v>
      </c>
      <c r="W215">
        <f t="shared" si="218"/>
        <v>0</v>
      </c>
      <c r="X215">
        <f t="shared" si="219"/>
        <v>0</v>
      </c>
      <c r="Y215">
        <f t="shared" si="220"/>
        <v>0</v>
      </c>
      <c r="AA215">
        <v>16812721</v>
      </c>
      <c r="AB215">
        <f t="shared" si="221"/>
        <v>231.3</v>
      </c>
      <c r="AC215">
        <f t="shared" si="244"/>
        <v>231.3</v>
      </c>
      <c r="AD215">
        <f t="shared" si="245"/>
        <v>0</v>
      </c>
      <c r="AE215">
        <f t="shared" si="246"/>
        <v>0</v>
      </c>
      <c r="AF215">
        <f t="shared" si="247"/>
        <v>0</v>
      </c>
      <c r="AG215">
        <f t="shared" si="222"/>
        <v>0</v>
      </c>
      <c r="AH215">
        <f t="shared" si="248"/>
        <v>0</v>
      </c>
      <c r="AI215">
        <f t="shared" si="249"/>
        <v>0</v>
      </c>
      <c r="AJ215">
        <f t="shared" si="223"/>
        <v>0</v>
      </c>
      <c r="AK215">
        <v>231.3</v>
      </c>
      <c r="AL215">
        <v>231.3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95</v>
      </c>
      <c r="AU215">
        <v>65</v>
      </c>
      <c r="AV215">
        <v>1</v>
      </c>
      <c r="AW215">
        <v>1</v>
      </c>
      <c r="AZ215">
        <v>6.71</v>
      </c>
      <c r="BA215">
        <v>1</v>
      </c>
      <c r="BB215">
        <v>1</v>
      </c>
      <c r="BC215">
        <v>6.71</v>
      </c>
      <c r="BD215" t="s">
        <v>6</v>
      </c>
      <c r="BE215" t="s">
        <v>6</v>
      </c>
      <c r="BF215" t="s">
        <v>6</v>
      </c>
      <c r="BG215" t="s">
        <v>6</v>
      </c>
      <c r="BH215">
        <v>3</v>
      </c>
      <c r="BI215">
        <v>2</v>
      </c>
      <c r="BJ215" t="s">
        <v>596</v>
      </c>
      <c r="BM215">
        <v>108001</v>
      </c>
      <c r="BN215">
        <v>0</v>
      </c>
      <c r="BO215" t="s">
        <v>6</v>
      </c>
      <c r="BP215">
        <v>0</v>
      </c>
      <c r="BQ215">
        <v>3</v>
      </c>
      <c r="BR215">
        <v>0</v>
      </c>
      <c r="BS215">
        <v>1</v>
      </c>
      <c r="BT215">
        <v>1</v>
      </c>
      <c r="BU215">
        <v>1</v>
      </c>
      <c r="BV215">
        <v>1</v>
      </c>
      <c r="BW215">
        <v>1</v>
      </c>
      <c r="BX215">
        <v>1</v>
      </c>
      <c r="BY215" t="s">
        <v>6</v>
      </c>
      <c r="BZ215">
        <v>95</v>
      </c>
      <c r="CA215">
        <v>65</v>
      </c>
      <c r="CE215">
        <v>0</v>
      </c>
      <c r="CF215">
        <v>0</v>
      </c>
      <c r="CG215">
        <v>0</v>
      </c>
      <c r="CM215">
        <v>0</v>
      </c>
      <c r="CN215" t="s">
        <v>6</v>
      </c>
      <c r="CO215">
        <v>0</v>
      </c>
      <c r="CP215">
        <f t="shared" si="224"/>
        <v>1552.02</v>
      </c>
      <c r="CQ215">
        <f t="shared" si="225"/>
        <v>1552.0230000000001</v>
      </c>
      <c r="CR215">
        <f t="shared" si="226"/>
        <v>0</v>
      </c>
      <c r="CS215">
        <f t="shared" si="227"/>
        <v>0</v>
      </c>
      <c r="CT215">
        <f t="shared" si="228"/>
        <v>0</v>
      </c>
      <c r="CU215">
        <f t="shared" si="229"/>
        <v>0</v>
      </c>
      <c r="CV215">
        <f t="shared" si="230"/>
        <v>0</v>
      </c>
      <c r="CW215">
        <f t="shared" si="231"/>
        <v>0</v>
      </c>
      <c r="CX215">
        <f t="shared" si="232"/>
        <v>0</v>
      </c>
      <c r="CY215">
        <f t="shared" si="233"/>
        <v>0</v>
      </c>
      <c r="CZ215">
        <f t="shared" si="234"/>
        <v>0</v>
      </c>
      <c r="DC215" t="s">
        <v>6</v>
      </c>
      <c r="DD215" t="s">
        <v>6</v>
      </c>
      <c r="DE215" t="s">
        <v>6</v>
      </c>
      <c r="DF215" t="s">
        <v>6</v>
      </c>
      <c r="DG215" t="s">
        <v>6</v>
      </c>
      <c r="DH215" t="s">
        <v>6</v>
      </c>
      <c r="DI215" t="s">
        <v>6</v>
      </c>
      <c r="DJ215" t="s">
        <v>6</v>
      </c>
      <c r="DK215" t="s">
        <v>6</v>
      </c>
      <c r="DL215" t="s">
        <v>6</v>
      </c>
      <c r="DM215" t="s">
        <v>6</v>
      </c>
      <c r="DN215">
        <v>0</v>
      </c>
      <c r="DO215">
        <v>0</v>
      </c>
      <c r="DP215">
        <v>1</v>
      </c>
      <c r="DQ215">
        <v>1</v>
      </c>
      <c r="DU215">
        <v>1010</v>
      </c>
      <c r="DV215" t="s">
        <v>62</v>
      </c>
      <c r="DW215" t="s">
        <v>62</v>
      </c>
      <c r="DX215">
        <v>1</v>
      </c>
      <c r="EE215">
        <v>16510370</v>
      </c>
      <c r="EF215">
        <v>3</v>
      </c>
      <c r="EG215" t="s">
        <v>472</v>
      </c>
      <c r="EH215">
        <v>0</v>
      </c>
      <c r="EI215" t="s">
        <v>6</v>
      </c>
      <c r="EJ215">
        <v>2</v>
      </c>
      <c r="EK215">
        <v>108001</v>
      </c>
      <c r="EL215" t="s">
        <v>473</v>
      </c>
      <c r="EM215" t="s">
        <v>474</v>
      </c>
      <c r="EO215" t="s">
        <v>6</v>
      </c>
      <c r="EQ215">
        <v>0</v>
      </c>
      <c r="ER215">
        <v>231.3</v>
      </c>
      <c r="ES215">
        <v>231.3</v>
      </c>
      <c r="ET215">
        <v>0</v>
      </c>
      <c r="EU215">
        <v>0</v>
      </c>
      <c r="EV215">
        <v>0</v>
      </c>
      <c r="EW215">
        <v>0</v>
      </c>
      <c r="EX215">
        <v>0</v>
      </c>
      <c r="FQ215">
        <v>0</v>
      </c>
      <c r="FR215">
        <f t="shared" si="235"/>
        <v>0</v>
      </c>
      <c r="FS215">
        <v>0</v>
      </c>
      <c r="FX215">
        <v>95</v>
      </c>
      <c r="FY215">
        <v>65</v>
      </c>
      <c r="GA215" t="s">
        <v>6</v>
      </c>
      <c r="GD215">
        <v>0</v>
      </c>
      <c r="GF215">
        <v>942662242</v>
      </c>
      <c r="GG215">
        <v>1</v>
      </c>
      <c r="GH215">
        <v>1</v>
      </c>
      <c r="GI215">
        <v>4</v>
      </c>
      <c r="GJ215">
        <v>0</v>
      </c>
      <c r="GK215">
        <f>ROUND(R215*(R12)/100,2)</f>
        <v>0</v>
      </c>
      <c r="GL215">
        <f t="shared" si="236"/>
        <v>0</v>
      </c>
      <c r="GM215">
        <f t="shared" si="237"/>
        <v>1552.02</v>
      </c>
      <c r="GN215">
        <f t="shared" si="238"/>
        <v>0</v>
      </c>
      <c r="GO215">
        <f t="shared" si="239"/>
        <v>1552.02</v>
      </c>
      <c r="GP215">
        <f t="shared" si="240"/>
        <v>0</v>
      </c>
      <c r="GR215">
        <v>0</v>
      </c>
      <c r="GS215">
        <v>3</v>
      </c>
      <c r="GT215">
        <v>0</v>
      </c>
      <c r="GU215" t="s">
        <v>6</v>
      </c>
      <c r="GV215">
        <f t="shared" si="241"/>
        <v>0</v>
      </c>
      <c r="GW215">
        <v>1</v>
      </c>
      <c r="GX215">
        <f t="shared" si="242"/>
        <v>0</v>
      </c>
      <c r="HA215">
        <v>0</v>
      </c>
      <c r="HB215">
        <v>0</v>
      </c>
      <c r="HC215">
        <f t="shared" si="243"/>
        <v>0</v>
      </c>
      <c r="IK215">
        <v>0</v>
      </c>
    </row>
    <row r="216" spans="1:245" x14ac:dyDescent="0.2">
      <c r="A216">
        <v>18</v>
      </c>
      <c r="B216">
        <v>1</v>
      </c>
      <c r="C216">
        <v>379</v>
      </c>
      <c r="E216" t="s">
        <v>597</v>
      </c>
      <c r="F216" t="s">
        <v>598</v>
      </c>
      <c r="G216" t="s">
        <v>599</v>
      </c>
      <c r="H216" t="s">
        <v>62</v>
      </c>
      <c r="I216">
        <f>I213*J216</f>
        <v>3</v>
      </c>
      <c r="J216">
        <v>7.6923076923076927E-2</v>
      </c>
      <c r="O216">
        <f t="shared" si="210"/>
        <v>1482.17</v>
      </c>
      <c r="P216">
        <f t="shared" si="211"/>
        <v>1482.17</v>
      </c>
      <c r="Q216">
        <f t="shared" si="212"/>
        <v>0</v>
      </c>
      <c r="R216">
        <f t="shared" si="213"/>
        <v>0</v>
      </c>
      <c r="S216">
        <f t="shared" si="214"/>
        <v>0</v>
      </c>
      <c r="T216">
        <f t="shared" si="215"/>
        <v>0</v>
      </c>
      <c r="U216">
        <f t="shared" si="216"/>
        <v>0</v>
      </c>
      <c r="V216">
        <f t="shared" si="217"/>
        <v>0</v>
      </c>
      <c r="W216">
        <f t="shared" si="218"/>
        <v>0</v>
      </c>
      <c r="X216">
        <f t="shared" si="219"/>
        <v>0</v>
      </c>
      <c r="Y216">
        <f t="shared" si="220"/>
        <v>0</v>
      </c>
      <c r="AA216">
        <v>16812721</v>
      </c>
      <c r="AB216">
        <f t="shared" si="221"/>
        <v>73.63</v>
      </c>
      <c r="AC216">
        <f t="shared" si="244"/>
        <v>73.63</v>
      </c>
      <c r="AD216">
        <f t="shared" si="245"/>
        <v>0</v>
      </c>
      <c r="AE216">
        <f t="shared" si="246"/>
        <v>0</v>
      </c>
      <c r="AF216">
        <f t="shared" si="247"/>
        <v>0</v>
      </c>
      <c r="AG216">
        <f t="shared" si="222"/>
        <v>0</v>
      </c>
      <c r="AH216">
        <f t="shared" si="248"/>
        <v>0</v>
      </c>
      <c r="AI216">
        <f t="shared" si="249"/>
        <v>0</v>
      </c>
      <c r="AJ216">
        <f t="shared" si="223"/>
        <v>0</v>
      </c>
      <c r="AK216">
        <v>73.63</v>
      </c>
      <c r="AL216">
        <v>73.63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95</v>
      </c>
      <c r="AU216">
        <v>65</v>
      </c>
      <c r="AV216">
        <v>1</v>
      </c>
      <c r="AW216">
        <v>1</v>
      </c>
      <c r="AZ216">
        <v>6.71</v>
      </c>
      <c r="BA216">
        <v>1</v>
      </c>
      <c r="BB216">
        <v>1</v>
      </c>
      <c r="BC216">
        <v>6.71</v>
      </c>
      <c r="BD216" t="s">
        <v>6</v>
      </c>
      <c r="BE216" t="s">
        <v>6</v>
      </c>
      <c r="BF216" t="s">
        <v>6</v>
      </c>
      <c r="BG216" t="s">
        <v>6</v>
      </c>
      <c r="BH216">
        <v>3</v>
      </c>
      <c r="BI216">
        <v>2</v>
      </c>
      <c r="BJ216" t="s">
        <v>600</v>
      </c>
      <c r="BM216">
        <v>108001</v>
      </c>
      <c r="BN216">
        <v>0</v>
      </c>
      <c r="BO216" t="s">
        <v>6</v>
      </c>
      <c r="BP216">
        <v>0</v>
      </c>
      <c r="BQ216">
        <v>3</v>
      </c>
      <c r="BR216">
        <v>0</v>
      </c>
      <c r="BS216">
        <v>1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6</v>
      </c>
      <c r="BZ216">
        <v>95</v>
      </c>
      <c r="CA216">
        <v>65</v>
      </c>
      <c r="CE216">
        <v>0</v>
      </c>
      <c r="CF216">
        <v>0</v>
      </c>
      <c r="CG216">
        <v>0</v>
      </c>
      <c r="CM216">
        <v>0</v>
      </c>
      <c r="CN216" t="s">
        <v>6</v>
      </c>
      <c r="CO216">
        <v>0</v>
      </c>
      <c r="CP216">
        <f t="shared" si="224"/>
        <v>1482.17</v>
      </c>
      <c r="CQ216">
        <f t="shared" si="225"/>
        <v>494.05729999999994</v>
      </c>
      <c r="CR216">
        <f t="shared" si="226"/>
        <v>0</v>
      </c>
      <c r="CS216">
        <f t="shared" si="227"/>
        <v>0</v>
      </c>
      <c r="CT216">
        <f t="shared" si="228"/>
        <v>0</v>
      </c>
      <c r="CU216">
        <f t="shared" si="229"/>
        <v>0</v>
      </c>
      <c r="CV216">
        <f t="shared" si="230"/>
        <v>0</v>
      </c>
      <c r="CW216">
        <f t="shared" si="231"/>
        <v>0</v>
      </c>
      <c r="CX216">
        <f t="shared" si="232"/>
        <v>0</v>
      </c>
      <c r="CY216">
        <f t="shared" si="233"/>
        <v>0</v>
      </c>
      <c r="CZ216">
        <f t="shared" si="234"/>
        <v>0</v>
      </c>
      <c r="DC216" t="s">
        <v>6</v>
      </c>
      <c r="DD216" t="s">
        <v>6</v>
      </c>
      <c r="DE216" t="s">
        <v>6</v>
      </c>
      <c r="DF216" t="s">
        <v>6</v>
      </c>
      <c r="DG216" t="s">
        <v>6</v>
      </c>
      <c r="DH216" t="s">
        <v>6</v>
      </c>
      <c r="DI216" t="s">
        <v>6</v>
      </c>
      <c r="DJ216" t="s">
        <v>6</v>
      </c>
      <c r="DK216" t="s">
        <v>6</v>
      </c>
      <c r="DL216" t="s">
        <v>6</v>
      </c>
      <c r="DM216" t="s">
        <v>6</v>
      </c>
      <c r="DN216">
        <v>0</v>
      </c>
      <c r="DO216">
        <v>0</v>
      </c>
      <c r="DP216">
        <v>1</v>
      </c>
      <c r="DQ216">
        <v>1</v>
      </c>
      <c r="DU216">
        <v>1010</v>
      </c>
      <c r="DV216" t="s">
        <v>62</v>
      </c>
      <c r="DW216" t="s">
        <v>62</v>
      </c>
      <c r="DX216">
        <v>1</v>
      </c>
      <c r="EE216">
        <v>16510370</v>
      </c>
      <c r="EF216">
        <v>3</v>
      </c>
      <c r="EG216" t="s">
        <v>472</v>
      </c>
      <c r="EH216">
        <v>0</v>
      </c>
      <c r="EI216" t="s">
        <v>6</v>
      </c>
      <c r="EJ216">
        <v>2</v>
      </c>
      <c r="EK216">
        <v>108001</v>
      </c>
      <c r="EL216" t="s">
        <v>473</v>
      </c>
      <c r="EM216" t="s">
        <v>474</v>
      </c>
      <c r="EO216" t="s">
        <v>6</v>
      </c>
      <c r="EQ216">
        <v>0</v>
      </c>
      <c r="ER216">
        <v>73.63</v>
      </c>
      <c r="ES216">
        <v>73.63</v>
      </c>
      <c r="ET216">
        <v>0</v>
      </c>
      <c r="EU216">
        <v>0</v>
      </c>
      <c r="EV216">
        <v>0</v>
      </c>
      <c r="EW216">
        <v>0</v>
      </c>
      <c r="EX216">
        <v>0</v>
      </c>
      <c r="FQ216">
        <v>0</v>
      </c>
      <c r="FR216">
        <f t="shared" si="235"/>
        <v>0</v>
      </c>
      <c r="FS216">
        <v>0</v>
      </c>
      <c r="FX216">
        <v>95</v>
      </c>
      <c r="FY216">
        <v>65</v>
      </c>
      <c r="GA216" t="s">
        <v>6</v>
      </c>
      <c r="GD216">
        <v>0</v>
      </c>
      <c r="GF216">
        <v>1012048153</v>
      </c>
      <c r="GG216">
        <v>1</v>
      </c>
      <c r="GH216">
        <v>1</v>
      </c>
      <c r="GI216">
        <v>4</v>
      </c>
      <c r="GJ216">
        <v>0</v>
      </c>
      <c r="GK216">
        <f>ROUND(R216*(R12)/100,2)</f>
        <v>0</v>
      </c>
      <c r="GL216">
        <f t="shared" si="236"/>
        <v>0</v>
      </c>
      <c r="GM216">
        <f t="shared" si="237"/>
        <v>1482.17</v>
      </c>
      <c r="GN216">
        <f t="shared" si="238"/>
        <v>0</v>
      </c>
      <c r="GO216">
        <f t="shared" si="239"/>
        <v>1482.17</v>
      </c>
      <c r="GP216">
        <f t="shared" si="240"/>
        <v>0</v>
      </c>
      <c r="GR216">
        <v>0</v>
      </c>
      <c r="GS216">
        <v>3</v>
      </c>
      <c r="GT216">
        <v>0</v>
      </c>
      <c r="GU216" t="s">
        <v>6</v>
      </c>
      <c r="GV216">
        <f t="shared" si="241"/>
        <v>0</v>
      </c>
      <c r="GW216">
        <v>1</v>
      </c>
      <c r="GX216">
        <f t="shared" si="242"/>
        <v>0</v>
      </c>
      <c r="HA216">
        <v>0</v>
      </c>
      <c r="HB216">
        <v>0</v>
      </c>
      <c r="HC216">
        <f t="shared" si="243"/>
        <v>0</v>
      </c>
      <c r="IK216">
        <v>0</v>
      </c>
    </row>
    <row r="217" spans="1:245" x14ac:dyDescent="0.2">
      <c r="A217">
        <v>18</v>
      </c>
      <c r="B217">
        <v>1</v>
      </c>
      <c r="C217">
        <v>382</v>
      </c>
      <c r="E217" t="s">
        <v>601</v>
      </c>
      <c r="F217" t="s">
        <v>602</v>
      </c>
      <c r="G217" t="s">
        <v>603</v>
      </c>
      <c r="H217" t="s">
        <v>62</v>
      </c>
      <c r="I217">
        <f>I213*J217</f>
        <v>4</v>
      </c>
      <c r="J217">
        <v>0.10256410256410256</v>
      </c>
      <c r="O217">
        <f t="shared" si="210"/>
        <v>6208.09</v>
      </c>
      <c r="P217">
        <f t="shared" si="211"/>
        <v>6208.09</v>
      </c>
      <c r="Q217">
        <f t="shared" si="212"/>
        <v>0</v>
      </c>
      <c r="R217">
        <f t="shared" si="213"/>
        <v>0</v>
      </c>
      <c r="S217">
        <f t="shared" si="214"/>
        <v>0</v>
      </c>
      <c r="T217">
        <f t="shared" si="215"/>
        <v>0</v>
      </c>
      <c r="U217">
        <f t="shared" si="216"/>
        <v>0</v>
      </c>
      <c r="V217">
        <f t="shared" si="217"/>
        <v>0</v>
      </c>
      <c r="W217">
        <f t="shared" si="218"/>
        <v>0</v>
      </c>
      <c r="X217">
        <f t="shared" si="219"/>
        <v>0</v>
      </c>
      <c r="Y217">
        <f t="shared" si="220"/>
        <v>0</v>
      </c>
      <c r="AA217">
        <v>16812721</v>
      </c>
      <c r="AB217">
        <f t="shared" si="221"/>
        <v>231.3</v>
      </c>
      <c r="AC217">
        <f t="shared" si="244"/>
        <v>231.3</v>
      </c>
      <c r="AD217">
        <f t="shared" si="245"/>
        <v>0</v>
      </c>
      <c r="AE217">
        <f t="shared" si="246"/>
        <v>0</v>
      </c>
      <c r="AF217">
        <f t="shared" si="247"/>
        <v>0</v>
      </c>
      <c r="AG217">
        <f t="shared" si="222"/>
        <v>0</v>
      </c>
      <c r="AH217">
        <f t="shared" si="248"/>
        <v>0</v>
      </c>
      <c r="AI217">
        <f t="shared" si="249"/>
        <v>0</v>
      </c>
      <c r="AJ217">
        <f t="shared" si="223"/>
        <v>0</v>
      </c>
      <c r="AK217">
        <v>231.3</v>
      </c>
      <c r="AL217">
        <v>231.3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95</v>
      </c>
      <c r="AU217">
        <v>65</v>
      </c>
      <c r="AV217">
        <v>1</v>
      </c>
      <c r="AW217">
        <v>1</v>
      </c>
      <c r="AZ217">
        <v>6.71</v>
      </c>
      <c r="BA217">
        <v>1</v>
      </c>
      <c r="BB217">
        <v>1</v>
      </c>
      <c r="BC217">
        <v>6.71</v>
      </c>
      <c r="BD217" t="s">
        <v>6</v>
      </c>
      <c r="BE217" t="s">
        <v>6</v>
      </c>
      <c r="BF217" t="s">
        <v>6</v>
      </c>
      <c r="BG217" t="s">
        <v>6</v>
      </c>
      <c r="BH217">
        <v>3</v>
      </c>
      <c r="BI217">
        <v>2</v>
      </c>
      <c r="BJ217" t="s">
        <v>604</v>
      </c>
      <c r="BM217">
        <v>108001</v>
      </c>
      <c r="BN217">
        <v>0</v>
      </c>
      <c r="BO217" t="s">
        <v>6</v>
      </c>
      <c r="BP217">
        <v>0</v>
      </c>
      <c r="BQ217">
        <v>3</v>
      </c>
      <c r="BR217">
        <v>0</v>
      </c>
      <c r="BS217">
        <v>1</v>
      </c>
      <c r="BT217">
        <v>1</v>
      </c>
      <c r="BU217">
        <v>1</v>
      </c>
      <c r="BV217">
        <v>1</v>
      </c>
      <c r="BW217">
        <v>1</v>
      </c>
      <c r="BX217">
        <v>1</v>
      </c>
      <c r="BY217" t="s">
        <v>6</v>
      </c>
      <c r="BZ217">
        <v>95</v>
      </c>
      <c r="CA217">
        <v>65</v>
      </c>
      <c r="CE217">
        <v>0</v>
      </c>
      <c r="CF217">
        <v>0</v>
      </c>
      <c r="CG217">
        <v>0</v>
      </c>
      <c r="CM217">
        <v>0</v>
      </c>
      <c r="CN217" t="s">
        <v>6</v>
      </c>
      <c r="CO217">
        <v>0</v>
      </c>
      <c r="CP217">
        <f t="shared" si="224"/>
        <v>6208.09</v>
      </c>
      <c r="CQ217">
        <f t="shared" si="225"/>
        <v>1552.0230000000001</v>
      </c>
      <c r="CR217">
        <f t="shared" si="226"/>
        <v>0</v>
      </c>
      <c r="CS217">
        <f t="shared" si="227"/>
        <v>0</v>
      </c>
      <c r="CT217">
        <f t="shared" si="228"/>
        <v>0</v>
      </c>
      <c r="CU217">
        <f t="shared" si="229"/>
        <v>0</v>
      </c>
      <c r="CV217">
        <f t="shared" si="230"/>
        <v>0</v>
      </c>
      <c r="CW217">
        <f t="shared" si="231"/>
        <v>0</v>
      </c>
      <c r="CX217">
        <f t="shared" si="232"/>
        <v>0</v>
      </c>
      <c r="CY217">
        <f t="shared" si="233"/>
        <v>0</v>
      </c>
      <c r="CZ217">
        <f t="shared" si="234"/>
        <v>0</v>
      </c>
      <c r="DC217" t="s">
        <v>6</v>
      </c>
      <c r="DD217" t="s">
        <v>6</v>
      </c>
      <c r="DE217" t="s">
        <v>6</v>
      </c>
      <c r="DF217" t="s">
        <v>6</v>
      </c>
      <c r="DG217" t="s">
        <v>6</v>
      </c>
      <c r="DH217" t="s">
        <v>6</v>
      </c>
      <c r="DI217" t="s">
        <v>6</v>
      </c>
      <c r="DJ217" t="s">
        <v>6</v>
      </c>
      <c r="DK217" t="s">
        <v>6</v>
      </c>
      <c r="DL217" t="s">
        <v>6</v>
      </c>
      <c r="DM217" t="s">
        <v>6</v>
      </c>
      <c r="DN217">
        <v>0</v>
      </c>
      <c r="DO217">
        <v>0</v>
      </c>
      <c r="DP217">
        <v>1</v>
      </c>
      <c r="DQ217">
        <v>1</v>
      </c>
      <c r="DU217">
        <v>1010</v>
      </c>
      <c r="DV217" t="s">
        <v>62</v>
      </c>
      <c r="DW217" t="s">
        <v>62</v>
      </c>
      <c r="DX217">
        <v>1</v>
      </c>
      <c r="EE217">
        <v>16510370</v>
      </c>
      <c r="EF217">
        <v>3</v>
      </c>
      <c r="EG217" t="s">
        <v>472</v>
      </c>
      <c r="EH217">
        <v>0</v>
      </c>
      <c r="EI217" t="s">
        <v>6</v>
      </c>
      <c r="EJ217">
        <v>2</v>
      </c>
      <c r="EK217">
        <v>108001</v>
      </c>
      <c r="EL217" t="s">
        <v>473</v>
      </c>
      <c r="EM217" t="s">
        <v>474</v>
      </c>
      <c r="EO217" t="s">
        <v>6</v>
      </c>
      <c r="EQ217">
        <v>0</v>
      </c>
      <c r="ER217">
        <v>231.3</v>
      </c>
      <c r="ES217">
        <v>231.3</v>
      </c>
      <c r="ET217">
        <v>0</v>
      </c>
      <c r="EU217">
        <v>0</v>
      </c>
      <c r="EV217">
        <v>0</v>
      </c>
      <c r="EW217">
        <v>0</v>
      </c>
      <c r="EX217">
        <v>0</v>
      </c>
      <c r="FQ217">
        <v>0</v>
      </c>
      <c r="FR217">
        <f t="shared" si="235"/>
        <v>0</v>
      </c>
      <c r="FS217">
        <v>0</v>
      </c>
      <c r="FX217">
        <v>95</v>
      </c>
      <c r="FY217">
        <v>65</v>
      </c>
      <c r="GA217" t="s">
        <v>6</v>
      </c>
      <c r="GD217">
        <v>0</v>
      </c>
      <c r="GF217">
        <v>-476651515</v>
      </c>
      <c r="GG217">
        <v>1</v>
      </c>
      <c r="GH217">
        <v>1</v>
      </c>
      <c r="GI217">
        <v>4</v>
      </c>
      <c r="GJ217">
        <v>0</v>
      </c>
      <c r="GK217">
        <f>ROUND(R217*(R12)/100,2)</f>
        <v>0</v>
      </c>
      <c r="GL217">
        <f t="shared" si="236"/>
        <v>0</v>
      </c>
      <c r="GM217">
        <f t="shared" si="237"/>
        <v>6208.09</v>
      </c>
      <c r="GN217">
        <f t="shared" si="238"/>
        <v>0</v>
      </c>
      <c r="GO217">
        <f t="shared" si="239"/>
        <v>6208.09</v>
      </c>
      <c r="GP217">
        <f t="shared" si="240"/>
        <v>0</v>
      </c>
      <c r="GR217">
        <v>0</v>
      </c>
      <c r="GS217">
        <v>3</v>
      </c>
      <c r="GT217">
        <v>0</v>
      </c>
      <c r="GU217" t="s">
        <v>6</v>
      </c>
      <c r="GV217">
        <f t="shared" si="241"/>
        <v>0</v>
      </c>
      <c r="GW217">
        <v>1</v>
      </c>
      <c r="GX217">
        <f t="shared" si="242"/>
        <v>0</v>
      </c>
      <c r="HA217">
        <v>0</v>
      </c>
      <c r="HB217">
        <v>0</v>
      </c>
      <c r="HC217">
        <f t="shared" si="243"/>
        <v>0</v>
      </c>
      <c r="IK217">
        <v>0</v>
      </c>
    </row>
    <row r="218" spans="1:245" x14ac:dyDescent="0.2">
      <c r="A218">
        <v>18</v>
      </c>
      <c r="B218">
        <v>1</v>
      </c>
      <c r="C218">
        <v>384</v>
      </c>
      <c r="E218" t="s">
        <v>605</v>
      </c>
      <c r="F218" t="s">
        <v>606</v>
      </c>
      <c r="G218" t="s">
        <v>607</v>
      </c>
      <c r="H218" t="s">
        <v>62</v>
      </c>
      <c r="I218">
        <f>I213*J218</f>
        <v>3</v>
      </c>
      <c r="J218">
        <v>7.6923076923076927E-2</v>
      </c>
      <c r="O218">
        <f t="shared" si="210"/>
        <v>6082.48</v>
      </c>
      <c r="P218">
        <f t="shared" si="211"/>
        <v>6082.48</v>
      </c>
      <c r="Q218">
        <f t="shared" si="212"/>
        <v>0</v>
      </c>
      <c r="R218">
        <f t="shared" si="213"/>
        <v>0</v>
      </c>
      <c r="S218">
        <f t="shared" si="214"/>
        <v>0</v>
      </c>
      <c r="T218">
        <f t="shared" si="215"/>
        <v>0</v>
      </c>
      <c r="U218">
        <f t="shared" si="216"/>
        <v>0</v>
      </c>
      <c r="V218">
        <f t="shared" si="217"/>
        <v>0</v>
      </c>
      <c r="W218">
        <f t="shared" si="218"/>
        <v>0</v>
      </c>
      <c r="X218">
        <f t="shared" si="219"/>
        <v>0</v>
      </c>
      <c r="Y218">
        <f t="shared" si="220"/>
        <v>0</v>
      </c>
      <c r="AA218">
        <v>16812721</v>
      </c>
      <c r="AB218">
        <f t="shared" si="221"/>
        <v>302.16000000000003</v>
      </c>
      <c r="AC218">
        <f t="shared" si="244"/>
        <v>302.16000000000003</v>
      </c>
      <c r="AD218">
        <f t="shared" si="245"/>
        <v>0</v>
      </c>
      <c r="AE218">
        <f t="shared" si="246"/>
        <v>0</v>
      </c>
      <c r="AF218">
        <f t="shared" si="247"/>
        <v>0</v>
      </c>
      <c r="AG218">
        <f t="shared" si="222"/>
        <v>0</v>
      </c>
      <c r="AH218">
        <f t="shared" si="248"/>
        <v>0</v>
      </c>
      <c r="AI218">
        <f t="shared" si="249"/>
        <v>0</v>
      </c>
      <c r="AJ218">
        <f t="shared" si="223"/>
        <v>0</v>
      </c>
      <c r="AK218">
        <v>302.16000000000003</v>
      </c>
      <c r="AL218">
        <v>302.16000000000003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95</v>
      </c>
      <c r="AU218">
        <v>65</v>
      </c>
      <c r="AV218">
        <v>1</v>
      </c>
      <c r="AW218">
        <v>1</v>
      </c>
      <c r="AZ218">
        <v>6.71</v>
      </c>
      <c r="BA218">
        <v>1</v>
      </c>
      <c r="BB218">
        <v>1</v>
      </c>
      <c r="BC218">
        <v>6.71</v>
      </c>
      <c r="BD218" t="s">
        <v>6</v>
      </c>
      <c r="BE218" t="s">
        <v>6</v>
      </c>
      <c r="BF218" t="s">
        <v>6</v>
      </c>
      <c r="BG218" t="s">
        <v>6</v>
      </c>
      <c r="BH218">
        <v>3</v>
      </c>
      <c r="BI218">
        <v>2</v>
      </c>
      <c r="BJ218" t="s">
        <v>608</v>
      </c>
      <c r="BM218">
        <v>108001</v>
      </c>
      <c r="BN218">
        <v>0</v>
      </c>
      <c r="BO218" t="s">
        <v>6</v>
      </c>
      <c r="BP218">
        <v>0</v>
      </c>
      <c r="BQ218">
        <v>3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6</v>
      </c>
      <c r="BZ218">
        <v>95</v>
      </c>
      <c r="CA218">
        <v>65</v>
      </c>
      <c r="CE218">
        <v>0</v>
      </c>
      <c r="CF218">
        <v>0</v>
      </c>
      <c r="CG218">
        <v>0</v>
      </c>
      <c r="CM218">
        <v>0</v>
      </c>
      <c r="CN218" t="s">
        <v>6</v>
      </c>
      <c r="CO218">
        <v>0</v>
      </c>
      <c r="CP218">
        <f t="shared" si="224"/>
        <v>6082.48</v>
      </c>
      <c r="CQ218">
        <f t="shared" si="225"/>
        <v>2027.4936000000002</v>
      </c>
      <c r="CR218">
        <f t="shared" si="226"/>
        <v>0</v>
      </c>
      <c r="CS218">
        <f t="shared" si="227"/>
        <v>0</v>
      </c>
      <c r="CT218">
        <f t="shared" si="228"/>
        <v>0</v>
      </c>
      <c r="CU218">
        <f t="shared" si="229"/>
        <v>0</v>
      </c>
      <c r="CV218">
        <f t="shared" si="230"/>
        <v>0</v>
      </c>
      <c r="CW218">
        <f t="shared" si="231"/>
        <v>0</v>
      </c>
      <c r="CX218">
        <f t="shared" si="232"/>
        <v>0</v>
      </c>
      <c r="CY218">
        <f t="shared" si="233"/>
        <v>0</v>
      </c>
      <c r="CZ218">
        <f t="shared" si="234"/>
        <v>0</v>
      </c>
      <c r="DC218" t="s">
        <v>6</v>
      </c>
      <c r="DD218" t="s">
        <v>6</v>
      </c>
      <c r="DE218" t="s">
        <v>6</v>
      </c>
      <c r="DF218" t="s">
        <v>6</v>
      </c>
      <c r="DG218" t="s">
        <v>6</v>
      </c>
      <c r="DH218" t="s">
        <v>6</v>
      </c>
      <c r="DI218" t="s">
        <v>6</v>
      </c>
      <c r="DJ218" t="s">
        <v>6</v>
      </c>
      <c r="DK218" t="s">
        <v>6</v>
      </c>
      <c r="DL218" t="s">
        <v>6</v>
      </c>
      <c r="DM218" t="s">
        <v>6</v>
      </c>
      <c r="DN218">
        <v>0</v>
      </c>
      <c r="DO218">
        <v>0</v>
      </c>
      <c r="DP218">
        <v>1</v>
      </c>
      <c r="DQ218">
        <v>1</v>
      </c>
      <c r="DU218">
        <v>1010</v>
      </c>
      <c r="DV218" t="s">
        <v>62</v>
      </c>
      <c r="DW218" t="s">
        <v>62</v>
      </c>
      <c r="DX218">
        <v>1</v>
      </c>
      <c r="EE218">
        <v>16510370</v>
      </c>
      <c r="EF218">
        <v>3</v>
      </c>
      <c r="EG218" t="s">
        <v>472</v>
      </c>
      <c r="EH218">
        <v>0</v>
      </c>
      <c r="EI218" t="s">
        <v>6</v>
      </c>
      <c r="EJ218">
        <v>2</v>
      </c>
      <c r="EK218">
        <v>108001</v>
      </c>
      <c r="EL218" t="s">
        <v>473</v>
      </c>
      <c r="EM218" t="s">
        <v>474</v>
      </c>
      <c r="EO218" t="s">
        <v>6</v>
      </c>
      <c r="EQ218">
        <v>0</v>
      </c>
      <c r="ER218">
        <v>302.16000000000003</v>
      </c>
      <c r="ES218">
        <v>302.16000000000003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35"/>
        <v>0</v>
      </c>
      <c r="FS218">
        <v>0</v>
      </c>
      <c r="FX218">
        <v>95</v>
      </c>
      <c r="FY218">
        <v>65</v>
      </c>
      <c r="GA218" t="s">
        <v>6</v>
      </c>
      <c r="GD218">
        <v>0</v>
      </c>
      <c r="GF218">
        <v>-1509361717</v>
      </c>
      <c r="GG218">
        <v>1</v>
      </c>
      <c r="GH218">
        <v>1</v>
      </c>
      <c r="GI218">
        <v>4</v>
      </c>
      <c r="GJ218">
        <v>0</v>
      </c>
      <c r="GK218">
        <f>ROUND(R218*(R12)/100,2)</f>
        <v>0</v>
      </c>
      <c r="GL218">
        <f t="shared" si="236"/>
        <v>0</v>
      </c>
      <c r="GM218">
        <f t="shared" si="237"/>
        <v>6082.48</v>
      </c>
      <c r="GN218">
        <f t="shared" si="238"/>
        <v>0</v>
      </c>
      <c r="GO218">
        <f t="shared" si="239"/>
        <v>6082.48</v>
      </c>
      <c r="GP218">
        <f t="shared" si="240"/>
        <v>0</v>
      </c>
      <c r="GR218">
        <v>0</v>
      </c>
      <c r="GS218">
        <v>3</v>
      </c>
      <c r="GT218">
        <v>0</v>
      </c>
      <c r="GU218" t="s">
        <v>6</v>
      </c>
      <c r="GV218">
        <f t="shared" si="241"/>
        <v>0</v>
      </c>
      <c r="GW218">
        <v>1</v>
      </c>
      <c r="GX218">
        <f t="shared" si="242"/>
        <v>0</v>
      </c>
      <c r="HA218">
        <v>0</v>
      </c>
      <c r="HB218">
        <v>0</v>
      </c>
      <c r="HC218">
        <f t="shared" si="243"/>
        <v>0</v>
      </c>
      <c r="IK218">
        <v>0</v>
      </c>
    </row>
    <row r="219" spans="1:245" x14ac:dyDescent="0.2">
      <c r="A219">
        <v>18</v>
      </c>
      <c r="B219">
        <v>1</v>
      </c>
      <c r="C219">
        <v>381</v>
      </c>
      <c r="E219" t="s">
        <v>609</v>
      </c>
      <c r="F219" t="s">
        <v>610</v>
      </c>
      <c r="G219" t="s">
        <v>611</v>
      </c>
      <c r="H219" t="s">
        <v>62</v>
      </c>
      <c r="I219">
        <f>I213*J219</f>
        <v>4</v>
      </c>
      <c r="J219">
        <v>0.10256410256410256</v>
      </c>
      <c r="O219">
        <f t="shared" si="210"/>
        <v>1967.1</v>
      </c>
      <c r="P219">
        <f t="shared" si="211"/>
        <v>1967.1</v>
      </c>
      <c r="Q219">
        <f t="shared" si="212"/>
        <v>0</v>
      </c>
      <c r="R219">
        <f t="shared" si="213"/>
        <v>0</v>
      </c>
      <c r="S219">
        <f t="shared" si="214"/>
        <v>0</v>
      </c>
      <c r="T219">
        <f t="shared" si="215"/>
        <v>0</v>
      </c>
      <c r="U219">
        <f t="shared" si="216"/>
        <v>0</v>
      </c>
      <c r="V219">
        <f t="shared" si="217"/>
        <v>0</v>
      </c>
      <c r="W219">
        <f t="shared" si="218"/>
        <v>0</v>
      </c>
      <c r="X219">
        <f t="shared" si="219"/>
        <v>0</v>
      </c>
      <c r="Y219">
        <f t="shared" si="220"/>
        <v>0</v>
      </c>
      <c r="AA219">
        <v>16812721</v>
      </c>
      <c r="AB219">
        <f t="shared" si="221"/>
        <v>73.290000000000006</v>
      </c>
      <c r="AC219">
        <f t="shared" si="244"/>
        <v>73.290000000000006</v>
      </c>
      <c r="AD219">
        <f t="shared" si="245"/>
        <v>0</v>
      </c>
      <c r="AE219">
        <f t="shared" si="246"/>
        <v>0</v>
      </c>
      <c r="AF219">
        <f t="shared" si="247"/>
        <v>0</v>
      </c>
      <c r="AG219">
        <f t="shared" si="222"/>
        <v>0</v>
      </c>
      <c r="AH219">
        <f t="shared" si="248"/>
        <v>0</v>
      </c>
      <c r="AI219">
        <f t="shared" si="249"/>
        <v>0</v>
      </c>
      <c r="AJ219">
        <f t="shared" si="223"/>
        <v>0</v>
      </c>
      <c r="AK219">
        <v>73.290000000000006</v>
      </c>
      <c r="AL219">
        <v>73.290000000000006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95</v>
      </c>
      <c r="AU219">
        <v>65</v>
      </c>
      <c r="AV219">
        <v>1</v>
      </c>
      <c r="AW219">
        <v>1</v>
      </c>
      <c r="AZ219">
        <v>6.71</v>
      </c>
      <c r="BA219">
        <v>1</v>
      </c>
      <c r="BB219">
        <v>1</v>
      </c>
      <c r="BC219">
        <v>6.71</v>
      </c>
      <c r="BD219" t="s">
        <v>6</v>
      </c>
      <c r="BE219" t="s">
        <v>6</v>
      </c>
      <c r="BF219" t="s">
        <v>6</v>
      </c>
      <c r="BG219" t="s">
        <v>6</v>
      </c>
      <c r="BH219">
        <v>3</v>
      </c>
      <c r="BI219">
        <v>2</v>
      </c>
      <c r="BJ219" t="s">
        <v>612</v>
      </c>
      <c r="BM219">
        <v>108001</v>
      </c>
      <c r="BN219">
        <v>0</v>
      </c>
      <c r="BO219" t="s">
        <v>6</v>
      </c>
      <c r="BP219">
        <v>0</v>
      </c>
      <c r="BQ219">
        <v>3</v>
      </c>
      <c r="BR219">
        <v>0</v>
      </c>
      <c r="BS219">
        <v>1</v>
      </c>
      <c r="BT219">
        <v>1</v>
      </c>
      <c r="BU219">
        <v>1</v>
      </c>
      <c r="BV219">
        <v>1</v>
      </c>
      <c r="BW219">
        <v>1</v>
      </c>
      <c r="BX219">
        <v>1</v>
      </c>
      <c r="BY219" t="s">
        <v>6</v>
      </c>
      <c r="BZ219">
        <v>95</v>
      </c>
      <c r="CA219">
        <v>65</v>
      </c>
      <c r="CE219">
        <v>0</v>
      </c>
      <c r="CF219">
        <v>0</v>
      </c>
      <c r="CG219">
        <v>0</v>
      </c>
      <c r="CM219">
        <v>0</v>
      </c>
      <c r="CN219" t="s">
        <v>6</v>
      </c>
      <c r="CO219">
        <v>0</v>
      </c>
      <c r="CP219">
        <f t="shared" si="224"/>
        <v>1967.1</v>
      </c>
      <c r="CQ219">
        <f t="shared" si="225"/>
        <v>491.77590000000004</v>
      </c>
      <c r="CR219">
        <f t="shared" si="226"/>
        <v>0</v>
      </c>
      <c r="CS219">
        <f t="shared" si="227"/>
        <v>0</v>
      </c>
      <c r="CT219">
        <f t="shared" si="228"/>
        <v>0</v>
      </c>
      <c r="CU219">
        <f t="shared" si="229"/>
        <v>0</v>
      </c>
      <c r="CV219">
        <f t="shared" si="230"/>
        <v>0</v>
      </c>
      <c r="CW219">
        <f t="shared" si="231"/>
        <v>0</v>
      </c>
      <c r="CX219">
        <f t="shared" si="232"/>
        <v>0</v>
      </c>
      <c r="CY219">
        <f t="shared" si="233"/>
        <v>0</v>
      </c>
      <c r="CZ219">
        <f t="shared" si="234"/>
        <v>0</v>
      </c>
      <c r="DC219" t="s">
        <v>6</v>
      </c>
      <c r="DD219" t="s">
        <v>6</v>
      </c>
      <c r="DE219" t="s">
        <v>6</v>
      </c>
      <c r="DF219" t="s">
        <v>6</v>
      </c>
      <c r="DG219" t="s">
        <v>6</v>
      </c>
      <c r="DH219" t="s">
        <v>6</v>
      </c>
      <c r="DI219" t="s">
        <v>6</v>
      </c>
      <c r="DJ219" t="s">
        <v>6</v>
      </c>
      <c r="DK219" t="s">
        <v>6</v>
      </c>
      <c r="DL219" t="s">
        <v>6</v>
      </c>
      <c r="DM219" t="s">
        <v>6</v>
      </c>
      <c r="DN219">
        <v>0</v>
      </c>
      <c r="DO219">
        <v>0</v>
      </c>
      <c r="DP219">
        <v>1</v>
      </c>
      <c r="DQ219">
        <v>1</v>
      </c>
      <c r="DU219">
        <v>1010</v>
      </c>
      <c r="DV219" t="s">
        <v>62</v>
      </c>
      <c r="DW219" t="s">
        <v>62</v>
      </c>
      <c r="DX219">
        <v>1</v>
      </c>
      <c r="EE219">
        <v>16510370</v>
      </c>
      <c r="EF219">
        <v>3</v>
      </c>
      <c r="EG219" t="s">
        <v>472</v>
      </c>
      <c r="EH219">
        <v>0</v>
      </c>
      <c r="EI219" t="s">
        <v>6</v>
      </c>
      <c r="EJ219">
        <v>2</v>
      </c>
      <c r="EK219">
        <v>108001</v>
      </c>
      <c r="EL219" t="s">
        <v>473</v>
      </c>
      <c r="EM219" t="s">
        <v>474</v>
      </c>
      <c r="EO219" t="s">
        <v>6</v>
      </c>
      <c r="EQ219">
        <v>0</v>
      </c>
      <c r="ER219">
        <v>73.290000000000006</v>
      </c>
      <c r="ES219">
        <v>73.290000000000006</v>
      </c>
      <c r="ET219">
        <v>0</v>
      </c>
      <c r="EU219">
        <v>0</v>
      </c>
      <c r="EV219">
        <v>0</v>
      </c>
      <c r="EW219">
        <v>0</v>
      </c>
      <c r="EX219">
        <v>0</v>
      </c>
      <c r="FQ219">
        <v>0</v>
      </c>
      <c r="FR219">
        <f t="shared" si="235"/>
        <v>0</v>
      </c>
      <c r="FS219">
        <v>0</v>
      </c>
      <c r="FX219">
        <v>95</v>
      </c>
      <c r="FY219">
        <v>65</v>
      </c>
      <c r="GA219" t="s">
        <v>6</v>
      </c>
      <c r="GD219">
        <v>0</v>
      </c>
      <c r="GF219">
        <v>470103916</v>
      </c>
      <c r="GG219">
        <v>1</v>
      </c>
      <c r="GH219">
        <v>1</v>
      </c>
      <c r="GI219">
        <v>4</v>
      </c>
      <c r="GJ219">
        <v>0</v>
      </c>
      <c r="GK219">
        <f>ROUND(R219*(R12)/100,2)</f>
        <v>0</v>
      </c>
      <c r="GL219">
        <f t="shared" si="236"/>
        <v>0</v>
      </c>
      <c r="GM219">
        <f t="shared" si="237"/>
        <v>1967.1</v>
      </c>
      <c r="GN219">
        <f t="shared" si="238"/>
        <v>0</v>
      </c>
      <c r="GO219">
        <f t="shared" si="239"/>
        <v>1967.1</v>
      </c>
      <c r="GP219">
        <f t="shared" si="240"/>
        <v>0</v>
      </c>
      <c r="GR219">
        <v>0</v>
      </c>
      <c r="GS219">
        <v>3</v>
      </c>
      <c r="GT219">
        <v>0</v>
      </c>
      <c r="GU219" t="s">
        <v>6</v>
      </c>
      <c r="GV219">
        <f t="shared" si="241"/>
        <v>0</v>
      </c>
      <c r="GW219">
        <v>1</v>
      </c>
      <c r="GX219">
        <f t="shared" si="242"/>
        <v>0</v>
      </c>
      <c r="HA219">
        <v>0</v>
      </c>
      <c r="HB219">
        <v>0</v>
      </c>
      <c r="HC219">
        <f t="shared" si="243"/>
        <v>0</v>
      </c>
      <c r="IK219">
        <v>0</v>
      </c>
    </row>
    <row r="220" spans="1:245" x14ac:dyDescent="0.2">
      <c r="A220">
        <v>18</v>
      </c>
      <c r="B220">
        <v>1</v>
      </c>
      <c r="C220">
        <v>385</v>
      </c>
      <c r="E220" t="s">
        <v>613</v>
      </c>
      <c r="F220" t="s">
        <v>606</v>
      </c>
      <c r="G220" t="s">
        <v>614</v>
      </c>
      <c r="H220" t="s">
        <v>62</v>
      </c>
      <c r="I220">
        <f>I213*J220</f>
        <v>4</v>
      </c>
      <c r="J220">
        <v>0.10256410256410256</v>
      </c>
      <c r="O220">
        <f t="shared" si="210"/>
        <v>8109.97</v>
      </c>
      <c r="P220">
        <f t="shared" si="211"/>
        <v>8109.97</v>
      </c>
      <c r="Q220">
        <f t="shared" si="212"/>
        <v>0</v>
      </c>
      <c r="R220">
        <f t="shared" si="213"/>
        <v>0</v>
      </c>
      <c r="S220">
        <f t="shared" si="214"/>
        <v>0</v>
      </c>
      <c r="T220">
        <f t="shared" si="215"/>
        <v>0</v>
      </c>
      <c r="U220">
        <f t="shared" si="216"/>
        <v>0</v>
      </c>
      <c r="V220">
        <f t="shared" si="217"/>
        <v>0</v>
      </c>
      <c r="W220">
        <f t="shared" si="218"/>
        <v>0</v>
      </c>
      <c r="X220">
        <f t="shared" si="219"/>
        <v>0</v>
      </c>
      <c r="Y220">
        <f t="shared" si="220"/>
        <v>0</v>
      </c>
      <c r="AA220">
        <v>16812721</v>
      </c>
      <c r="AB220">
        <f t="shared" si="221"/>
        <v>302.16000000000003</v>
      </c>
      <c r="AC220">
        <f t="shared" si="244"/>
        <v>302.16000000000003</v>
      </c>
      <c r="AD220">
        <f t="shared" si="245"/>
        <v>0</v>
      </c>
      <c r="AE220">
        <f t="shared" si="246"/>
        <v>0</v>
      </c>
      <c r="AF220">
        <f t="shared" si="247"/>
        <v>0</v>
      </c>
      <c r="AG220">
        <f t="shared" si="222"/>
        <v>0</v>
      </c>
      <c r="AH220">
        <f t="shared" si="248"/>
        <v>0</v>
      </c>
      <c r="AI220">
        <f t="shared" si="249"/>
        <v>0</v>
      </c>
      <c r="AJ220">
        <f t="shared" si="223"/>
        <v>0</v>
      </c>
      <c r="AK220">
        <v>302.16000000000003</v>
      </c>
      <c r="AL220">
        <v>302.16000000000003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95</v>
      </c>
      <c r="AU220">
        <v>65</v>
      </c>
      <c r="AV220">
        <v>1</v>
      </c>
      <c r="AW220">
        <v>1</v>
      </c>
      <c r="AZ220">
        <v>6.71</v>
      </c>
      <c r="BA220">
        <v>1</v>
      </c>
      <c r="BB220">
        <v>1</v>
      </c>
      <c r="BC220">
        <v>6.71</v>
      </c>
      <c r="BD220" t="s">
        <v>6</v>
      </c>
      <c r="BE220" t="s">
        <v>6</v>
      </c>
      <c r="BF220" t="s">
        <v>6</v>
      </c>
      <c r="BG220" t="s">
        <v>6</v>
      </c>
      <c r="BH220">
        <v>3</v>
      </c>
      <c r="BI220">
        <v>2</v>
      </c>
      <c r="BJ220" t="s">
        <v>608</v>
      </c>
      <c r="BM220">
        <v>108001</v>
      </c>
      <c r="BN220">
        <v>0</v>
      </c>
      <c r="BO220" t="s">
        <v>6</v>
      </c>
      <c r="BP220">
        <v>0</v>
      </c>
      <c r="BQ220">
        <v>3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6</v>
      </c>
      <c r="BZ220">
        <v>95</v>
      </c>
      <c r="CA220">
        <v>65</v>
      </c>
      <c r="CE220">
        <v>0</v>
      </c>
      <c r="CF220">
        <v>0</v>
      </c>
      <c r="CG220">
        <v>0</v>
      </c>
      <c r="CM220">
        <v>0</v>
      </c>
      <c r="CN220" t="s">
        <v>6</v>
      </c>
      <c r="CO220">
        <v>0</v>
      </c>
      <c r="CP220">
        <f t="shared" si="224"/>
        <v>8109.97</v>
      </c>
      <c r="CQ220">
        <f t="shared" si="225"/>
        <v>2027.4936000000002</v>
      </c>
      <c r="CR220">
        <f t="shared" si="226"/>
        <v>0</v>
      </c>
      <c r="CS220">
        <f t="shared" si="227"/>
        <v>0</v>
      </c>
      <c r="CT220">
        <f t="shared" si="228"/>
        <v>0</v>
      </c>
      <c r="CU220">
        <f t="shared" si="229"/>
        <v>0</v>
      </c>
      <c r="CV220">
        <f t="shared" si="230"/>
        <v>0</v>
      </c>
      <c r="CW220">
        <f t="shared" si="231"/>
        <v>0</v>
      </c>
      <c r="CX220">
        <f t="shared" si="232"/>
        <v>0</v>
      </c>
      <c r="CY220">
        <f t="shared" si="233"/>
        <v>0</v>
      </c>
      <c r="CZ220">
        <f t="shared" si="234"/>
        <v>0</v>
      </c>
      <c r="DC220" t="s">
        <v>6</v>
      </c>
      <c r="DD220" t="s">
        <v>6</v>
      </c>
      <c r="DE220" t="s">
        <v>6</v>
      </c>
      <c r="DF220" t="s">
        <v>6</v>
      </c>
      <c r="DG220" t="s">
        <v>6</v>
      </c>
      <c r="DH220" t="s">
        <v>6</v>
      </c>
      <c r="DI220" t="s">
        <v>6</v>
      </c>
      <c r="DJ220" t="s">
        <v>6</v>
      </c>
      <c r="DK220" t="s">
        <v>6</v>
      </c>
      <c r="DL220" t="s">
        <v>6</v>
      </c>
      <c r="DM220" t="s">
        <v>6</v>
      </c>
      <c r="DN220">
        <v>0</v>
      </c>
      <c r="DO220">
        <v>0</v>
      </c>
      <c r="DP220">
        <v>1</v>
      </c>
      <c r="DQ220">
        <v>1</v>
      </c>
      <c r="DU220">
        <v>1010</v>
      </c>
      <c r="DV220" t="s">
        <v>62</v>
      </c>
      <c r="DW220" t="s">
        <v>62</v>
      </c>
      <c r="DX220">
        <v>1</v>
      </c>
      <c r="EE220">
        <v>16510370</v>
      </c>
      <c r="EF220">
        <v>3</v>
      </c>
      <c r="EG220" t="s">
        <v>472</v>
      </c>
      <c r="EH220">
        <v>0</v>
      </c>
      <c r="EI220" t="s">
        <v>6</v>
      </c>
      <c r="EJ220">
        <v>2</v>
      </c>
      <c r="EK220">
        <v>108001</v>
      </c>
      <c r="EL220" t="s">
        <v>473</v>
      </c>
      <c r="EM220" t="s">
        <v>474</v>
      </c>
      <c r="EO220" t="s">
        <v>6</v>
      </c>
      <c r="EQ220">
        <v>0</v>
      </c>
      <c r="ER220">
        <v>302.16000000000003</v>
      </c>
      <c r="ES220">
        <v>302.16000000000003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235"/>
        <v>0</v>
      </c>
      <c r="FS220">
        <v>0</v>
      </c>
      <c r="FX220">
        <v>95</v>
      </c>
      <c r="FY220">
        <v>65</v>
      </c>
      <c r="GA220" t="s">
        <v>6</v>
      </c>
      <c r="GD220">
        <v>0</v>
      </c>
      <c r="GF220">
        <v>-146177670</v>
      </c>
      <c r="GG220">
        <v>1</v>
      </c>
      <c r="GH220">
        <v>1</v>
      </c>
      <c r="GI220">
        <v>4</v>
      </c>
      <c r="GJ220">
        <v>0</v>
      </c>
      <c r="GK220">
        <f>ROUND(R220*(R12)/100,2)</f>
        <v>0</v>
      </c>
      <c r="GL220">
        <f t="shared" si="236"/>
        <v>0</v>
      </c>
      <c r="GM220">
        <f t="shared" si="237"/>
        <v>8109.97</v>
      </c>
      <c r="GN220">
        <f t="shared" si="238"/>
        <v>0</v>
      </c>
      <c r="GO220">
        <f t="shared" si="239"/>
        <v>8109.97</v>
      </c>
      <c r="GP220">
        <f t="shared" si="240"/>
        <v>0</v>
      </c>
      <c r="GR220">
        <v>0</v>
      </c>
      <c r="GS220">
        <v>3</v>
      </c>
      <c r="GT220">
        <v>0</v>
      </c>
      <c r="GU220" t="s">
        <v>6</v>
      </c>
      <c r="GV220">
        <f t="shared" si="241"/>
        <v>0</v>
      </c>
      <c r="GW220">
        <v>1</v>
      </c>
      <c r="GX220">
        <f t="shared" si="242"/>
        <v>0</v>
      </c>
      <c r="HA220">
        <v>0</v>
      </c>
      <c r="HB220">
        <v>0</v>
      </c>
      <c r="HC220">
        <f t="shared" si="243"/>
        <v>0</v>
      </c>
      <c r="IK220">
        <v>0</v>
      </c>
    </row>
    <row r="221" spans="1:245" x14ac:dyDescent="0.2">
      <c r="A221">
        <v>17</v>
      </c>
      <c r="B221">
        <v>1</v>
      </c>
      <c r="C221">
        <f>ROW(SmtRes!A399)</f>
        <v>399</v>
      </c>
      <c r="D221">
        <f>ROW(EtalonRes!A376)</f>
        <v>376</v>
      </c>
      <c r="E221" t="s">
        <v>615</v>
      </c>
      <c r="F221" t="s">
        <v>616</v>
      </c>
      <c r="G221" t="s">
        <v>617</v>
      </c>
      <c r="H221" t="s">
        <v>55</v>
      </c>
      <c r="I221">
        <f>ROUND(55/100,9)</f>
        <v>0.55000000000000004</v>
      </c>
      <c r="J221">
        <v>0</v>
      </c>
      <c r="O221">
        <f t="shared" si="210"/>
        <v>12264.39</v>
      </c>
      <c r="P221">
        <f t="shared" si="211"/>
        <v>3761.25</v>
      </c>
      <c r="Q221">
        <f t="shared" si="212"/>
        <v>683.3</v>
      </c>
      <c r="R221">
        <f t="shared" si="213"/>
        <v>91.71</v>
      </c>
      <c r="S221">
        <f t="shared" si="214"/>
        <v>7819.84</v>
      </c>
      <c r="T221">
        <f t="shared" si="215"/>
        <v>0</v>
      </c>
      <c r="U221">
        <f t="shared" si="216"/>
        <v>117.48</v>
      </c>
      <c r="V221">
        <f t="shared" si="217"/>
        <v>1.089</v>
      </c>
      <c r="W221">
        <f t="shared" si="218"/>
        <v>0</v>
      </c>
      <c r="X221">
        <f t="shared" si="219"/>
        <v>7515.97</v>
      </c>
      <c r="Y221">
        <f t="shared" si="220"/>
        <v>5142.51</v>
      </c>
      <c r="AA221">
        <v>16812721</v>
      </c>
      <c r="AB221">
        <f t="shared" si="221"/>
        <v>3323.23</v>
      </c>
      <c r="AC221">
        <f t="shared" si="244"/>
        <v>1019.17</v>
      </c>
      <c r="AD221">
        <f t="shared" si="245"/>
        <v>185.15</v>
      </c>
      <c r="AE221">
        <f t="shared" si="246"/>
        <v>24.85</v>
      </c>
      <c r="AF221">
        <f t="shared" si="247"/>
        <v>2118.91</v>
      </c>
      <c r="AG221">
        <f t="shared" si="222"/>
        <v>0</v>
      </c>
      <c r="AH221">
        <f t="shared" si="248"/>
        <v>213.6</v>
      </c>
      <c r="AI221">
        <f t="shared" si="249"/>
        <v>1.98</v>
      </c>
      <c r="AJ221">
        <f t="shared" si="223"/>
        <v>0</v>
      </c>
      <c r="AK221">
        <v>3323.23</v>
      </c>
      <c r="AL221">
        <v>1019.17</v>
      </c>
      <c r="AM221">
        <v>185.15</v>
      </c>
      <c r="AN221">
        <v>24.85</v>
      </c>
      <c r="AO221">
        <v>2118.91</v>
      </c>
      <c r="AP221">
        <v>0</v>
      </c>
      <c r="AQ221">
        <v>213.6</v>
      </c>
      <c r="AR221">
        <v>1.98</v>
      </c>
      <c r="AS221">
        <v>0</v>
      </c>
      <c r="AT221">
        <v>95</v>
      </c>
      <c r="AU221">
        <v>65</v>
      </c>
      <c r="AV221">
        <v>1</v>
      </c>
      <c r="AW221">
        <v>1</v>
      </c>
      <c r="AZ221">
        <v>6.71</v>
      </c>
      <c r="BA221">
        <v>6.71</v>
      </c>
      <c r="BB221">
        <v>6.71</v>
      </c>
      <c r="BC221">
        <v>6.71</v>
      </c>
      <c r="BD221" t="s">
        <v>6</v>
      </c>
      <c r="BE221" t="s">
        <v>6</v>
      </c>
      <c r="BF221" t="s">
        <v>6</v>
      </c>
      <c r="BG221" t="s">
        <v>6</v>
      </c>
      <c r="BH221">
        <v>0</v>
      </c>
      <c r="BI221">
        <v>2</v>
      </c>
      <c r="BJ221" t="s">
        <v>618</v>
      </c>
      <c r="BM221">
        <v>108001</v>
      </c>
      <c r="BN221">
        <v>0</v>
      </c>
      <c r="BO221" t="s">
        <v>6</v>
      </c>
      <c r="BP221">
        <v>0</v>
      </c>
      <c r="BQ221">
        <v>3</v>
      </c>
      <c r="BR221">
        <v>0</v>
      </c>
      <c r="BS221">
        <v>6.71</v>
      </c>
      <c r="BT221">
        <v>1</v>
      </c>
      <c r="BU221">
        <v>1</v>
      </c>
      <c r="BV221">
        <v>1</v>
      </c>
      <c r="BW221">
        <v>1</v>
      </c>
      <c r="BX221">
        <v>1</v>
      </c>
      <c r="BY221" t="s">
        <v>6</v>
      </c>
      <c r="BZ221">
        <v>95</v>
      </c>
      <c r="CA221">
        <v>65</v>
      </c>
      <c r="CE221">
        <v>0</v>
      </c>
      <c r="CF221">
        <v>0</v>
      </c>
      <c r="CG221">
        <v>0</v>
      </c>
      <c r="CM221">
        <v>0</v>
      </c>
      <c r="CN221" t="s">
        <v>6</v>
      </c>
      <c r="CO221">
        <v>0</v>
      </c>
      <c r="CP221">
        <f t="shared" si="224"/>
        <v>12264.39</v>
      </c>
      <c r="CQ221">
        <f t="shared" si="225"/>
        <v>6838.6306999999997</v>
      </c>
      <c r="CR221">
        <f t="shared" si="226"/>
        <v>1242.3565000000001</v>
      </c>
      <c r="CS221">
        <f t="shared" si="227"/>
        <v>166.74350000000001</v>
      </c>
      <c r="CT221">
        <f t="shared" si="228"/>
        <v>14217.8861</v>
      </c>
      <c r="CU221">
        <f t="shared" si="229"/>
        <v>0</v>
      </c>
      <c r="CV221">
        <f t="shared" si="230"/>
        <v>213.6</v>
      </c>
      <c r="CW221">
        <f t="shared" si="231"/>
        <v>1.98</v>
      </c>
      <c r="CX221">
        <f t="shared" si="232"/>
        <v>0</v>
      </c>
      <c r="CY221">
        <f t="shared" si="233"/>
        <v>7515.9724999999999</v>
      </c>
      <c r="CZ221">
        <f t="shared" si="234"/>
        <v>5142.5074999999997</v>
      </c>
      <c r="DC221" t="s">
        <v>6</v>
      </c>
      <c r="DD221" t="s">
        <v>6</v>
      </c>
      <c r="DE221" t="s">
        <v>6</v>
      </c>
      <c r="DF221" t="s">
        <v>6</v>
      </c>
      <c r="DG221" t="s">
        <v>6</v>
      </c>
      <c r="DH221" t="s">
        <v>6</v>
      </c>
      <c r="DI221" t="s">
        <v>6</v>
      </c>
      <c r="DJ221" t="s">
        <v>6</v>
      </c>
      <c r="DK221" t="s">
        <v>6</v>
      </c>
      <c r="DL221" t="s">
        <v>6</v>
      </c>
      <c r="DM221" t="s">
        <v>6</v>
      </c>
      <c r="DN221">
        <v>0</v>
      </c>
      <c r="DO221">
        <v>0</v>
      </c>
      <c r="DP221">
        <v>1</v>
      </c>
      <c r="DQ221">
        <v>1</v>
      </c>
      <c r="DU221">
        <v>1013</v>
      </c>
      <c r="DV221" t="s">
        <v>55</v>
      </c>
      <c r="DW221" t="s">
        <v>55</v>
      </c>
      <c r="DX221">
        <v>1</v>
      </c>
      <c r="EE221">
        <v>16510370</v>
      </c>
      <c r="EF221">
        <v>3</v>
      </c>
      <c r="EG221" t="s">
        <v>472</v>
      </c>
      <c r="EH221">
        <v>0</v>
      </c>
      <c r="EI221" t="s">
        <v>6</v>
      </c>
      <c r="EJ221">
        <v>2</v>
      </c>
      <c r="EK221">
        <v>108001</v>
      </c>
      <c r="EL221" t="s">
        <v>473</v>
      </c>
      <c r="EM221" t="s">
        <v>474</v>
      </c>
      <c r="EO221" t="s">
        <v>6</v>
      </c>
      <c r="EQ221">
        <v>131072</v>
      </c>
      <c r="ER221">
        <v>3323.23</v>
      </c>
      <c r="ES221">
        <v>1019.17</v>
      </c>
      <c r="ET221">
        <v>185.15</v>
      </c>
      <c r="EU221">
        <v>24.85</v>
      </c>
      <c r="EV221">
        <v>2118.91</v>
      </c>
      <c r="EW221">
        <v>213.6</v>
      </c>
      <c r="EX221">
        <v>1.98</v>
      </c>
      <c r="EY221">
        <v>0</v>
      </c>
      <c r="FQ221">
        <v>0</v>
      </c>
      <c r="FR221">
        <f t="shared" si="235"/>
        <v>0</v>
      </c>
      <c r="FS221">
        <v>0</v>
      </c>
      <c r="FX221">
        <v>95</v>
      </c>
      <c r="FY221">
        <v>65</v>
      </c>
      <c r="GA221" t="s">
        <v>6</v>
      </c>
      <c r="GD221">
        <v>0</v>
      </c>
      <c r="GF221">
        <v>2097412756</v>
      </c>
      <c r="GG221">
        <v>1</v>
      </c>
      <c r="GH221">
        <v>1</v>
      </c>
      <c r="GI221">
        <v>4</v>
      </c>
      <c r="GJ221">
        <v>0</v>
      </c>
      <c r="GK221">
        <f>ROUND(R221*(R12)/100,2)</f>
        <v>0</v>
      </c>
      <c r="GL221">
        <f t="shared" si="236"/>
        <v>0</v>
      </c>
      <c r="GM221">
        <f t="shared" si="237"/>
        <v>24922.87</v>
      </c>
      <c r="GN221">
        <f t="shared" si="238"/>
        <v>0</v>
      </c>
      <c r="GO221">
        <f t="shared" si="239"/>
        <v>24922.87</v>
      </c>
      <c r="GP221">
        <f t="shared" si="240"/>
        <v>0</v>
      </c>
      <c r="GR221">
        <v>0</v>
      </c>
      <c r="GS221">
        <v>3</v>
      </c>
      <c r="GT221">
        <v>0</v>
      </c>
      <c r="GU221" t="s">
        <v>6</v>
      </c>
      <c r="GV221">
        <f t="shared" si="241"/>
        <v>0</v>
      </c>
      <c r="GW221">
        <v>1</v>
      </c>
      <c r="GX221">
        <f t="shared" si="242"/>
        <v>0</v>
      </c>
      <c r="HA221">
        <v>0</v>
      </c>
      <c r="HB221">
        <v>0</v>
      </c>
      <c r="HC221">
        <f t="shared" si="243"/>
        <v>0</v>
      </c>
      <c r="IK221">
        <v>0</v>
      </c>
    </row>
    <row r="222" spans="1:245" x14ac:dyDescent="0.2">
      <c r="A222">
        <v>18</v>
      </c>
      <c r="B222">
        <v>1</v>
      </c>
      <c r="C222">
        <v>398</v>
      </c>
      <c r="E222" t="s">
        <v>619</v>
      </c>
      <c r="F222" t="s">
        <v>620</v>
      </c>
      <c r="G222" t="s">
        <v>621</v>
      </c>
      <c r="H222" t="s">
        <v>62</v>
      </c>
      <c r="I222">
        <f>I221*J222</f>
        <v>55</v>
      </c>
      <c r="J222">
        <v>99.999999999999986</v>
      </c>
      <c r="O222">
        <f t="shared" si="210"/>
        <v>312271.65999999997</v>
      </c>
      <c r="P222">
        <f t="shared" si="211"/>
        <v>312271.65999999997</v>
      </c>
      <c r="Q222">
        <f t="shared" si="212"/>
        <v>0</v>
      </c>
      <c r="R222">
        <f t="shared" si="213"/>
        <v>0</v>
      </c>
      <c r="S222">
        <f t="shared" si="214"/>
        <v>0</v>
      </c>
      <c r="T222">
        <f t="shared" si="215"/>
        <v>0</v>
      </c>
      <c r="U222">
        <f t="shared" si="216"/>
        <v>0</v>
      </c>
      <c r="V222">
        <f t="shared" si="217"/>
        <v>0</v>
      </c>
      <c r="W222">
        <f t="shared" si="218"/>
        <v>0</v>
      </c>
      <c r="X222">
        <f t="shared" si="219"/>
        <v>0</v>
      </c>
      <c r="Y222">
        <f t="shared" si="220"/>
        <v>0</v>
      </c>
      <c r="AA222">
        <v>16812721</v>
      </c>
      <c r="AB222">
        <f t="shared" si="221"/>
        <v>846.15</v>
      </c>
      <c r="AC222">
        <f t="shared" si="244"/>
        <v>846.15</v>
      </c>
      <c r="AD222">
        <f t="shared" si="245"/>
        <v>0</v>
      </c>
      <c r="AE222">
        <f t="shared" si="246"/>
        <v>0</v>
      </c>
      <c r="AF222">
        <f t="shared" si="247"/>
        <v>0</v>
      </c>
      <c r="AG222">
        <f t="shared" si="222"/>
        <v>0</v>
      </c>
      <c r="AH222">
        <f t="shared" si="248"/>
        <v>0</v>
      </c>
      <c r="AI222">
        <f t="shared" si="249"/>
        <v>0</v>
      </c>
      <c r="AJ222">
        <f t="shared" si="223"/>
        <v>0</v>
      </c>
      <c r="AK222">
        <v>846.15</v>
      </c>
      <c r="AL222">
        <v>846.15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95</v>
      </c>
      <c r="AU222">
        <v>65</v>
      </c>
      <c r="AV222">
        <v>1</v>
      </c>
      <c r="AW222">
        <v>1</v>
      </c>
      <c r="AZ222">
        <v>6.71</v>
      </c>
      <c r="BA222">
        <v>1</v>
      </c>
      <c r="BB222">
        <v>1</v>
      </c>
      <c r="BC222">
        <v>6.71</v>
      </c>
      <c r="BD222" t="s">
        <v>6</v>
      </c>
      <c r="BE222" t="s">
        <v>6</v>
      </c>
      <c r="BF222" t="s">
        <v>6</v>
      </c>
      <c r="BG222" t="s">
        <v>6</v>
      </c>
      <c r="BH222">
        <v>3</v>
      </c>
      <c r="BI222">
        <v>2</v>
      </c>
      <c r="BJ222" t="s">
        <v>622</v>
      </c>
      <c r="BM222">
        <v>108001</v>
      </c>
      <c r="BN222">
        <v>0</v>
      </c>
      <c r="BO222" t="s">
        <v>6</v>
      </c>
      <c r="BP222">
        <v>0</v>
      </c>
      <c r="BQ222">
        <v>3</v>
      </c>
      <c r="BR222">
        <v>0</v>
      </c>
      <c r="BS222">
        <v>1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6</v>
      </c>
      <c r="BZ222">
        <v>95</v>
      </c>
      <c r="CA222">
        <v>65</v>
      </c>
      <c r="CE222">
        <v>0</v>
      </c>
      <c r="CF222">
        <v>0</v>
      </c>
      <c r="CG222">
        <v>0</v>
      </c>
      <c r="CM222">
        <v>0</v>
      </c>
      <c r="CN222" t="s">
        <v>6</v>
      </c>
      <c r="CO222">
        <v>0</v>
      </c>
      <c r="CP222">
        <f t="shared" si="224"/>
        <v>312271.65999999997</v>
      </c>
      <c r="CQ222">
        <f t="shared" si="225"/>
        <v>5677.6665000000003</v>
      </c>
      <c r="CR222">
        <f t="shared" si="226"/>
        <v>0</v>
      </c>
      <c r="CS222">
        <f t="shared" si="227"/>
        <v>0</v>
      </c>
      <c r="CT222">
        <f t="shared" si="228"/>
        <v>0</v>
      </c>
      <c r="CU222">
        <f t="shared" si="229"/>
        <v>0</v>
      </c>
      <c r="CV222">
        <f t="shared" si="230"/>
        <v>0</v>
      </c>
      <c r="CW222">
        <f t="shared" si="231"/>
        <v>0</v>
      </c>
      <c r="CX222">
        <f t="shared" si="232"/>
        <v>0</v>
      </c>
      <c r="CY222">
        <f t="shared" si="233"/>
        <v>0</v>
      </c>
      <c r="CZ222">
        <f t="shared" si="234"/>
        <v>0</v>
      </c>
      <c r="DC222" t="s">
        <v>6</v>
      </c>
      <c r="DD222" t="s">
        <v>6</v>
      </c>
      <c r="DE222" t="s">
        <v>6</v>
      </c>
      <c r="DF222" t="s">
        <v>6</v>
      </c>
      <c r="DG222" t="s">
        <v>6</v>
      </c>
      <c r="DH222" t="s">
        <v>6</v>
      </c>
      <c r="DI222" t="s">
        <v>6</v>
      </c>
      <c r="DJ222" t="s">
        <v>6</v>
      </c>
      <c r="DK222" t="s">
        <v>6</v>
      </c>
      <c r="DL222" t="s">
        <v>6</v>
      </c>
      <c r="DM222" t="s">
        <v>6</v>
      </c>
      <c r="DN222">
        <v>0</v>
      </c>
      <c r="DO222">
        <v>0</v>
      </c>
      <c r="DP222">
        <v>1</v>
      </c>
      <c r="DQ222">
        <v>1</v>
      </c>
      <c r="DU222">
        <v>1010</v>
      </c>
      <c r="DV222" t="s">
        <v>62</v>
      </c>
      <c r="DW222" t="s">
        <v>62</v>
      </c>
      <c r="DX222">
        <v>1</v>
      </c>
      <c r="EE222">
        <v>16510370</v>
      </c>
      <c r="EF222">
        <v>3</v>
      </c>
      <c r="EG222" t="s">
        <v>472</v>
      </c>
      <c r="EH222">
        <v>0</v>
      </c>
      <c r="EI222" t="s">
        <v>6</v>
      </c>
      <c r="EJ222">
        <v>2</v>
      </c>
      <c r="EK222">
        <v>108001</v>
      </c>
      <c r="EL222" t="s">
        <v>473</v>
      </c>
      <c r="EM222" t="s">
        <v>474</v>
      </c>
      <c r="EO222" t="s">
        <v>6</v>
      </c>
      <c r="EQ222">
        <v>0</v>
      </c>
      <c r="ER222">
        <v>846.15</v>
      </c>
      <c r="ES222">
        <v>846.15</v>
      </c>
      <c r="ET222">
        <v>0</v>
      </c>
      <c r="EU222">
        <v>0</v>
      </c>
      <c r="EV222">
        <v>0</v>
      </c>
      <c r="EW222">
        <v>0</v>
      </c>
      <c r="EX222">
        <v>0</v>
      </c>
      <c r="FQ222">
        <v>0</v>
      </c>
      <c r="FR222">
        <f t="shared" si="235"/>
        <v>0</v>
      </c>
      <c r="FS222">
        <v>0</v>
      </c>
      <c r="FX222">
        <v>95</v>
      </c>
      <c r="FY222">
        <v>65</v>
      </c>
      <c r="GA222" t="s">
        <v>6</v>
      </c>
      <c r="GD222">
        <v>0</v>
      </c>
      <c r="GF222">
        <v>1763272094</v>
      </c>
      <c r="GG222">
        <v>1</v>
      </c>
      <c r="GH222">
        <v>1</v>
      </c>
      <c r="GI222">
        <v>4</v>
      </c>
      <c r="GJ222">
        <v>0</v>
      </c>
      <c r="GK222">
        <f>ROUND(R222*(R12)/100,2)</f>
        <v>0</v>
      </c>
      <c r="GL222">
        <f t="shared" si="236"/>
        <v>0</v>
      </c>
      <c r="GM222">
        <f t="shared" si="237"/>
        <v>312271.65999999997</v>
      </c>
      <c r="GN222">
        <f t="shared" si="238"/>
        <v>0</v>
      </c>
      <c r="GO222">
        <f t="shared" si="239"/>
        <v>312271.65999999997</v>
      </c>
      <c r="GP222">
        <f t="shared" si="240"/>
        <v>0</v>
      </c>
      <c r="GR222">
        <v>0</v>
      </c>
      <c r="GS222">
        <v>3</v>
      </c>
      <c r="GT222">
        <v>0</v>
      </c>
      <c r="GU222" t="s">
        <v>6</v>
      </c>
      <c r="GV222">
        <f t="shared" si="241"/>
        <v>0</v>
      </c>
      <c r="GW222">
        <v>1</v>
      </c>
      <c r="GX222">
        <f t="shared" si="242"/>
        <v>0</v>
      </c>
      <c r="HA222">
        <v>0</v>
      </c>
      <c r="HB222">
        <v>0</v>
      </c>
      <c r="HC222">
        <f t="shared" si="243"/>
        <v>0</v>
      </c>
      <c r="IK222">
        <v>0</v>
      </c>
    </row>
    <row r="223" spans="1:245" x14ac:dyDescent="0.2">
      <c r="A223">
        <v>17</v>
      </c>
      <c r="B223">
        <v>1</v>
      </c>
      <c r="C223">
        <f>ROW(SmtRes!A401)</f>
        <v>401</v>
      </c>
      <c r="D223">
        <f>ROW(EtalonRes!A378)</f>
        <v>378</v>
      </c>
      <c r="E223" t="s">
        <v>623</v>
      </c>
      <c r="F223" t="s">
        <v>624</v>
      </c>
      <c r="G223" t="s">
        <v>625</v>
      </c>
      <c r="H223" t="s">
        <v>437</v>
      </c>
      <c r="I223">
        <v>42</v>
      </c>
      <c r="J223">
        <v>0</v>
      </c>
      <c r="O223">
        <f t="shared" si="210"/>
        <v>2671.17</v>
      </c>
      <c r="P223">
        <f t="shared" si="211"/>
        <v>0</v>
      </c>
      <c r="Q223">
        <f t="shared" si="212"/>
        <v>0</v>
      </c>
      <c r="R223">
        <f t="shared" si="213"/>
        <v>0</v>
      </c>
      <c r="S223">
        <f t="shared" si="214"/>
        <v>2671.17</v>
      </c>
      <c r="T223">
        <f t="shared" si="215"/>
        <v>0</v>
      </c>
      <c r="U223">
        <f t="shared" si="216"/>
        <v>10.752000000000001</v>
      </c>
      <c r="V223">
        <f t="shared" si="217"/>
        <v>0</v>
      </c>
      <c r="W223">
        <f t="shared" si="218"/>
        <v>0</v>
      </c>
      <c r="X223">
        <f t="shared" si="219"/>
        <v>1736.26</v>
      </c>
      <c r="Y223">
        <f t="shared" si="220"/>
        <v>1068.47</v>
      </c>
      <c r="AA223">
        <v>16812721</v>
      </c>
      <c r="AB223">
        <f t="shared" si="221"/>
        <v>3.28</v>
      </c>
      <c r="AC223">
        <f t="shared" si="244"/>
        <v>0</v>
      </c>
      <c r="AD223">
        <f t="shared" si="245"/>
        <v>0</v>
      </c>
      <c r="AE223">
        <f>ROUND((EU223),2)</f>
        <v>0</v>
      </c>
      <c r="AF223">
        <f>ROUND(((EV223*0.8)),2)</f>
        <v>3.28</v>
      </c>
      <c r="AG223">
        <f t="shared" si="222"/>
        <v>0</v>
      </c>
      <c r="AH223">
        <f>((EW223*0.8))</f>
        <v>0.25600000000000001</v>
      </c>
      <c r="AI223">
        <f>(EX223)</f>
        <v>0</v>
      </c>
      <c r="AJ223">
        <f t="shared" si="223"/>
        <v>0</v>
      </c>
      <c r="AK223">
        <v>4.0999999999999996</v>
      </c>
      <c r="AL223">
        <v>0</v>
      </c>
      <c r="AM223">
        <v>0</v>
      </c>
      <c r="AN223">
        <v>0</v>
      </c>
      <c r="AO223">
        <v>4.0999999999999996</v>
      </c>
      <c r="AP223">
        <v>0</v>
      </c>
      <c r="AQ223">
        <v>0.32</v>
      </c>
      <c r="AR223">
        <v>0</v>
      </c>
      <c r="AS223">
        <v>0</v>
      </c>
      <c r="AT223">
        <v>65</v>
      </c>
      <c r="AU223">
        <v>40</v>
      </c>
      <c r="AV223">
        <v>1</v>
      </c>
      <c r="AW223">
        <v>1</v>
      </c>
      <c r="AZ223">
        <v>19.39</v>
      </c>
      <c r="BA223">
        <v>19.39</v>
      </c>
      <c r="BB223">
        <v>1</v>
      </c>
      <c r="BC223">
        <v>1</v>
      </c>
      <c r="BD223" t="s">
        <v>6</v>
      </c>
      <c r="BE223" t="s">
        <v>6</v>
      </c>
      <c r="BF223" t="s">
        <v>6</v>
      </c>
      <c r="BG223" t="s">
        <v>6</v>
      </c>
      <c r="BH223">
        <v>0</v>
      </c>
      <c r="BI223">
        <v>4</v>
      </c>
      <c r="BJ223" t="s">
        <v>626</v>
      </c>
      <c r="BM223">
        <v>200001</v>
      </c>
      <c r="BN223">
        <v>0</v>
      </c>
      <c r="BO223" t="s">
        <v>6</v>
      </c>
      <c r="BP223">
        <v>0</v>
      </c>
      <c r="BQ223">
        <v>4</v>
      </c>
      <c r="BR223">
        <v>0</v>
      </c>
      <c r="BS223">
        <v>1</v>
      </c>
      <c r="BT223">
        <v>1</v>
      </c>
      <c r="BU223">
        <v>1</v>
      </c>
      <c r="BV223">
        <v>1</v>
      </c>
      <c r="BW223">
        <v>1</v>
      </c>
      <c r="BX223">
        <v>1</v>
      </c>
      <c r="BY223" t="s">
        <v>6</v>
      </c>
      <c r="BZ223">
        <v>65</v>
      </c>
      <c r="CA223">
        <v>40</v>
      </c>
      <c r="CE223">
        <v>0</v>
      </c>
      <c r="CF223">
        <v>0</v>
      </c>
      <c r="CG223">
        <v>0</v>
      </c>
      <c r="CM223">
        <v>0</v>
      </c>
      <c r="CN223" t="s">
        <v>627</v>
      </c>
      <c r="CO223">
        <v>0</v>
      </c>
      <c r="CP223">
        <f t="shared" si="224"/>
        <v>2671.17</v>
      </c>
      <c r="CQ223">
        <f t="shared" si="225"/>
        <v>0</v>
      </c>
      <c r="CR223">
        <f t="shared" si="226"/>
        <v>0</v>
      </c>
      <c r="CS223">
        <f t="shared" si="227"/>
        <v>0</v>
      </c>
      <c r="CT223">
        <f t="shared" si="228"/>
        <v>63.599199999999996</v>
      </c>
      <c r="CU223">
        <f t="shared" si="229"/>
        <v>0</v>
      </c>
      <c r="CV223">
        <f t="shared" si="230"/>
        <v>0.25600000000000001</v>
      </c>
      <c r="CW223">
        <f t="shared" si="231"/>
        <v>0</v>
      </c>
      <c r="CX223">
        <f t="shared" si="232"/>
        <v>0</v>
      </c>
      <c r="CY223">
        <f t="shared" si="233"/>
        <v>1736.2605000000001</v>
      </c>
      <c r="CZ223">
        <f t="shared" si="234"/>
        <v>1068.4680000000001</v>
      </c>
      <c r="DC223" t="s">
        <v>6</v>
      </c>
      <c r="DD223" t="s">
        <v>6</v>
      </c>
      <c r="DE223" t="s">
        <v>6</v>
      </c>
      <c r="DF223" t="s">
        <v>6</v>
      </c>
      <c r="DG223" t="s">
        <v>83</v>
      </c>
      <c r="DH223" t="s">
        <v>6</v>
      </c>
      <c r="DI223" t="s">
        <v>83</v>
      </c>
      <c r="DJ223" t="s">
        <v>6</v>
      </c>
      <c r="DK223" t="s">
        <v>6</v>
      </c>
      <c r="DL223" t="s">
        <v>6</v>
      </c>
      <c r="DM223" t="s">
        <v>6</v>
      </c>
      <c r="DN223">
        <v>0</v>
      </c>
      <c r="DO223">
        <v>0</v>
      </c>
      <c r="DP223">
        <v>1</v>
      </c>
      <c r="DQ223">
        <v>1</v>
      </c>
      <c r="DU223">
        <v>1013</v>
      </c>
      <c r="DV223" t="s">
        <v>437</v>
      </c>
      <c r="DW223" t="s">
        <v>437</v>
      </c>
      <c r="DX223">
        <v>1</v>
      </c>
      <c r="EE223">
        <v>16510412</v>
      </c>
      <c r="EF223">
        <v>4</v>
      </c>
      <c r="EG223" t="s">
        <v>628</v>
      </c>
      <c r="EH223">
        <v>0</v>
      </c>
      <c r="EI223" t="s">
        <v>6</v>
      </c>
      <c r="EJ223">
        <v>4</v>
      </c>
      <c r="EK223">
        <v>200001</v>
      </c>
      <c r="EL223" t="s">
        <v>629</v>
      </c>
      <c r="EM223" t="s">
        <v>630</v>
      </c>
      <c r="EO223" t="s">
        <v>631</v>
      </c>
      <c r="EQ223">
        <v>131072</v>
      </c>
      <c r="ER223">
        <v>4.0999999999999996</v>
      </c>
      <c r="ES223">
        <v>0</v>
      </c>
      <c r="ET223">
        <v>0</v>
      </c>
      <c r="EU223">
        <v>0</v>
      </c>
      <c r="EV223">
        <v>4.0999999999999996</v>
      </c>
      <c r="EW223">
        <v>0.32</v>
      </c>
      <c r="EX223">
        <v>0</v>
      </c>
      <c r="EY223">
        <v>0</v>
      </c>
      <c r="FQ223">
        <v>0</v>
      </c>
      <c r="FR223">
        <f t="shared" si="235"/>
        <v>0</v>
      </c>
      <c r="FS223">
        <v>0</v>
      </c>
      <c r="FX223">
        <v>65</v>
      </c>
      <c r="FY223">
        <v>40</v>
      </c>
      <c r="GA223" t="s">
        <v>6</v>
      </c>
      <c r="GD223">
        <v>0</v>
      </c>
      <c r="GF223">
        <v>-1617765494</v>
      </c>
      <c r="GG223">
        <v>1</v>
      </c>
      <c r="GH223">
        <v>1</v>
      </c>
      <c r="GI223">
        <v>4</v>
      </c>
      <c r="GJ223">
        <v>0</v>
      </c>
      <c r="GK223">
        <f>ROUND(R223*(R12)/100,2)</f>
        <v>0</v>
      </c>
      <c r="GL223">
        <f t="shared" si="236"/>
        <v>0</v>
      </c>
      <c r="GM223">
        <f t="shared" si="237"/>
        <v>5475.9</v>
      </c>
      <c r="GN223">
        <f t="shared" si="238"/>
        <v>0</v>
      </c>
      <c r="GO223">
        <f t="shared" si="239"/>
        <v>0</v>
      </c>
      <c r="GP223">
        <f t="shared" si="240"/>
        <v>5475.9</v>
      </c>
      <c r="GR223">
        <v>0</v>
      </c>
      <c r="GS223">
        <v>3</v>
      </c>
      <c r="GT223">
        <v>0</v>
      </c>
      <c r="GU223" t="s">
        <v>6</v>
      </c>
      <c r="GV223">
        <f t="shared" si="241"/>
        <v>0</v>
      </c>
      <c r="GW223">
        <v>1</v>
      </c>
      <c r="GX223">
        <f t="shared" si="242"/>
        <v>0</v>
      </c>
      <c r="HA223">
        <v>0</v>
      </c>
      <c r="HB223">
        <v>0</v>
      </c>
      <c r="HC223">
        <f t="shared" si="243"/>
        <v>0</v>
      </c>
      <c r="IK223">
        <v>0</v>
      </c>
    </row>
    <row r="224" spans="1:245" x14ac:dyDescent="0.2">
      <c r="A224">
        <v>17</v>
      </c>
      <c r="B224">
        <v>1</v>
      </c>
      <c r="C224">
        <f>ROW(SmtRes!A403)</f>
        <v>403</v>
      </c>
      <c r="D224">
        <f>ROW(EtalonRes!A380)</f>
        <v>380</v>
      </c>
      <c r="E224" t="s">
        <v>632</v>
      </c>
      <c r="F224" t="s">
        <v>633</v>
      </c>
      <c r="G224" t="s">
        <v>634</v>
      </c>
      <c r="H224" t="s">
        <v>635</v>
      </c>
      <c r="I224">
        <f>ROUND(80/100,9)</f>
        <v>0.8</v>
      </c>
      <c r="J224">
        <v>0</v>
      </c>
      <c r="O224">
        <f t="shared" si="210"/>
        <v>2059.37</v>
      </c>
      <c r="P224">
        <f t="shared" si="211"/>
        <v>0</v>
      </c>
      <c r="Q224">
        <f t="shared" si="212"/>
        <v>0</v>
      </c>
      <c r="R224">
        <f t="shared" si="213"/>
        <v>0</v>
      </c>
      <c r="S224">
        <f t="shared" si="214"/>
        <v>2059.37</v>
      </c>
      <c r="T224">
        <f t="shared" si="215"/>
        <v>0</v>
      </c>
      <c r="U224">
        <f t="shared" si="216"/>
        <v>8.2944000000000013</v>
      </c>
      <c r="V224">
        <f t="shared" si="217"/>
        <v>0</v>
      </c>
      <c r="W224">
        <f t="shared" si="218"/>
        <v>0</v>
      </c>
      <c r="X224">
        <f t="shared" si="219"/>
        <v>1338.59</v>
      </c>
      <c r="Y224">
        <f t="shared" si="220"/>
        <v>823.75</v>
      </c>
      <c r="AA224">
        <v>16812721</v>
      </c>
      <c r="AB224">
        <f t="shared" si="221"/>
        <v>132.76</v>
      </c>
      <c r="AC224">
        <f t="shared" si="244"/>
        <v>0</v>
      </c>
      <c r="AD224">
        <f t="shared" si="245"/>
        <v>0</v>
      </c>
      <c r="AE224">
        <f>ROUND((EU224),2)</f>
        <v>0</v>
      </c>
      <c r="AF224">
        <f>ROUND(((EV224*0.8)),2)</f>
        <v>132.76</v>
      </c>
      <c r="AG224">
        <f t="shared" si="222"/>
        <v>0</v>
      </c>
      <c r="AH224">
        <f>((EW224*0.8))</f>
        <v>10.368000000000002</v>
      </c>
      <c r="AI224">
        <f>(EX224)</f>
        <v>0</v>
      </c>
      <c r="AJ224">
        <f t="shared" si="223"/>
        <v>0</v>
      </c>
      <c r="AK224">
        <v>165.95</v>
      </c>
      <c r="AL224">
        <v>0</v>
      </c>
      <c r="AM224">
        <v>0</v>
      </c>
      <c r="AN224">
        <v>0</v>
      </c>
      <c r="AO224">
        <v>165.95</v>
      </c>
      <c r="AP224">
        <v>0</v>
      </c>
      <c r="AQ224">
        <v>12.96</v>
      </c>
      <c r="AR224">
        <v>0</v>
      </c>
      <c r="AS224">
        <v>0</v>
      </c>
      <c r="AT224">
        <v>65</v>
      </c>
      <c r="AU224">
        <v>40</v>
      </c>
      <c r="AV224">
        <v>1</v>
      </c>
      <c r="AW224">
        <v>1</v>
      </c>
      <c r="AZ224">
        <v>19.39</v>
      </c>
      <c r="BA224">
        <v>19.39</v>
      </c>
      <c r="BB224">
        <v>1</v>
      </c>
      <c r="BC224">
        <v>1</v>
      </c>
      <c r="BD224" t="s">
        <v>6</v>
      </c>
      <c r="BE224" t="s">
        <v>6</v>
      </c>
      <c r="BF224" t="s">
        <v>6</v>
      </c>
      <c r="BG224" t="s">
        <v>6</v>
      </c>
      <c r="BH224">
        <v>0</v>
      </c>
      <c r="BI224">
        <v>4</v>
      </c>
      <c r="BJ224" t="s">
        <v>636</v>
      </c>
      <c r="BM224">
        <v>200001</v>
      </c>
      <c r="BN224">
        <v>0</v>
      </c>
      <c r="BO224" t="s">
        <v>6</v>
      </c>
      <c r="BP224">
        <v>0</v>
      </c>
      <c r="BQ224">
        <v>4</v>
      </c>
      <c r="BR224">
        <v>0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6</v>
      </c>
      <c r="BZ224">
        <v>65</v>
      </c>
      <c r="CA224">
        <v>40</v>
      </c>
      <c r="CE224">
        <v>0</v>
      </c>
      <c r="CF224">
        <v>0</v>
      </c>
      <c r="CG224">
        <v>0</v>
      </c>
      <c r="CM224">
        <v>0</v>
      </c>
      <c r="CN224" t="s">
        <v>627</v>
      </c>
      <c r="CO224">
        <v>0</v>
      </c>
      <c r="CP224">
        <f t="shared" si="224"/>
        <v>2059.37</v>
      </c>
      <c r="CQ224">
        <f t="shared" si="225"/>
        <v>0</v>
      </c>
      <c r="CR224">
        <f t="shared" si="226"/>
        <v>0</v>
      </c>
      <c r="CS224">
        <f t="shared" si="227"/>
        <v>0</v>
      </c>
      <c r="CT224">
        <f t="shared" si="228"/>
        <v>2574.2163999999998</v>
      </c>
      <c r="CU224">
        <f t="shared" si="229"/>
        <v>0</v>
      </c>
      <c r="CV224">
        <f t="shared" si="230"/>
        <v>10.368000000000002</v>
      </c>
      <c r="CW224">
        <f t="shared" si="231"/>
        <v>0</v>
      </c>
      <c r="CX224">
        <f t="shared" si="232"/>
        <v>0</v>
      </c>
      <c r="CY224">
        <f t="shared" si="233"/>
        <v>1338.5904999999998</v>
      </c>
      <c r="CZ224">
        <f t="shared" si="234"/>
        <v>823.74799999999993</v>
      </c>
      <c r="DC224" t="s">
        <v>6</v>
      </c>
      <c r="DD224" t="s">
        <v>6</v>
      </c>
      <c r="DE224" t="s">
        <v>6</v>
      </c>
      <c r="DF224" t="s">
        <v>6</v>
      </c>
      <c r="DG224" t="s">
        <v>83</v>
      </c>
      <c r="DH224" t="s">
        <v>6</v>
      </c>
      <c r="DI224" t="s">
        <v>83</v>
      </c>
      <c r="DJ224" t="s">
        <v>6</v>
      </c>
      <c r="DK224" t="s">
        <v>6</v>
      </c>
      <c r="DL224" t="s">
        <v>6</v>
      </c>
      <c r="DM224" t="s">
        <v>6</v>
      </c>
      <c r="DN224">
        <v>0</v>
      </c>
      <c r="DO224">
        <v>0</v>
      </c>
      <c r="DP224">
        <v>1</v>
      </c>
      <c r="DQ224">
        <v>1</v>
      </c>
      <c r="DU224">
        <v>1013</v>
      </c>
      <c r="DV224" t="s">
        <v>635</v>
      </c>
      <c r="DW224" t="s">
        <v>635</v>
      </c>
      <c r="DX224">
        <v>1</v>
      </c>
      <c r="EE224">
        <v>16510412</v>
      </c>
      <c r="EF224">
        <v>4</v>
      </c>
      <c r="EG224" t="s">
        <v>628</v>
      </c>
      <c r="EH224">
        <v>0</v>
      </c>
      <c r="EI224" t="s">
        <v>6</v>
      </c>
      <c r="EJ224">
        <v>4</v>
      </c>
      <c r="EK224">
        <v>200001</v>
      </c>
      <c r="EL224" t="s">
        <v>629</v>
      </c>
      <c r="EM224" t="s">
        <v>630</v>
      </c>
      <c r="EO224" t="s">
        <v>631</v>
      </c>
      <c r="EQ224">
        <v>131072</v>
      </c>
      <c r="ER224">
        <v>165.95</v>
      </c>
      <c r="ES224">
        <v>0</v>
      </c>
      <c r="ET224">
        <v>0</v>
      </c>
      <c r="EU224">
        <v>0</v>
      </c>
      <c r="EV224">
        <v>165.95</v>
      </c>
      <c r="EW224">
        <v>12.96</v>
      </c>
      <c r="EX224">
        <v>0</v>
      </c>
      <c r="EY224">
        <v>0</v>
      </c>
      <c r="FQ224">
        <v>0</v>
      </c>
      <c r="FR224">
        <f t="shared" si="235"/>
        <v>0</v>
      </c>
      <c r="FS224">
        <v>0</v>
      </c>
      <c r="FX224">
        <v>65</v>
      </c>
      <c r="FY224">
        <v>40</v>
      </c>
      <c r="GA224" t="s">
        <v>6</v>
      </c>
      <c r="GD224">
        <v>0</v>
      </c>
      <c r="GF224">
        <v>-931447527</v>
      </c>
      <c r="GG224">
        <v>1</v>
      </c>
      <c r="GH224">
        <v>1</v>
      </c>
      <c r="GI224">
        <v>4</v>
      </c>
      <c r="GJ224">
        <v>0</v>
      </c>
      <c r="GK224">
        <f>ROUND(R224*(R12)/100,2)</f>
        <v>0</v>
      </c>
      <c r="GL224">
        <f t="shared" si="236"/>
        <v>0</v>
      </c>
      <c r="GM224">
        <f t="shared" si="237"/>
        <v>4221.71</v>
      </c>
      <c r="GN224">
        <f t="shared" si="238"/>
        <v>0</v>
      </c>
      <c r="GO224">
        <f t="shared" si="239"/>
        <v>0</v>
      </c>
      <c r="GP224">
        <f t="shared" si="240"/>
        <v>4221.71</v>
      </c>
      <c r="GR224">
        <v>0</v>
      </c>
      <c r="GS224">
        <v>3</v>
      </c>
      <c r="GT224">
        <v>0</v>
      </c>
      <c r="GU224" t="s">
        <v>6</v>
      </c>
      <c r="GV224">
        <f t="shared" si="241"/>
        <v>0</v>
      </c>
      <c r="GW224">
        <v>1</v>
      </c>
      <c r="GX224">
        <f t="shared" si="242"/>
        <v>0</v>
      </c>
      <c r="HA224">
        <v>0</v>
      </c>
      <c r="HB224">
        <v>0</v>
      </c>
      <c r="HC224">
        <f t="shared" si="243"/>
        <v>0</v>
      </c>
      <c r="IK224">
        <v>0</v>
      </c>
    </row>
    <row r="225" spans="1:245" x14ac:dyDescent="0.2">
      <c r="A225">
        <v>17</v>
      </c>
      <c r="B225">
        <v>1</v>
      </c>
      <c r="C225">
        <f>ROW(SmtRes!A405)</f>
        <v>405</v>
      </c>
      <c r="D225">
        <f>ROW(EtalonRes!A382)</f>
        <v>382</v>
      </c>
      <c r="E225" t="s">
        <v>637</v>
      </c>
      <c r="F225" t="s">
        <v>638</v>
      </c>
      <c r="G225" t="s">
        <v>639</v>
      </c>
      <c r="H225" t="s">
        <v>437</v>
      </c>
      <c r="I225">
        <v>4</v>
      </c>
      <c r="J225">
        <v>0</v>
      </c>
      <c r="O225">
        <f t="shared" si="210"/>
        <v>969.5</v>
      </c>
      <c r="P225">
        <f t="shared" si="211"/>
        <v>0</v>
      </c>
      <c r="Q225">
        <f t="shared" si="212"/>
        <v>0</v>
      </c>
      <c r="R225">
        <f t="shared" si="213"/>
        <v>0</v>
      </c>
      <c r="S225">
        <f t="shared" si="214"/>
        <v>969.5</v>
      </c>
      <c r="T225">
        <f t="shared" si="215"/>
        <v>0</v>
      </c>
      <c r="U225">
        <f t="shared" si="216"/>
        <v>3.9039999999999999</v>
      </c>
      <c r="V225">
        <f t="shared" si="217"/>
        <v>0</v>
      </c>
      <c r="W225">
        <f t="shared" si="218"/>
        <v>0</v>
      </c>
      <c r="X225">
        <f t="shared" si="219"/>
        <v>630.17999999999995</v>
      </c>
      <c r="Y225">
        <f t="shared" si="220"/>
        <v>387.8</v>
      </c>
      <c r="AA225">
        <v>16812721</v>
      </c>
      <c r="AB225">
        <f t="shared" si="221"/>
        <v>12.5</v>
      </c>
      <c r="AC225">
        <f t="shared" si="244"/>
        <v>0</v>
      </c>
      <c r="AD225">
        <f t="shared" si="245"/>
        <v>0</v>
      </c>
      <c r="AE225">
        <f>ROUND((EU225),2)</f>
        <v>0</v>
      </c>
      <c r="AF225">
        <f>ROUND(((EV225*0.8)),2)</f>
        <v>12.5</v>
      </c>
      <c r="AG225">
        <f t="shared" si="222"/>
        <v>0</v>
      </c>
      <c r="AH225">
        <f>((EW225*0.8))</f>
        <v>0.97599999999999998</v>
      </c>
      <c r="AI225">
        <f>(EX225)</f>
        <v>0</v>
      </c>
      <c r="AJ225">
        <f t="shared" si="223"/>
        <v>0</v>
      </c>
      <c r="AK225">
        <v>15.62</v>
      </c>
      <c r="AL225">
        <v>0</v>
      </c>
      <c r="AM225">
        <v>0</v>
      </c>
      <c r="AN225">
        <v>0</v>
      </c>
      <c r="AO225">
        <v>15.62</v>
      </c>
      <c r="AP225">
        <v>0</v>
      </c>
      <c r="AQ225">
        <v>1.22</v>
      </c>
      <c r="AR225">
        <v>0</v>
      </c>
      <c r="AS225">
        <v>0</v>
      </c>
      <c r="AT225">
        <v>65</v>
      </c>
      <c r="AU225">
        <v>40</v>
      </c>
      <c r="AV225">
        <v>1</v>
      </c>
      <c r="AW225">
        <v>1</v>
      </c>
      <c r="AZ225">
        <v>19.39</v>
      </c>
      <c r="BA225">
        <v>19.39</v>
      </c>
      <c r="BB225">
        <v>1</v>
      </c>
      <c r="BC225">
        <v>1</v>
      </c>
      <c r="BD225" t="s">
        <v>6</v>
      </c>
      <c r="BE225" t="s">
        <v>6</v>
      </c>
      <c r="BF225" t="s">
        <v>6</v>
      </c>
      <c r="BG225" t="s">
        <v>6</v>
      </c>
      <c r="BH225">
        <v>0</v>
      </c>
      <c r="BI225">
        <v>4</v>
      </c>
      <c r="BJ225" t="s">
        <v>640</v>
      </c>
      <c r="BM225">
        <v>200001</v>
      </c>
      <c r="BN225">
        <v>0</v>
      </c>
      <c r="BO225" t="s">
        <v>6</v>
      </c>
      <c r="BP225">
        <v>0</v>
      </c>
      <c r="BQ225">
        <v>4</v>
      </c>
      <c r="BR225">
        <v>0</v>
      </c>
      <c r="BS225">
        <v>1</v>
      </c>
      <c r="BT225">
        <v>1</v>
      </c>
      <c r="BU225">
        <v>1</v>
      </c>
      <c r="BV225">
        <v>1</v>
      </c>
      <c r="BW225">
        <v>1</v>
      </c>
      <c r="BX225">
        <v>1</v>
      </c>
      <c r="BY225" t="s">
        <v>6</v>
      </c>
      <c r="BZ225">
        <v>65</v>
      </c>
      <c r="CA225">
        <v>40</v>
      </c>
      <c r="CE225">
        <v>0</v>
      </c>
      <c r="CF225">
        <v>0</v>
      </c>
      <c r="CG225">
        <v>0</v>
      </c>
      <c r="CM225">
        <v>0</v>
      </c>
      <c r="CN225" t="s">
        <v>627</v>
      </c>
      <c r="CO225">
        <v>0</v>
      </c>
      <c r="CP225">
        <f t="shared" si="224"/>
        <v>969.5</v>
      </c>
      <c r="CQ225">
        <f t="shared" si="225"/>
        <v>0</v>
      </c>
      <c r="CR225">
        <f t="shared" si="226"/>
        <v>0</v>
      </c>
      <c r="CS225">
        <f t="shared" si="227"/>
        <v>0</v>
      </c>
      <c r="CT225">
        <f t="shared" si="228"/>
        <v>242.375</v>
      </c>
      <c r="CU225">
        <f t="shared" si="229"/>
        <v>0</v>
      </c>
      <c r="CV225">
        <f t="shared" si="230"/>
        <v>0.97599999999999998</v>
      </c>
      <c r="CW225">
        <f t="shared" si="231"/>
        <v>0</v>
      </c>
      <c r="CX225">
        <f t="shared" si="232"/>
        <v>0</v>
      </c>
      <c r="CY225">
        <f t="shared" si="233"/>
        <v>630.17499999999995</v>
      </c>
      <c r="CZ225">
        <f t="shared" si="234"/>
        <v>387.8</v>
      </c>
      <c r="DC225" t="s">
        <v>6</v>
      </c>
      <c r="DD225" t="s">
        <v>6</v>
      </c>
      <c r="DE225" t="s">
        <v>6</v>
      </c>
      <c r="DF225" t="s">
        <v>6</v>
      </c>
      <c r="DG225" t="s">
        <v>83</v>
      </c>
      <c r="DH225" t="s">
        <v>6</v>
      </c>
      <c r="DI225" t="s">
        <v>83</v>
      </c>
      <c r="DJ225" t="s">
        <v>6</v>
      </c>
      <c r="DK225" t="s">
        <v>6</v>
      </c>
      <c r="DL225" t="s">
        <v>6</v>
      </c>
      <c r="DM225" t="s">
        <v>6</v>
      </c>
      <c r="DN225">
        <v>0</v>
      </c>
      <c r="DO225">
        <v>0</v>
      </c>
      <c r="DP225">
        <v>1</v>
      </c>
      <c r="DQ225">
        <v>1</v>
      </c>
      <c r="DU225">
        <v>1013</v>
      </c>
      <c r="DV225" t="s">
        <v>437</v>
      </c>
      <c r="DW225" t="s">
        <v>437</v>
      </c>
      <c r="DX225">
        <v>1</v>
      </c>
      <c r="EE225">
        <v>16510412</v>
      </c>
      <c r="EF225">
        <v>4</v>
      </c>
      <c r="EG225" t="s">
        <v>628</v>
      </c>
      <c r="EH225">
        <v>0</v>
      </c>
      <c r="EI225" t="s">
        <v>6</v>
      </c>
      <c r="EJ225">
        <v>4</v>
      </c>
      <c r="EK225">
        <v>200001</v>
      </c>
      <c r="EL225" t="s">
        <v>629</v>
      </c>
      <c r="EM225" t="s">
        <v>630</v>
      </c>
      <c r="EO225" t="s">
        <v>631</v>
      </c>
      <c r="EQ225">
        <v>131072</v>
      </c>
      <c r="ER225">
        <v>15.62</v>
      </c>
      <c r="ES225">
        <v>0</v>
      </c>
      <c r="ET225">
        <v>0</v>
      </c>
      <c r="EU225">
        <v>0</v>
      </c>
      <c r="EV225">
        <v>15.62</v>
      </c>
      <c r="EW225">
        <v>1.22</v>
      </c>
      <c r="EX225">
        <v>0</v>
      </c>
      <c r="EY225">
        <v>0</v>
      </c>
      <c r="FQ225">
        <v>0</v>
      </c>
      <c r="FR225">
        <f t="shared" si="235"/>
        <v>0</v>
      </c>
      <c r="FS225">
        <v>0</v>
      </c>
      <c r="FX225">
        <v>65</v>
      </c>
      <c r="FY225">
        <v>40</v>
      </c>
      <c r="GA225" t="s">
        <v>6</v>
      </c>
      <c r="GD225">
        <v>0</v>
      </c>
      <c r="GF225">
        <v>-829332442</v>
      </c>
      <c r="GG225">
        <v>1</v>
      </c>
      <c r="GH225">
        <v>1</v>
      </c>
      <c r="GI225">
        <v>4</v>
      </c>
      <c r="GJ225">
        <v>0</v>
      </c>
      <c r="GK225">
        <f>ROUND(R225*(R12)/100,2)</f>
        <v>0</v>
      </c>
      <c r="GL225">
        <f t="shared" si="236"/>
        <v>0</v>
      </c>
      <c r="GM225">
        <f t="shared" si="237"/>
        <v>1987.48</v>
      </c>
      <c r="GN225">
        <f t="shared" si="238"/>
        <v>0</v>
      </c>
      <c r="GO225">
        <f t="shared" si="239"/>
        <v>0</v>
      </c>
      <c r="GP225">
        <f t="shared" si="240"/>
        <v>1987.48</v>
      </c>
      <c r="GR225">
        <v>0</v>
      </c>
      <c r="GS225">
        <v>3</v>
      </c>
      <c r="GT225">
        <v>0</v>
      </c>
      <c r="GU225" t="s">
        <v>6</v>
      </c>
      <c r="GV225">
        <f t="shared" si="241"/>
        <v>0</v>
      </c>
      <c r="GW225">
        <v>1</v>
      </c>
      <c r="GX225">
        <f t="shared" si="242"/>
        <v>0</v>
      </c>
      <c r="HA225">
        <v>0</v>
      </c>
      <c r="HB225">
        <v>0</v>
      </c>
      <c r="HC225">
        <f t="shared" si="243"/>
        <v>0</v>
      </c>
      <c r="IK225">
        <v>0</v>
      </c>
    </row>
    <row r="226" spans="1:245" x14ac:dyDescent="0.2">
      <c r="A226">
        <v>17</v>
      </c>
      <c r="B226">
        <v>1</v>
      </c>
      <c r="C226">
        <f>ROW(SmtRes!A407)</f>
        <v>407</v>
      </c>
      <c r="D226">
        <f>ROW(EtalonRes!A384)</f>
        <v>384</v>
      </c>
      <c r="E226" t="s">
        <v>641</v>
      </c>
      <c r="F226" t="s">
        <v>642</v>
      </c>
      <c r="G226" t="s">
        <v>643</v>
      </c>
      <c r="H226" t="s">
        <v>644</v>
      </c>
      <c r="I226">
        <v>39</v>
      </c>
      <c r="J226">
        <v>0</v>
      </c>
      <c r="O226">
        <f t="shared" si="210"/>
        <v>20757.96</v>
      </c>
      <c r="P226">
        <f t="shared" si="211"/>
        <v>0</v>
      </c>
      <c r="Q226">
        <f t="shared" si="212"/>
        <v>0</v>
      </c>
      <c r="R226">
        <f t="shared" si="213"/>
        <v>0</v>
      </c>
      <c r="S226">
        <f t="shared" si="214"/>
        <v>20757.96</v>
      </c>
      <c r="T226">
        <f t="shared" si="215"/>
        <v>0</v>
      </c>
      <c r="U226">
        <f t="shared" si="216"/>
        <v>88.296000000000006</v>
      </c>
      <c r="V226">
        <f t="shared" si="217"/>
        <v>0</v>
      </c>
      <c r="W226">
        <f t="shared" si="218"/>
        <v>0</v>
      </c>
      <c r="X226">
        <f t="shared" si="219"/>
        <v>13492.67</v>
      </c>
      <c r="Y226">
        <f t="shared" si="220"/>
        <v>8303.18</v>
      </c>
      <c r="AA226">
        <v>16812721</v>
      </c>
      <c r="AB226">
        <f t="shared" si="221"/>
        <v>27.45</v>
      </c>
      <c r="AC226">
        <f t="shared" si="244"/>
        <v>0</v>
      </c>
      <c r="AD226">
        <f t="shared" si="245"/>
        <v>0</v>
      </c>
      <c r="AE226">
        <f>ROUND((EU226),2)</f>
        <v>0</v>
      </c>
      <c r="AF226">
        <f>ROUND(((EV226*0.8)),2)</f>
        <v>27.45</v>
      </c>
      <c r="AG226">
        <f t="shared" si="222"/>
        <v>0</v>
      </c>
      <c r="AH226">
        <f>((EW226*0.8))</f>
        <v>2.2640000000000002</v>
      </c>
      <c r="AI226">
        <f>(EX226)</f>
        <v>0</v>
      </c>
      <c r="AJ226">
        <f t="shared" si="223"/>
        <v>0</v>
      </c>
      <c r="AK226">
        <v>34.31</v>
      </c>
      <c r="AL226">
        <v>0</v>
      </c>
      <c r="AM226">
        <v>0</v>
      </c>
      <c r="AN226">
        <v>0</v>
      </c>
      <c r="AO226">
        <v>34.31</v>
      </c>
      <c r="AP226">
        <v>0</v>
      </c>
      <c r="AQ226">
        <v>2.83</v>
      </c>
      <c r="AR226">
        <v>0</v>
      </c>
      <c r="AS226">
        <v>0</v>
      </c>
      <c r="AT226">
        <v>65</v>
      </c>
      <c r="AU226">
        <v>40</v>
      </c>
      <c r="AV226">
        <v>1</v>
      </c>
      <c r="AW226">
        <v>1</v>
      </c>
      <c r="AZ226">
        <v>19.39</v>
      </c>
      <c r="BA226">
        <v>19.39</v>
      </c>
      <c r="BB226">
        <v>1</v>
      </c>
      <c r="BC226">
        <v>1</v>
      </c>
      <c r="BD226" t="s">
        <v>6</v>
      </c>
      <c r="BE226" t="s">
        <v>6</v>
      </c>
      <c r="BF226" t="s">
        <v>6</v>
      </c>
      <c r="BG226" t="s">
        <v>6</v>
      </c>
      <c r="BH226">
        <v>0</v>
      </c>
      <c r="BI226">
        <v>4</v>
      </c>
      <c r="BJ226" t="s">
        <v>645</v>
      </c>
      <c r="BM226">
        <v>200001</v>
      </c>
      <c r="BN226">
        <v>0</v>
      </c>
      <c r="BO226" t="s">
        <v>6</v>
      </c>
      <c r="BP226">
        <v>0</v>
      </c>
      <c r="BQ226">
        <v>4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6</v>
      </c>
      <c r="BZ226">
        <v>65</v>
      </c>
      <c r="CA226">
        <v>40</v>
      </c>
      <c r="CE226">
        <v>0</v>
      </c>
      <c r="CF226">
        <v>0</v>
      </c>
      <c r="CG226">
        <v>0</v>
      </c>
      <c r="CM226">
        <v>0</v>
      </c>
      <c r="CN226" t="s">
        <v>627</v>
      </c>
      <c r="CO226">
        <v>0</v>
      </c>
      <c r="CP226">
        <f t="shared" si="224"/>
        <v>20757.96</v>
      </c>
      <c r="CQ226">
        <f t="shared" si="225"/>
        <v>0</v>
      </c>
      <c r="CR226">
        <f t="shared" si="226"/>
        <v>0</v>
      </c>
      <c r="CS226">
        <f t="shared" si="227"/>
        <v>0</v>
      </c>
      <c r="CT226">
        <f t="shared" si="228"/>
        <v>532.25549999999998</v>
      </c>
      <c r="CU226">
        <f t="shared" si="229"/>
        <v>0</v>
      </c>
      <c r="CV226">
        <f t="shared" si="230"/>
        <v>2.2640000000000002</v>
      </c>
      <c r="CW226">
        <f t="shared" si="231"/>
        <v>0</v>
      </c>
      <c r="CX226">
        <f t="shared" si="232"/>
        <v>0</v>
      </c>
      <c r="CY226">
        <f t="shared" si="233"/>
        <v>13492.673999999999</v>
      </c>
      <c r="CZ226">
        <f t="shared" si="234"/>
        <v>8303.1839999999993</v>
      </c>
      <c r="DC226" t="s">
        <v>6</v>
      </c>
      <c r="DD226" t="s">
        <v>6</v>
      </c>
      <c r="DE226" t="s">
        <v>6</v>
      </c>
      <c r="DF226" t="s">
        <v>6</v>
      </c>
      <c r="DG226" t="s">
        <v>83</v>
      </c>
      <c r="DH226" t="s">
        <v>6</v>
      </c>
      <c r="DI226" t="s">
        <v>83</v>
      </c>
      <c r="DJ226" t="s">
        <v>6</v>
      </c>
      <c r="DK226" t="s">
        <v>6</v>
      </c>
      <c r="DL226" t="s">
        <v>6</v>
      </c>
      <c r="DM226" t="s">
        <v>6</v>
      </c>
      <c r="DN226">
        <v>0</v>
      </c>
      <c r="DO226">
        <v>0</v>
      </c>
      <c r="DP226">
        <v>1</v>
      </c>
      <c r="DQ226">
        <v>1</v>
      </c>
      <c r="DU226">
        <v>1013</v>
      </c>
      <c r="DV226" t="s">
        <v>644</v>
      </c>
      <c r="DW226" t="s">
        <v>644</v>
      </c>
      <c r="DX226">
        <v>1</v>
      </c>
      <c r="EE226">
        <v>16510412</v>
      </c>
      <c r="EF226">
        <v>4</v>
      </c>
      <c r="EG226" t="s">
        <v>628</v>
      </c>
      <c r="EH226">
        <v>0</v>
      </c>
      <c r="EI226" t="s">
        <v>6</v>
      </c>
      <c r="EJ226">
        <v>4</v>
      </c>
      <c r="EK226">
        <v>200001</v>
      </c>
      <c r="EL226" t="s">
        <v>629</v>
      </c>
      <c r="EM226" t="s">
        <v>630</v>
      </c>
      <c r="EO226" t="s">
        <v>631</v>
      </c>
      <c r="EQ226">
        <v>131072</v>
      </c>
      <c r="ER226">
        <v>34.31</v>
      </c>
      <c r="ES226">
        <v>0</v>
      </c>
      <c r="ET226">
        <v>0</v>
      </c>
      <c r="EU226">
        <v>0</v>
      </c>
      <c r="EV226">
        <v>34.31</v>
      </c>
      <c r="EW226">
        <v>2.83</v>
      </c>
      <c r="EX226">
        <v>0</v>
      </c>
      <c r="EY226">
        <v>0</v>
      </c>
      <c r="FQ226">
        <v>0</v>
      </c>
      <c r="FR226">
        <f t="shared" si="235"/>
        <v>0</v>
      </c>
      <c r="FS226">
        <v>0</v>
      </c>
      <c r="FX226">
        <v>65</v>
      </c>
      <c r="FY226">
        <v>40</v>
      </c>
      <c r="GA226" t="s">
        <v>6</v>
      </c>
      <c r="GD226">
        <v>0</v>
      </c>
      <c r="GF226">
        <v>-181593394</v>
      </c>
      <c r="GG226">
        <v>1</v>
      </c>
      <c r="GH226">
        <v>1</v>
      </c>
      <c r="GI226">
        <v>4</v>
      </c>
      <c r="GJ226">
        <v>0</v>
      </c>
      <c r="GK226">
        <f>ROUND(R226*(R12)/100,2)</f>
        <v>0</v>
      </c>
      <c r="GL226">
        <f t="shared" si="236"/>
        <v>0</v>
      </c>
      <c r="GM226">
        <f t="shared" si="237"/>
        <v>42553.81</v>
      </c>
      <c r="GN226">
        <f t="shared" si="238"/>
        <v>0</v>
      </c>
      <c r="GO226">
        <f t="shared" si="239"/>
        <v>0</v>
      </c>
      <c r="GP226">
        <f t="shared" si="240"/>
        <v>42553.81</v>
      </c>
      <c r="GR226">
        <v>0</v>
      </c>
      <c r="GS226">
        <v>3</v>
      </c>
      <c r="GT226">
        <v>0</v>
      </c>
      <c r="GU226" t="s">
        <v>6</v>
      </c>
      <c r="GV226">
        <f t="shared" si="241"/>
        <v>0</v>
      </c>
      <c r="GW226">
        <v>1</v>
      </c>
      <c r="GX226">
        <f t="shared" si="242"/>
        <v>0</v>
      </c>
      <c r="HA226">
        <v>0</v>
      </c>
      <c r="HB226">
        <v>0</v>
      </c>
      <c r="HC226">
        <f t="shared" si="243"/>
        <v>0</v>
      </c>
      <c r="IK226">
        <v>0</v>
      </c>
    </row>
    <row r="228" spans="1:245" x14ac:dyDescent="0.2">
      <c r="A228" s="2">
        <v>51</v>
      </c>
      <c r="B228" s="2">
        <f>B181</f>
        <v>1</v>
      </c>
      <c r="C228" s="2">
        <f>A181</f>
        <v>4</v>
      </c>
      <c r="D228" s="2">
        <f>ROW(A181)</f>
        <v>181</v>
      </c>
      <c r="E228" s="2"/>
      <c r="F228" s="2" t="str">
        <f>IF(F181&lt;&gt;"",F181,"")</f>
        <v>Новый раздел</v>
      </c>
      <c r="G228" s="2" t="str">
        <f>IF(G181&lt;&gt;"",G181,"")</f>
        <v>3 Электромонтажные работы</v>
      </c>
      <c r="H228" s="2">
        <v>0</v>
      </c>
      <c r="I228" s="2"/>
      <c r="J228" s="2"/>
      <c r="K228" s="2"/>
      <c r="L228" s="2"/>
      <c r="M228" s="2"/>
      <c r="N228" s="2"/>
      <c r="O228" s="2">
        <f t="shared" ref="O228:T228" si="250">ROUND(AB228,2)</f>
        <v>488957.19</v>
      </c>
      <c r="P228" s="2">
        <f t="shared" si="250"/>
        <v>432804.02</v>
      </c>
      <c r="Q228" s="2">
        <f t="shared" si="250"/>
        <v>2143.61</v>
      </c>
      <c r="R228" s="2">
        <f t="shared" si="250"/>
        <v>242.36</v>
      </c>
      <c r="S228" s="2">
        <f t="shared" si="250"/>
        <v>54009.56</v>
      </c>
      <c r="T228" s="2">
        <f t="shared" si="250"/>
        <v>0</v>
      </c>
      <c r="U228" s="2">
        <f>AH228</f>
        <v>542.27172000000007</v>
      </c>
      <c r="V228" s="2">
        <f>AI228</f>
        <v>2.8692799999999998</v>
      </c>
      <c r="W228" s="2">
        <f>ROUND(AJ228,2)</f>
        <v>0</v>
      </c>
      <c r="X228" s="2">
        <f>ROUND(AK228,2)</f>
        <v>43078.77</v>
      </c>
      <c r="Y228" s="2">
        <f>ROUND(AL228,2)</f>
        <v>28494.04</v>
      </c>
      <c r="Z228" s="2"/>
      <c r="AA228" s="2"/>
      <c r="AB228" s="2">
        <f>ROUND(SUMIF(AA185:AA226,"=16812721",O185:O226),2)</f>
        <v>488957.19</v>
      </c>
      <c r="AC228" s="2">
        <f>ROUND(SUMIF(AA185:AA226,"=16812721",P185:P226),2)</f>
        <v>432804.02</v>
      </c>
      <c r="AD228" s="2">
        <f>ROUND(SUMIF(AA185:AA226,"=16812721",Q185:Q226),2)</f>
        <v>2143.61</v>
      </c>
      <c r="AE228" s="2">
        <f>ROUND(SUMIF(AA185:AA226,"=16812721",R185:R226),2)</f>
        <v>242.36</v>
      </c>
      <c r="AF228" s="2">
        <f>ROUND(SUMIF(AA185:AA226,"=16812721",S185:S226),2)</f>
        <v>54009.56</v>
      </c>
      <c r="AG228" s="2">
        <f>ROUND(SUMIF(AA185:AA226,"=16812721",T185:T226),2)</f>
        <v>0</v>
      </c>
      <c r="AH228" s="2">
        <f>SUMIF(AA185:AA226,"=16812721",U185:U226)</f>
        <v>542.27172000000007</v>
      </c>
      <c r="AI228" s="2">
        <f>SUMIF(AA185:AA226,"=16812721",V185:V226)</f>
        <v>2.8692799999999998</v>
      </c>
      <c r="AJ228" s="2">
        <f>ROUND(SUMIF(AA185:AA226,"=16812721",W185:W226),2)</f>
        <v>0</v>
      </c>
      <c r="AK228" s="2">
        <f>ROUND(SUMIF(AA185:AA226,"=16812721",X185:X226),2)</f>
        <v>43078.77</v>
      </c>
      <c r="AL228" s="2">
        <f>ROUND(SUMIF(AA185:AA226,"=16812721",Y185:Y226),2)</f>
        <v>28494.04</v>
      </c>
      <c r="AM228" s="2"/>
      <c r="AN228" s="2"/>
      <c r="AO228" s="2">
        <f t="shared" ref="AO228:BC228" si="251">ROUND(BX228,2)</f>
        <v>0</v>
      </c>
      <c r="AP228" s="2">
        <f t="shared" si="251"/>
        <v>0</v>
      </c>
      <c r="AQ228" s="2">
        <f t="shared" si="251"/>
        <v>0</v>
      </c>
      <c r="AR228" s="2">
        <f t="shared" si="251"/>
        <v>560530</v>
      </c>
      <c r="AS228" s="2">
        <f t="shared" si="251"/>
        <v>4763.38</v>
      </c>
      <c r="AT228" s="2">
        <f t="shared" si="251"/>
        <v>501527.72</v>
      </c>
      <c r="AU228" s="2">
        <f t="shared" si="251"/>
        <v>54238.9</v>
      </c>
      <c r="AV228" s="2">
        <f t="shared" si="251"/>
        <v>432804.02</v>
      </c>
      <c r="AW228" s="2">
        <f t="shared" si="251"/>
        <v>432804.02</v>
      </c>
      <c r="AX228" s="2">
        <f t="shared" si="251"/>
        <v>0</v>
      </c>
      <c r="AY228" s="2">
        <f t="shared" si="251"/>
        <v>432804.02</v>
      </c>
      <c r="AZ228" s="2">
        <f t="shared" si="251"/>
        <v>0</v>
      </c>
      <c r="BA228" s="2">
        <f t="shared" si="251"/>
        <v>0</v>
      </c>
      <c r="BB228" s="2">
        <f t="shared" si="251"/>
        <v>0</v>
      </c>
      <c r="BC228" s="2">
        <f t="shared" si="251"/>
        <v>0</v>
      </c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>
        <f>ROUND(SUMIF(AA185:AA226,"=16812721",FQ185:FQ226),2)</f>
        <v>0</v>
      </c>
      <c r="BY228" s="2">
        <f>ROUND(SUMIF(AA185:AA226,"=16812721",FR185:FR226),2)</f>
        <v>0</v>
      </c>
      <c r="BZ228" s="2">
        <f>ROUND(SUMIF(AA185:AA226,"=16812721",GL185:GL226),2)</f>
        <v>0</v>
      </c>
      <c r="CA228" s="2">
        <f>ROUND(SUMIF(AA185:AA226,"=16812721",GM185:GM226),2)</f>
        <v>560530</v>
      </c>
      <c r="CB228" s="2">
        <f>ROUND(SUMIF(AA185:AA226,"=16812721",GN185:GN226),2)</f>
        <v>4763.38</v>
      </c>
      <c r="CC228" s="2">
        <f>ROUND(SUMIF(AA185:AA226,"=16812721",GO185:GO226),2)</f>
        <v>501527.72</v>
      </c>
      <c r="CD228" s="2">
        <f>ROUND(SUMIF(AA185:AA226,"=16812721",GP185:GP226),2)</f>
        <v>54238.9</v>
      </c>
      <c r="CE228" s="2">
        <f>AC228-BX228</f>
        <v>432804.02</v>
      </c>
      <c r="CF228" s="2">
        <f>AC228-BY228</f>
        <v>432804.02</v>
      </c>
      <c r="CG228" s="2">
        <f>BX228-BZ228</f>
        <v>0</v>
      </c>
      <c r="CH228" s="2">
        <f>AC228-BX228-BY228+BZ228</f>
        <v>432804.02</v>
      </c>
      <c r="CI228" s="2">
        <f>BY228-BZ228</f>
        <v>0</v>
      </c>
      <c r="CJ228" s="2">
        <f>ROUND(SUMIF(AA185:AA226,"=16812721",GX185:GX226),2)</f>
        <v>0</v>
      </c>
      <c r="CK228" s="2">
        <f>ROUND(SUMIF(AA185:AA226,"=16812721",GY185:GY226),2)</f>
        <v>0</v>
      </c>
      <c r="CL228" s="2">
        <f>ROUND(SUMIF(AA185:AA226,"=16812721",GZ185:GZ226),2)</f>
        <v>0</v>
      </c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3"/>
      <c r="EF228" s="3"/>
      <c r="EG228" s="3"/>
      <c r="EH228" s="3"/>
      <c r="EI228" s="3"/>
      <c r="EJ228" s="3"/>
      <c r="EK228" s="3"/>
      <c r="EL228" s="3"/>
      <c r="EM228" s="3"/>
      <c r="EN228" s="3"/>
      <c r="EO228" s="3"/>
      <c r="EP228" s="3"/>
      <c r="EQ228" s="3"/>
      <c r="ER228" s="3"/>
      <c r="ES228" s="3"/>
      <c r="ET228" s="3"/>
      <c r="EU228" s="3"/>
      <c r="EV228" s="3"/>
      <c r="EW228" s="3"/>
      <c r="EX228" s="3"/>
      <c r="EY228" s="3"/>
      <c r="EZ228" s="3"/>
      <c r="FA228" s="3"/>
      <c r="FB228" s="3"/>
      <c r="FC228" s="3"/>
      <c r="FD228" s="3"/>
      <c r="FE228" s="3"/>
      <c r="FF228" s="3"/>
      <c r="FG228" s="3"/>
      <c r="FH228" s="3"/>
      <c r="FI228" s="3"/>
      <c r="FJ228" s="3"/>
      <c r="FK228" s="3"/>
      <c r="FL228" s="3"/>
      <c r="FM228" s="3"/>
      <c r="FN228" s="3"/>
      <c r="FO228" s="3"/>
      <c r="FP228" s="3"/>
      <c r="FQ228" s="3"/>
      <c r="FR228" s="3"/>
      <c r="FS228" s="3"/>
      <c r="FT228" s="3"/>
      <c r="FU228" s="3"/>
      <c r="FV228" s="3"/>
      <c r="FW228" s="3"/>
      <c r="FX228" s="3"/>
      <c r="FY228" s="3"/>
      <c r="FZ228" s="3"/>
      <c r="GA228" s="3"/>
      <c r="GB228" s="3"/>
      <c r="GC228" s="3"/>
      <c r="GD228" s="3"/>
      <c r="GE228" s="3"/>
      <c r="GF228" s="3"/>
      <c r="GG228" s="3"/>
      <c r="GH228" s="3"/>
      <c r="GI228" s="3"/>
      <c r="GJ228" s="3"/>
      <c r="GK228" s="3"/>
      <c r="GL228" s="3"/>
      <c r="GM228" s="3"/>
      <c r="GN228" s="3"/>
      <c r="GO228" s="3"/>
      <c r="GP228" s="3"/>
      <c r="GQ228" s="3"/>
      <c r="GR228" s="3"/>
      <c r="GS228" s="3"/>
      <c r="GT228" s="3"/>
      <c r="GU228" s="3"/>
      <c r="GV228" s="3"/>
      <c r="GW228" s="3"/>
      <c r="GX228" s="3">
        <v>0</v>
      </c>
    </row>
    <row r="230" spans="1:245" x14ac:dyDescent="0.2">
      <c r="A230" s="4">
        <v>50</v>
      </c>
      <c r="B230" s="4">
        <v>0</v>
      </c>
      <c r="C230" s="4">
        <v>0</v>
      </c>
      <c r="D230" s="4">
        <v>1</v>
      </c>
      <c r="E230" s="4">
        <v>201</v>
      </c>
      <c r="F230" s="4">
        <f>ROUND(Source!O228,O230)</f>
        <v>488957.19</v>
      </c>
      <c r="G230" s="4" t="s">
        <v>361</v>
      </c>
      <c r="H230" s="4" t="s">
        <v>362</v>
      </c>
      <c r="I230" s="4"/>
      <c r="J230" s="4"/>
      <c r="K230" s="4">
        <v>201</v>
      </c>
      <c r="L230" s="4">
        <v>1</v>
      </c>
      <c r="M230" s="4">
        <v>3</v>
      </c>
      <c r="N230" s="4" t="s">
        <v>6</v>
      </c>
      <c r="O230" s="4">
        <v>2</v>
      </c>
      <c r="P230" s="4"/>
      <c r="Q230" s="4"/>
      <c r="R230" s="4"/>
      <c r="S230" s="4"/>
      <c r="T230" s="4"/>
      <c r="U230" s="4"/>
      <c r="V230" s="4"/>
      <c r="W230" s="4"/>
    </row>
    <row r="231" spans="1:245" x14ac:dyDescent="0.2">
      <c r="A231" s="4">
        <v>50</v>
      </c>
      <c r="B231" s="4">
        <v>0</v>
      </c>
      <c r="C231" s="4">
        <v>0</v>
      </c>
      <c r="D231" s="4">
        <v>1</v>
      </c>
      <c r="E231" s="4">
        <v>202</v>
      </c>
      <c r="F231" s="4">
        <f>ROUND(Source!P228,O231)</f>
        <v>432804.02</v>
      </c>
      <c r="G231" s="4" t="s">
        <v>363</v>
      </c>
      <c r="H231" s="4" t="s">
        <v>364</v>
      </c>
      <c r="I231" s="4"/>
      <c r="J231" s="4"/>
      <c r="K231" s="4">
        <v>202</v>
      </c>
      <c r="L231" s="4">
        <v>2</v>
      </c>
      <c r="M231" s="4">
        <v>3</v>
      </c>
      <c r="N231" s="4" t="s">
        <v>6</v>
      </c>
      <c r="O231" s="4">
        <v>2</v>
      </c>
      <c r="P231" s="4"/>
      <c r="Q231" s="4"/>
      <c r="R231" s="4"/>
      <c r="S231" s="4"/>
      <c r="T231" s="4"/>
      <c r="U231" s="4"/>
      <c r="V231" s="4"/>
      <c r="W231" s="4"/>
    </row>
    <row r="232" spans="1:245" x14ac:dyDescent="0.2">
      <c r="A232" s="4">
        <v>50</v>
      </c>
      <c r="B232" s="4">
        <v>0</v>
      </c>
      <c r="C232" s="4">
        <v>0</v>
      </c>
      <c r="D232" s="4">
        <v>1</v>
      </c>
      <c r="E232" s="4">
        <v>222</v>
      </c>
      <c r="F232" s="4">
        <f>ROUND(Source!AO228,O232)</f>
        <v>0</v>
      </c>
      <c r="G232" s="4" t="s">
        <v>365</v>
      </c>
      <c r="H232" s="4" t="s">
        <v>366</v>
      </c>
      <c r="I232" s="4"/>
      <c r="J232" s="4"/>
      <c r="K232" s="4">
        <v>222</v>
      </c>
      <c r="L232" s="4">
        <v>3</v>
      </c>
      <c r="M232" s="4">
        <v>3</v>
      </c>
      <c r="N232" s="4" t="s">
        <v>6</v>
      </c>
      <c r="O232" s="4">
        <v>2</v>
      </c>
      <c r="P232" s="4"/>
      <c r="Q232" s="4"/>
      <c r="R232" s="4"/>
      <c r="S232" s="4"/>
      <c r="T232" s="4"/>
      <c r="U232" s="4"/>
      <c r="V232" s="4"/>
      <c r="W232" s="4"/>
    </row>
    <row r="233" spans="1:245" x14ac:dyDescent="0.2">
      <c r="A233" s="4">
        <v>50</v>
      </c>
      <c r="B233" s="4">
        <v>0</v>
      </c>
      <c r="C233" s="4">
        <v>0</v>
      </c>
      <c r="D233" s="4">
        <v>1</v>
      </c>
      <c r="E233" s="4">
        <v>225</v>
      </c>
      <c r="F233" s="4">
        <f>ROUND(Source!AV228,O233)</f>
        <v>432804.02</v>
      </c>
      <c r="G233" s="4" t="s">
        <v>367</v>
      </c>
      <c r="H233" s="4" t="s">
        <v>368</v>
      </c>
      <c r="I233" s="4"/>
      <c r="J233" s="4"/>
      <c r="K233" s="4">
        <v>225</v>
      </c>
      <c r="L233" s="4">
        <v>4</v>
      </c>
      <c r="M233" s="4">
        <v>3</v>
      </c>
      <c r="N233" s="4" t="s">
        <v>6</v>
      </c>
      <c r="O233" s="4">
        <v>2</v>
      </c>
      <c r="P233" s="4"/>
      <c r="Q233" s="4"/>
      <c r="R233" s="4"/>
      <c r="S233" s="4"/>
      <c r="T233" s="4"/>
      <c r="U233" s="4"/>
      <c r="V233" s="4"/>
      <c r="W233" s="4"/>
    </row>
    <row r="234" spans="1:245" x14ac:dyDescent="0.2">
      <c r="A234" s="4">
        <v>50</v>
      </c>
      <c r="B234" s="4">
        <v>0</v>
      </c>
      <c r="C234" s="4">
        <v>0</v>
      </c>
      <c r="D234" s="4">
        <v>1</v>
      </c>
      <c r="E234" s="4">
        <v>226</v>
      </c>
      <c r="F234" s="4">
        <f>ROUND(Source!AW228,O234)</f>
        <v>432804.02</v>
      </c>
      <c r="G234" s="4" t="s">
        <v>369</v>
      </c>
      <c r="H234" s="4" t="s">
        <v>370</v>
      </c>
      <c r="I234" s="4"/>
      <c r="J234" s="4"/>
      <c r="K234" s="4">
        <v>226</v>
      </c>
      <c r="L234" s="4">
        <v>5</v>
      </c>
      <c r="M234" s="4">
        <v>3</v>
      </c>
      <c r="N234" s="4" t="s">
        <v>6</v>
      </c>
      <c r="O234" s="4">
        <v>2</v>
      </c>
      <c r="P234" s="4"/>
      <c r="Q234" s="4"/>
      <c r="R234" s="4"/>
      <c r="S234" s="4"/>
      <c r="T234" s="4"/>
      <c r="U234" s="4"/>
      <c r="V234" s="4"/>
      <c r="W234" s="4"/>
    </row>
    <row r="235" spans="1:245" x14ac:dyDescent="0.2">
      <c r="A235" s="4">
        <v>50</v>
      </c>
      <c r="B235" s="4">
        <v>0</v>
      </c>
      <c r="C235" s="4">
        <v>0</v>
      </c>
      <c r="D235" s="4">
        <v>1</v>
      </c>
      <c r="E235" s="4">
        <v>227</v>
      </c>
      <c r="F235" s="4">
        <f>ROUND(Source!AX228,O235)</f>
        <v>0</v>
      </c>
      <c r="G235" s="4" t="s">
        <v>371</v>
      </c>
      <c r="H235" s="4" t="s">
        <v>372</v>
      </c>
      <c r="I235" s="4"/>
      <c r="J235" s="4"/>
      <c r="K235" s="4">
        <v>227</v>
      </c>
      <c r="L235" s="4">
        <v>6</v>
      </c>
      <c r="M235" s="4">
        <v>3</v>
      </c>
      <c r="N235" s="4" t="s">
        <v>6</v>
      </c>
      <c r="O235" s="4">
        <v>2</v>
      </c>
      <c r="P235" s="4"/>
      <c r="Q235" s="4"/>
      <c r="R235" s="4"/>
      <c r="S235" s="4"/>
      <c r="T235" s="4"/>
      <c r="U235" s="4"/>
      <c r="V235" s="4"/>
      <c r="W235" s="4"/>
    </row>
    <row r="236" spans="1:245" x14ac:dyDescent="0.2">
      <c r="A236" s="4">
        <v>50</v>
      </c>
      <c r="B236" s="4">
        <v>0</v>
      </c>
      <c r="C236" s="4">
        <v>0</v>
      </c>
      <c r="D236" s="4">
        <v>1</v>
      </c>
      <c r="E236" s="4">
        <v>228</v>
      </c>
      <c r="F236" s="4">
        <f>ROUND(Source!AY228,O236)</f>
        <v>432804.02</v>
      </c>
      <c r="G236" s="4" t="s">
        <v>373</v>
      </c>
      <c r="H236" s="4" t="s">
        <v>374</v>
      </c>
      <c r="I236" s="4"/>
      <c r="J236" s="4"/>
      <c r="K236" s="4">
        <v>228</v>
      </c>
      <c r="L236" s="4">
        <v>7</v>
      </c>
      <c r="M236" s="4">
        <v>3</v>
      </c>
      <c r="N236" s="4" t="s">
        <v>6</v>
      </c>
      <c r="O236" s="4">
        <v>2</v>
      </c>
      <c r="P236" s="4"/>
      <c r="Q236" s="4"/>
      <c r="R236" s="4"/>
      <c r="S236" s="4"/>
      <c r="T236" s="4"/>
      <c r="U236" s="4"/>
      <c r="V236" s="4"/>
      <c r="W236" s="4"/>
    </row>
    <row r="237" spans="1:245" x14ac:dyDescent="0.2">
      <c r="A237" s="4">
        <v>50</v>
      </c>
      <c r="B237" s="4">
        <v>0</v>
      </c>
      <c r="C237" s="4">
        <v>0</v>
      </c>
      <c r="D237" s="4">
        <v>1</v>
      </c>
      <c r="E237" s="4">
        <v>216</v>
      </c>
      <c r="F237" s="4">
        <f>ROUND(Source!AP228,O237)</f>
        <v>0</v>
      </c>
      <c r="G237" s="4" t="s">
        <v>375</v>
      </c>
      <c r="H237" s="4" t="s">
        <v>376</v>
      </c>
      <c r="I237" s="4"/>
      <c r="J237" s="4"/>
      <c r="K237" s="4">
        <v>216</v>
      </c>
      <c r="L237" s="4">
        <v>8</v>
      </c>
      <c r="M237" s="4">
        <v>3</v>
      </c>
      <c r="N237" s="4" t="s">
        <v>6</v>
      </c>
      <c r="O237" s="4">
        <v>2</v>
      </c>
      <c r="P237" s="4"/>
      <c r="Q237" s="4"/>
      <c r="R237" s="4"/>
      <c r="S237" s="4"/>
      <c r="T237" s="4"/>
      <c r="U237" s="4"/>
      <c r="V237" s="4"/>
      <c r="W237" s="4"/>
    </row>
    <row r="238" spans="1:245" x14ac:dyDescent="0.2">
      <c r="A238" s="4">
        <v>50</v>
      </c>
      <c r="B238" s="4">
        <v>0</v>
      </c>
      <c r="C238" s="4">
        <v>0</v>
      </c>
      <c r="D238" s="4">
        <v>1</v>
      </c>
      <c r="E238" s="4">
        <v>223</v>
      </c>
      <c r="F238" s="4">
        <f>ROUND(Source!AQ228,O238)</f>
        <v>0</v>
      </c>
      <c r="G238" s="4" t="s">
        <v>377</v>
      </c>
      <c r="H238" s="4" t="s">
        <v>378</v>
      </c>
      <c r="I238" s="4"/>
      <c r="J238" s="4"/>
      <c r="K238" s="4">
        <v>223</v>
      </c>
      <c r="L238" s="4">
        <v>9</v>
      </c>
      <c r="M238" s="4">
        <v>3</v>
      </c>
      <c r="N238" s="4" t="s">
        <v>6</v>
      </c>
      <c r="O238" s="4">
        <v>2</v>
      </c>
      <c r="P238" s="4"/>
      <c r="Q238" s="4"/>
      <c r="R238" s="4"/>
      <c r="S238" s="4"/>
      <c r="T238" s="4"/>
      <c r="U238" s="4"/>
      <c r="V238" s="4"/>
      <c r="W238" s="4"/>
    </row>
    <row r="239" spans="1:245" x14ac:dyDescent="0.2">
      <c r="A239" s="4">
        <v>50</v>
      </c>
      <c r="B239" s="4">
        <v>0</v>
      </c>
      <c r="C239" s="4">
        <v>0</v>
      </c>
      <c r="D239" s="4">
        <v>1</v>
      </c>
      <c r="E239" s="4">
        <v>229</v>
      </c>
      <c r="F239" s="4">
        <f>ROUND(Source!AZ228,O239)</f>
        <v>0</v>
      </c>
      <c r="G239" s="4" t="s">
        <v>379</v>
      </c>
      <c r="H239" s="4" t="s">
        <v>380</v>
      </c>
      <c r="I239" s="4"/>
      <c r="J239" s="4"/>
      <c r="K239" s="4">
        <v>229</v>
      </c>
      <c r="L239" s="4">
        <v>10</v>
      </c>
      <c r="M239" s="4">
        <v>3</v>
      </c>
      <c r="N239" s="4" t="s">
        <v>6</v>
      </c>
      <c r="O239" s="4">
        <v>2</v>
      </c>
      <c r="P239" s="4"/>
      <c r="Q239" s="4"/>
      <c r="R239" s="4"/>
      <c r="S239" s="4"/>
      <c r="T239" s="4"/>
      <c r="U239" s="4"/>
      <c r="V239" s="4"/>
      <c r="W239" s="4"/>
    </row>
    <row r="240" spans="1:245" x14ac:dyDescent="0.2">
      <c r="A240" s="4">
        <v>50</v>
      </c>
      <c r="B240" s="4">
        <v>0</v>
      </c>
      <c r="C240" s="4">
        <v>0</v>
      </c>
      <c r="D240" s="4">
        <v>1</v>
      </c>
      <c r="E240" s="4">
        <v>203</v>
      </c>
      <c r="F240" s="4">
        <f>ROUND(Source!Q228,O240)</f>
        <v>2143.61</v>
      </c>
      <c r="G240" s="4" t="s">
        <v>381</v>
      </c>
      <c r="H240" s="4" t="s">
        <v>382</v>
      </c>
      <c r="I240" s="4"/>
      <c r="J240" s="4"/>
      <c r="K240" s="4">
        <v>203</v>
      </c>
      <c r="L240" s="4">
        <v>11</v>
      </c>
      <c r="M240" s="4">
        <v>3</v>
      </c>
      <c r="N240" s="4" t="s">
        <v>6</v>
      </c>
      <c r="O240" s="4">
        <v>2</v>
      </c>
      <c r="P240" s="4"/>
      <c r="Q240" s="4"/>
      <c r="R240" s="4"/>
      <c r="S240" s="4"/>
      <c r="T240" s="4"/>
      <c r="U240" s="4"/>
      <c r="V240" s="4"/>
      <c r="W240" s="4"/>
    </row>
    <row r="241" spans="1:23" x14ac:dyDescent="0.2">
      <c r="A241" s="4">
        <v>50</v>
      </c>
      <c r="B241" s="4">
        <v>0</v>
      </c>
      <c r="C241" s="4">
        <v>0</v>
      </c>
      <c r="D241" s="4">
        <v>1</v>
      </c>
      <c r="E241" s="4">
        <v>231</v>
      </c>
      <c r="F241" s="4">
        <f>ROUND(Source!BB228,O241)</f>
        <v>0</v>
      </c>
      <c r="G241" s="4" t="s">
        <v>383</v>
      </c>
      <c r="H241" s="4" t="s">
        <v>384</v>
      </c>
      <c r="I241" s="4"/>
      <c r="J241" s="4"/>
      <c r="K241" s="4">
        <v>231</v>
      </c>
      <c r="L241" s="4">
        <v>12</v>
      </c>
      <c r="M241" s="4">
        <v>3</v>
      </c>
      <c r="N241" s="4" t="s">
        <v>6</v>
      </c>
      <c r="O241" s="4">
        <v>2</v>
      </c>
      <c r="P241" s="4"/>
      <c r="Q241" s="4"/>
      <c r="R241" s="4"/>
      <c r="S241" s="4"/>
      <c r="T241" s="4"/>
      <c r="U241" s="4"/>
      <c r="V241" s="4"/>
      <c r="W241" s="4"/>
    </row>
    <row r="242" spans="1:23" x14ac:dyDescent="0.2">
      <c r="A242" s="4">
        <v>50</v>
      </c>
      <c r="B242" s="4">
        <v>0</v>
      </c>
      <c r="C242" s="4">
        <v>0</v>
      </c>
      <c r="D242" s="4">
        <v>1</v>
      </c>
      <c r="E242" s="4">
        <v>204</v>
      </c>
      <c r="F242" s="4">
        <f>ROUND(Source!R228,O242)</f>
        <v>242.36</v>
      </c>
      <c r="G242" s="4" t="s">
        <v>385</v>
      </c>
      <c r="H242" s="4" t="s">
        <v>386</v>
      </c>
      <c r="I242" s="4"/>
      <c r="J242" s="4"/>
      <c r="K242" s="4">
        <v>204</v>
      </c>
      <c r="L242" s="4">
        <v>13</v>
      </c>
      <c r="M242" s="4">
        <v>3</v>
      </c>
      <c r="N242" s="4" t="s">
        <v>6</v>
      </c>
      <c r="O242" s="4">
        <v>2</v>
      </c>
      <c r="P242" s="4"/>
      <c r="Q242" s="4"/>
      <c r="R242" s="4"/>
      <c r="S242" s="4"/>
      <c r="T242" s="4"/>
      <c r="U242" s="4"/>
      <c r="V242" s="4"/>
      <c r="W242" s="4"/>
    </row>
    <row r="243" spans="1:23" x14ac:dyDescent="0.2">
      <c r="A243" s="4">
        <v>50</v>
      </c>
      <c r="B243" s="4">
        <v>0</v>
      </c>
      <c r="C243" s="4">
        <v>0</v>
      </c>
      <c r="D243" s="4">
        <v>1</v>
      </c>
      <c r="E243" s="4">
        <v>205</v>
      </c>
      <c r="F243" s="4">
        <f>ROUND(Source!S228,O243)</f>
        <v>54009.56</v>
      </c>
      <c r="G243" s="4" t="s">
        <v>387</v>
      </c>
      <c r="H243" s="4" t="s">
        <v>388</v>
      </c>
      <c r="I243" s="4"/>
      <c r="J243" s="4"/>
      <c r="K243" s="4">
        <v>205</v>
      </c>
      <c r="L243" s="4">
        <v>14</v>
      </c>
      <c r="M243" s="4">
        <v>3</v>
      </c>
      <c r="N243" s="4" t="s">
        <v>6</v>
      </c>
      <c r="O243" s="4">
        <v>2</v>
      </c>
      <c r="P243" s="4"/>
      <c r="Q243" s="4"/>
      <c r="R243" s="4"/>
      <c r="S243" s="4"/>
      <c r="T243" s="4"/>
      <c r="U243" s="4"/>
      <c r="V243" s="4"/>
      <c r="W243" s="4"/>
    </row>
    <row r="244" spans="1:23" x14ac:dyDescent="0.2">
      <c r="A244" s="4">
        <v>50</v>
      </c>
      <c r="B244" s="4">
        <v>0</v>
      </c>
      <c r="C244" s="4">
        <v>0</v>
      </c>
      <c r="D244" s="4">
        <v>1</v>
      </c>
      <c r="E244" s="4">
        <v>232</v>
      </c>
      <c r="F244" s="4">
        <f>ROUND(Source!BC228,O244)</f>
        <v>0</v>
      </c>
      <c r="G244" s="4" t="s">
        <v>389</v>
      </c>
      <c r="H244" s="4" t="s">
        <v>390</v>
      </c>
      <c r="I244" s="4"/>
      <c r="J244" s="4"/>
      <c r="K244" s="4">
        <v>232</v>
      </c>
      <c r="L244" s="4">
        <v>15</v>
      </c>
      <c r="M244" s="4">
        <v>3</v>
      </c>
      <c r="N244" s="4" t="s">
        <v>6</v>
      </c>
      <c r="O244" s="4">
        <v>2</v>
      </c>
      <c r="P244" s="4"/>
      <c r="Q244" s="4"/>
      <c r="R244" s="4"/>
      <c r="S244" s="4"/>
      <c r="T244" s="4"/>
      <c r="U244" s="4"/>
      <c r="V244" s="4"/>
      <c r="W244" s="4"/>
    </row>
    <row r="245" spans="1:23" x14ac:dyDescent="0.2">
      <c r="A245" s="4">
        <v>50</v>
      </c>
      <c r="B245" s="4">
        <v>0</v>
      </c>
      <c r="C245" s="4">
        <v>0</v>
      </c>
      <c r="D245" s="4">
        <v>1</v>
      </c>
      <c r="E245" s="4">
        <v>214</v>
      </c>
      <c r="F245" s="4">
        <f>ROUND(Source!AS228,O245)</f>
        <v>4763.38</v>
      </c>
      <c r="G245" s="4" t="s">
        <v>391</v>
      </c>
      <c r="H245" s="4" t="s">
        <v>392</v>
      </c>
      <c r="I245" s="4"/>
      <c r="J245" s="4"/>
      <c r="K245" s="4">
        <v>214</v>
      </c>
      <c r="L245" s="4">
        <v>16</v>
      </c>
      <c r="M245" s="4">
        <v>3</v>
      </c>
      <c r="N245" s="4" t="s">
        <v>6</v>
      </c>
      <c r="O245" s="4">
        <v>2</v>
      </c>
      <c r="P245" s="4"/>
      <c r="Q245" s="4"/>
      <c r="R245" s="4"/>
      <c r="S245" s="4"/>
      <c r="T245" s="4"/>
      <c r="U245" s="4"/>
      <c r="V245" s="4"/>
      <c r="W245" s="4"/>
    </row>
    <row r="246" spans="1:23" x14ac:dyDescent="0.2">
      <c r="A246" s="4">
        <v>50</v>
      </c>
      <c r="B246" s="4">
        <v>0</v>
      </c>
      <c r="C246" s="4">
        <v>0</v>
      </c>
      <c r="D246" s="4">
        <v>1</v>
      </c>
      <c r="E246" s="4">
        <v>215</v>
      </c>
      <c r="F246" s="4">
        <f>ROUND(Source!AT228,O246)</f>
        <v>501527.72</v>
      </c>
      <c r="G246" s="4" t="s">
        <v>393</v>
      </c>
      <c r="H246" s="4" t="s">
        <v>394</v>
      </c>
      <c r="I246" s="4"/>
      <c r="J246" s="4"/>
      <c r="K246" s="4">
        <v>215</v>
      </c>
      <c r="L246" s="4">
        <v>17</v>
      </c>
      <c r="M246" s="4">
        <v>3</v>
      </c>
      <c r="N246" s="4" t="s">
        <v>6</v>
      </c>
      <c r="O246" s="4">
        <v>2</v>
      </c>
      <c r="P246" s="4"/>
      <c r="Q246" s="4"/>
      <c r="R246" s="4"/>
      <c r="S246" s="4"/>
      <c r="T246" s="4"/>
      <c r="U246" s="4"/>
      <c r="V246" s="4"/>
      <c r="W246" s="4"/>
    </row>
    <row r="247" spans="1:23" x14ac:dyDescent="0.2">
      <c r="A247" s="4">
        <v>50</v>
      </c>
      <c r="B247" s="4">
        <v>0</v>
      </c>
      <c r="C247" s="4">
        <v>0</v>
      </c>
      <c r="D247" s="4">
        <v>1</v>
      </c>
      <c r="E247" s="4">
        <v>217</v>
      </c>
      <c r="F247" s="4">
        <f>ROUND(Source!AU228,O247)</f>
        <v>54238.9</v>
      </c>
      <c r="G247" s="4" t="s">
        <v>395</v>
      </c>
      <c r="H247" s="4" t="s">
        <v>396</v>
      </c>
      <c r="I247" s="4"/>
      <c r="J247" s="4"/>
      <c r="K247" s="4">
        <v>217</v>
      </c>
      <c r="L247" s="4">
        <v>18</v>
      </c>
      <c r="M247" s="4">
        <v>3</v>
      </c>
      <c r="N247" s="4" t="s">
        <v>6</v>
      </c>
      <c r="O247" s="4">
        <v>2</v>
      </c>
      <c r="P247" s="4"/>
      <c r="Q247" s="4"/>
      <c r="R247" s="4"/>
      <c r="S247" s="4"/>
      <c r="T247" s="4"/>
      <c r="U247" s="4"/>
      <c r="V247" s="4"/>
      <c r="W247" s="4"/>
    </row>
    <row r="248" spans="1:23" x14ac:dyDescent="0.2">
      <c r="A248" s="4">
        <v>50</v>
      </c>
      <c r="B248" s="4">
        <v>0</v>
      </c>
      <c r="C248" s="4">
        <v>0</v>
      </c>
      <c r="D248" s="4">
        <v>1</v>
      </c>
      <c r="E248" s="4">
        <v>230</v>
      </c>
      <c r="F248" s="4">
        <f>ROUND(Source!BA228,O248)</f>
        <v>0</v>
      </c>
      <c r="G248" s="4" t="s">
        <v>397</v>
      </c>
      <c r="H248" s="4" t="s">
        <v>398</v>
      </c>
      <c r="I248" s="4"/>
      <c r="J248" s="4"/>
      <c r="K248" s="4">
        <v>230</v>
      </c>
      <c r="L248" s="4">
        <v>19</v>
      </c>
      <c r="M248" s="4">
        <v>3</v>
      </c>
      <c r="N248" s="4" t="s">
        <v>6</v>
      </c>
      <c r="O248" s="4">
        <v>2</v>
      </c>
      <c r="P248" s="4"/>
      <c r="Q248" s="4"/>
      <c r="R248" s="4"/>
      <c r="S248" s="4"/>
      <c r="T248" s="4"/>
      <c r="U248" s="4"/>
      <c r="V248" s="4"/>
      <c r="W248" s="4"/>
    </row>
    <row r="249" spans="1:23" x14ac:dyDescent="0.2">
      <c r="A249" s="4">
        <v>50</v>
      </c>
      <c r="B249" s="4">
        <v>0</v>
      </c>
      <c r="C249" s="4">
        <v>0</v>
      </c>
      <c r="D249" s="4">
        <v>1</v>
      </c>
      <c r="E249" s="4">
        <v>206</v>
      </c>
      <c r="F249" s="4">
        <f>ROUND(Source!T228,O249)</f>
        <v>0</v>
      </c>
      <c r="G249" s="4" t="s">
        <v>399</v>
      </c>
      <c r="H249" s="4" t="s">
        <v>400</v>
      </c>
      <c r="I249" s="4"/>
      <c r="J249" s="4"/>
      <c r="K249" s="4">
        <v>206</v>
      </c>
      <c r="L249" s="4">
        <v>20</v>
      </c>
      <c r="M249" s="4">
        <v>3</v>
      </c>
      <c r="N249" s="4" t="s">
        <v>6</v>
      </c>
      <c r="O249" s="4">
        <v>2</v>
      </c>
      <c r="P249" s="4"/>
      <c r="Q249" s="4"/>
      <c r="R249" s="4"/>
      <c r="S249" s="4"/>
      <c r="T249" s="4"/>
      <c r="U249" s="4"/>
      <c r="V249" s="4"/>
      <c r="W249" s="4"/>
    </row>
    <row r="250" spans="1:23" x14ac:dyDescent="0.2">
      <c r="A250" s="4">
        <v>50</v>
      </c>
      <c r="B250" s="4">
        <v>0</v>
      </c>
      <c r="C250" s="4">
        <v>0</v>
      </c>
      <c r="D250" s="4">
        <v>1</v>
      </c>
      <c r="E250" s="4">
        <v>207</v>
      </c>
      <c r="F250" s="4">
        <f>Source!U228</f>
        <v>542.27172000000007</v>
      </c>
      <c r="G250" s="4" t="s">
        <v>401</v>
      </c>
      <c r="H250" s="4" t="s">
        <v>402</v>
      </c>
      <c r="I250" s="4"/>
      <c r="J250" s="4"/>
      <c r="K250" s="4">
        <v>207</v>
      </c>
      <c r="L250" s="4">
        <v>21</v>
      </c>
      <c r="M250" s="4">
        <v>3</v>
      </c>
      <c r="N250" s="4" t="s">
        <v>6</v>
      </c>
      <c r="O250" s="4">
        <v>-1</v>
      </c>
      <c r="P250" s="4"/>
      <c r="Q250" s="4"/>
      <c r="R250" s="4"/>
      <c r="S250" s="4"/>
      <c r="T250" s="4"/>
      <c r="U250" s="4"/>
      <c r="V250" s="4"/>
      <c r="W250" s="4"/>
    </row>
    <row r="251" spans="1:23" x14ac:dyDescent="0.2">
      <c r="A251" s="4">
        <v>50</v>
      </c>
      <c r="B251" s="4">
        <v>0</v>
      </c>
      <c r="C251" s="4">
        <v>0</v>
      </c>
      <c r="D251" s="4">
        <v>1</v>
      </c>
      <c r="E251" s="4">
        <v>208</v>
      </c>
      <c r="F251" s="4">
        <f>Source!V228</f>
        <v>2.8692799999999998</v>
      </c>
      <c r="G251" s="4" t="s">
        <v>403</v>
      </c>
      <c r="H251" s="4" t="s">
        <v>404</v>
      </c>
      <c r="I251" s="4"/>
      <c r="J251" s="4"/>
      <c r="K251" s="4">
        <v>208</v>
      </c>
      <c r="L251" s="4">
        <v>22</v>
      </c>
      <c r="M251" s="4">
        <v>3</v>
      </c>
      <c r="N251" s="4" t="s">
        <v>6</v>
      </c>
      <c r="O251" s="4">
        <v>-1</v>
      </c>
      <c r="P251" s="4"/>
      <c r="Q251" s="4"/>
      <c r="R251" s="4"/>
      <c r="S251" s="4"/>
      <c r="T251" s="4"/>
      <c r="U251" s="4"/>
      <c r="V251" s="4"/>
      <c r="W251" s="4"/>
    </row>
    <row r="252" spans="1:23" x14ac:dyDescent="0.2">
      <c r="A252" s="4">
        <v>50</v>
      </c>
      <c r="B252" s="4">
        <v>0</v>
      </c>
      <c r="C252" s="4">
        <v>0</v>
      </c>
      <c r="D252" s="4">
        <v>1</v>
      </c>
      <c r="E252" s="4">
        <v>209</v>
      </c>
      <c r="F252" s="4">
        <f>ROUND(Source!W228,O252)</f>
        <v>0</v>
      </c>
      <c r="G252" s="4" t="s">
        <v>405</v>
      </c>
      <c r="H252" s="4" t="s">
        <v>406</v>
      </c>
      <c r="I252" s="4"/>
      <c r="J252" s="4"/>
      <c r="K252" s="4">
        <v>209</v>
      </c>
      <c r="L252" s="4">
        <v>23</v>
      </c>
      <c r="M252" s="4">
        <v>3</v>
      </c>
      <c r="N252" s="4" t="s">
        <v>6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</row>
    <row r="253" spans="1:23" x14ac:dyDescent="0.2">
      <c r="A253" s="4">
        <v>50</v>
      </c>
      <c r="B253" s="4">
        <v>0</v>
      </c>
      <c r="C253" s="4">
        <v>0</v>
      </c>
      <c r="D253" s="4">
        <v>1</v>
      </c>
      <c r="E253" s="4">
        <v>210</v>
      </c>
      <c r="F253" s="4">
        <f>ROUND(Source!X228,O253)</f>
        <v>43078.77</v>
      </c>
      <c r="G253" s="4" t="s">
        <v>407</v>
      </c>
      <c r="H253" s="4" t="s">
        <v>408</v>
      </c>
      <c r="I253" s="4"/>
      <c r="J253" s="4"/>
      <c r="K253" s="4">
        <v>210</v>
      </c>
      <c r="L253" s="4">
        <v>24</v>
      </c>
      <c r="M253" s="4">
        <v>3</v>
      </c>
      <c r="N253" s="4" t="s">
        <v>6</v>
      </c>
      <c r="O253" s="4">
        <v>2</v>
      </c>
      <c r="P253" s="4"/>
      <c r="Q253" s="4"/>
      <c r="R253" s="4"/>
      <c r="S253" s="4"/>
      <c r="T253" s="4"/>
      <c r="U253" s="4"/>
      <c r="V253" s="4"/>
      <c r="W253" s="4"/>
    </row>
    <row r="254" spans="1:23" x14ac:dyDescent="0.2">
      <c r="A254" s="4">
        <v>50</v>
      </c>
      <c r="B254" s="4">
        <v>0</v>
      </c>
      <c r="C254" s="4">
        <v>0</v>
      </c>
      <c r="D254" s="4">
        <v>1</v>
      </c>
      <c r="E254" s="4">
        <v>211</v>
      </c>
      <c r="F254" s="4">
        <f>ROUND(Source!Y228,O254)</f>
        <v>28494.04</v>
      </c>
      <c r="G254" s="4" t="s">
        <v>409</v>
      </c>
      <c r="H254" s="4" t="s">
        <v>410</v>
      </c>
      <c r="I254" s="4"/>
      <c r="J254" s="4"/>
      <c r="K254" s="4">
        <v>211</v>
      </c>
      <c r="L254" s="4">
        <v>25</v>
      </c>
      <c r="M254" s="4">
        <v>3</v>
      </c>
      <c r="N254" s="4" t="s">
        <v>6</v>
      </c>
      <c r="O254" s="4">
        <v>2</v>
      </c>
      <c r="P254" s="4"/>
      <c r="Q254" s="4"/>
      <c r="R254" s="4"/>
      <c r="S254" s="4"/>
      <c r="T254" s="4"/>
      <c r="U254" s="4"/>
      <c r="V254" s="4"/>
      <c r="W254" s="4"/>
    </row>
    <row r="255" spans="1:23" x14ac:dyDescent="0.2">
      <c r="A255" s="4">
        <v>50</v>
      </c>
      <c r="B255" s="4">
        <v>0</v>
      </c>
      <c r="C255" s="4">
        <v>0</v>
      </c>
      <c r="D255" s="4">
        <v>1</v>
      </c>
      <c r="E255" s="4">
        <v>224</v>
      </c>
      <c r="F255" s="4">
        <f>ROUND(Source!AR228,O255)</f>
        <v>560530</v>
      </c>
      <c r="G255" s="4" t="s">
        <v>411</v>
      </c>
      <c r="H255" s="4" t="s">
        <v>412</v>
      </c>
      <c r="I255" s="4"/>
      <c r="J255" s="4"/>
      <c r="K255" s="4">
        <v>224</v>
      </c>
      <c r="L255" s="4">
        <v>26</v>
      </c>
      <c r="M255" s="4">
        <v>3</v>
      </c>
      <c r="N255" s="4" t="s">
        <v>6</v>
      </c>
      <c r="O255" s="4">
        <v>2</v>
      </c>
      <c r="P255" s="4"/>
      <c r="Q255" s="4"/>
      <c r="R255" s="4"/>
      <c r="S255" s="4"/>
      <c r="T255" s="4"/>
      <c r="U255" s="4"/>
      <c r="V255" s="4"/>
      <c r="W255" s="4"/>
    </row>
    <row r="256" spans="1:23" x14ac:dyDescent="0.2">
      <c r="A256" s="4">
        <v>50</v>
      </c>
      <c r="B256" s="4">
        <v>1</v>
      </c>
      <c r="C256" s="4">
        <v>0</v>
      </c>
      <c r="D256" s="4">
        <v>2</v>
      </c>
      <c r="E256" s="4">
        <v>0</v>
      </c>
      <c r="F256" s="4">
        <f>ROUND(F255,O256)</f>
        <v>560530</v>
      </c>
      <c r="G256" s="4" t="s">
        <v>646</v>
      </c>
      <c r="H256" s="4" t="s">
        <v>647</v>
      </c>
      <c r="I256" s="4"/>
      <c r="J256" s="4"/>
      <c r="K256" s="4">
        <v>212</v>
      </c>
      <c r="L256" s="4">
        <v>27</v>
      </c>
      <c r="M256" s="4">
        <v>0</v>
      </c>
      <c r="N256" s="4" t="s">
        <v>6</v>
      </c>
      <c r="O256" s="4">
        <v>2</v>
      </c>
      <c r="P256" s="4"/>
      <c r="Q256" s="4"/>
      <c r="R256" s="4"/>
      <c r="S256" s="4"/>
      <c r="T256" s="4"/>
      <c r="U256" s="4"/>
      <c r="V256" s="4"/>
      <c r="W256" s="4"/>
    </row>
    <row r="257" spans="1:245" x14ac:dyDescent="0.2">
      <c r="A257" s="4">
        <v>50</v>
      </c>
      <c r="B257" s="4">
        <v>1</v>
      </c>
      <c r="C257" s="4">
        <v>0</v>
      </c>
      <c r="D257" s="4">
        <v>2</v>
      </c>
      <c r="E257" s="4">
        <v>0</v>
      </c>
      <c r="F257" s="4">
        <f>ROUND(F256*0.18,O257)</f>
        <v>100895.4</v>
      </c>
      <c r="G257" s="4" t="s">
        <v>648</v>
      </c>
      <c r="H257" s="4" t="s">
        <v>649</v>
      </c>
      <c r="I257" s="4"/>
      <c r="J257" s="4"/>
      <c r="K257" s="4">
        <v>212</v>
      </c>
      <c r="L257" s="4">
        <v>28</v>
      </c>
      <c r="M257" s="4">
        <v>0</v>
      </c>
      <c r="N257" s="4" t="s">
        <v>6</v>
      </c>
      <c r="O257" s="4">
        <v>2</v>
      </c>
      <c r="P257" s="4"/>
      <c r="Q257" s="4"/>
      <c r="R257" s="4"/>
      <c r="S257" s="4"/>
      <c r="T257" s="4"/>
      <c r="U257" s="4"/>
      <c r="V257" s="4"/>
      <c r="W257" s="4"/>
    </row>
    <row r="258" spans="1:245" x14ac:dyDescent="0.2">
      <c r="A258" s="4">
        <v>50</v>
      </c>
      <c r="B258" s="4">
        <v>1</v>
      </c>
      <c r="C258" s="4">
        <v>0</v>
      </c>
      <c r="D258" s="4">
        <v>2</v>
      </c>
      <c r="E258" s="4">
        <v>213</v>
      </c>
      <c r="F258" s="4">
        <f>ROUND(F256+F257,O258)</f>
        <v>661425.4</v>
      </c>
      <c r="G258" s="4" t="s">
        <v>650</v>
      </c>
      <c r="H258" s="4" t="s">
        <v>411</v>
      </c>
      <c r="I258" s="4"/>
      <c r="J258" s="4"/>
      <c r="K258" s="4">
        <v>212</v>
      </c>
      <c r="L258" s="4">
        <v>29</v>
      </c>
      <c r="M258" s="4">
        <v>0</v>
      </c>
      <c r="N258" s="4" t="s">
        <v>6</v>
      </c>
      <c r="O258" s="4">
        <v>2</v>
      </c>
      <c r="P258" s="4"/>
      <c r="Q258" s="4"/>
      <c r="R258" s="4"/>
      <c r="S258" s="4"/>
      <c r="T258" s="4"/>
      <c r="U258" s="4"/>
      <c r="V258" s="4"/>
      <c r="W258" s="4"/>
    </row>
    <row r="260" spans="1:245" x14ac:dyDescent="0.2">
      <c r="A260" s="1">
        <v>4</v>
      </c>
      <c r="B260" s="1">
        <v>1</v>
      </c>
      <c r="C260" s="1"/>
      <c r="D260" s="1">
        <f>ROW(A275)</f>
        <v>275</v>
      </c>
      <c r="E260" s="1"/>
      <c r="F260" s="1" t="s">
        <v>13</v>
      </c>
      <c r="G260" s="1" t="s">
        <v>651</v>
      </c>
      <c r="H260" s="1" t="s">
        <v>6</v>
      </c>
      <c r="I260" s="1">
        <v>0</v>
      </c>
      <c r="J260" s="1"/>
      <c r="K260" s="1">
        <v>-1</v>
      </c>
      <c r="L260" s="1"/>
      <c r="M260" s="1"/>
      <c r="N260" s="1"/>
      <c r="O260" s="1"/>
      <c r="P260" s="1"/>
      <c r="Q260" s="1"/>
      <c r="R260" s="1"/>
      <c r="S260" s="1"/>
      <c r="T260" s="1"/>
      <c r="U260" s="1" t="s">
        <v>6</v>
      </c>
      <c r="V260" s="1">
        <v>0</v>
      </c>
      <c r="W260" s="1"/>
      <c r="X260" s="1"/>
      <c r="Y260" s="1"/>
      <c r="Z260" s="1"/>
      <c r="AA260" s="1"/>
      <c r="AB260" s="1" t="s">
        <v>6</v>
      </c>
      <c r="AC260" s="1" t="s">
        <v>6</v>
      </c>
      <c r="AD260" s="1" t="s">
        <v>6</v>
      </c>
      <c r="AE260" s="1" t="s">
        <v>6</v>
      </c>
      <c r="AF260" s="1" t="s">
        <v>6</v>
      </c>
      <c r="AG260" s="1" t="s">
        <v>6</v>
      </c>
      <c r="AH260" s="1"/>
      <c r="AI260" s="1"/>
      <c r="AJ260" s="1"/>
      <c r="AK260" s="1"/>
      <c r="AL260" s="1"/>
      <c r="AM260" s="1"/>
      <c r="AN260" s="1"/>
      <c r="AO260" s="1"/>
      <c r="AP260" s="1" t="s">
        <v>6</v>
      </c>
      <c r="AQ260" s="1" t="s">
        <v>6</v>
      </c>
      <c r="AR260" s="1" t="s">
        <v>6</v>
      </c>
      <c r="AS260" s="1"/>
      <c r="AT260" s="1"/>
      <c r="AU260" s="1"/>
      <c r="AV260" s="1"/>
      <c r="AW260" s="1"/>
      <c r="AX260" s="1"/>
      <c r="AY260" s="1"/>
      <c r="AZ260" s="1" t="s">
        <v>6</v>
      </c>
      <c r="BA260" s="1"/>
      <c r="BB260" s="1" t="s">
        <v>6</v>
      </c>
      <c r="BC260" s="1" t="s">
        <v>6</v>
      </c>
      <c r="BD260" s="1" t="s">
        <v>6</v>
      </c>
      <c r="BE260" s="1" t="s">
        <v>6</v>
      </c>
      <c r="BF260" s="1" t="s">
        <v>6</v>
      </c>
      <c r="BG260" s="1" t="s">
        <v>6</v>
      </c>
      <c r="BH260" s="1" t="s">
        <v>6</v>
      </c>
      <c r="BI260" s="1" t="s">
        <v>6</v>
      </c>
      <c r="BJ260" s="1" t="s">
        <v>6</v>
      </c>
      <c r="BK260" s="1" t="s">
        <v>6</v>
      </c>
      <c r="BL260" s="1" t="s">
        <v>6</v>
      </c>
      <c r="BM260" s="1" t="s">
        <v>6</v>
      </c>
      <c r="BN260" s="1" t="s">
        <v>6</v>
      </c>
      <c r="BO260" s="1" t="s">
        <v>6</v>
      </c>
      <c r="BP260" s="1" t="s">
        <v>6</v>
      </c>
      <c r="BQ260" s="1"/>
      <c r="BR260" s="1"/>
      <c r="BS260" s="1"/>
      <c r="BT260" s="1"/>
      <c r="BU260" s="1"/>
      <c r="BV260" s="1"/>
      <c r="BW260" s="1"/>
      <c r="BX260" s="1">
        <v>0</v>
      </c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>
        <v>0</v>
      </c>
    </row>
    <row r="262" spans="1:245" x14ac:dyDescent="0.2">
      <c r="A262" s="2">
        <v>52</v>
      </c>
      <c r="B262" s="2">
        <f t="shared" ref="B262:G262" si="252">B275</f>
        <v>1</v>
      </c>
      <c r="C262" s="2">
        <f t="shared" si="252"/>
        <v>4</v>
      </c>
      <c r="D262" s="2">
        <f t="shared" si="252"/>
        <v>260</v>
      </c>
      <c r="E262" s="2">
        <f t="shared" si="252"/>
        <v>0</v>
      </c>
      <c r="F262" s="2" t="str">
        <f t="shared" si="252"/>
        <v>Новый раздел</v>
      </c>
      <c r="G262" s="2" t="str">
        <f t="shared" si="252"/>
        <v>4 АПС</v>
      </c>
      <c r="H262" s="2"/>
      <c r="I262" s="2"/>
      <c r="J262" s="2"/>
      <c r="K262" s="2"/>
      <c r="L262" s="2"/>
      <c r="M262" s="2"/>
      <c r="N262" s="2"/>
      <c r="O262" s="2">
        <f t="shared" ref="O262:AT262" si="253">O275</f>
        <v>15772.37</v>
      </c>
      <c r="P262" s="2">
        <f t="shared" si="253"/>
        <v>12644.06</v>
      </c>
      <c r="Q262" s="2">
        <f t="shared" si="253"/>
        <v>31.44</v>
      </c>
      <c r="R262" s="2">
        <f t="shared" si="253"/>
        <v>4.43</v>
      </c>
      <c r="S262" s="2">
        <f t="shared" si="253"/>
        <v>3096.87</v>
      </c>
      <c r="T262" s="2">
        <f t="shared" si="253"/>
        <v>0</v>
      </c>
      <c r="U262" s="2">
        <f t="shared" si="253"/>
        <v>48.866800000000005</v>
      </c>
      <c r="V262" s="2">
        <f t="shared" si="253"/>
        <v>5.2800000000000007E-2</v>
      </c>
      <c r="W262" s="2">
        <f t="shared" si="253"/>
        <v>0</v>
      </c>
      <c r="X262" s="2">
        <f t="shared" si="253"/>
        <v>2734.41</v>
      </c>
      <c r="Y262" s="2">
        <f t="shared" si="253"/>
        <v>1945.23</v>
      </c>
      <c r="Z262" s="2">
        <f t="shared" si="253"/>
        <v>0</v>
      </c>
      <c r="AA262" s="2">
        <f t="shared" si="253"/>
        <v>0</v>
      </c>
      <c r="AB262" s="2">
        <f t="shared" si="253"/>
        <v>15772.37</v>
      </c>
      <c r="AC262" s="2">
        <f t="shared" si="253"/>
        <v>12644.06</v>
      </c>
      <c r="AD262" s="2">
        <f t="shared" si="253"/>
        <v>31.44</v>
      </c>
      <c r="AE262" s="2">
        <f t="shared" si="253"/>
        <v>4.43</v>
      </c>
      <c r="AF262" s="2">
        <f t="shared" si="253"/>
        <v>3096.87</v>
      </c>
      <c r="AG262" s="2">
        <f t="shared" si="253"/>
        <v>0</v>
      </c>
      <c r="AH262" s="2">
        <f t="shared" si="253"/>
        <v>48.866800000000005</v>
      </c>
      <c r="AI262" s="2">
        <f t="shared" si="253"/>
        <v>5.2800000000000007E-2</v>
      </c>
      <c r="AJ262" s="2">
        <f t="shared" si="253"/>
        <v>0</v>
      </c>
      <c r="AK262" s="2">
        <f t="shared" si="253"/>
        <v>2734.41</v>
      </c>
      <c r="AL262" s="2">
        <f t="shared" si="253"/>
        <v>1945.23</v>
      </c>
      <c r="AM262" s="2">
        <f t="shared" si="253"/>
        <v>0</v>
      </c>
      <c r="AN262" s="2">
        <f t="shared" si="253"/>
        <v>0</v>
      </c>
      <c r="AO262" s="2">
        <f t="shared" si="253"/>
        <v>0</v>
      </c>
      <c r="AP262" s="2">
        <f t="shared" si="253"/>
        <v>0</v>
      </c>
      <c r="AQ262" s="2">
        <f t="shared" si="253"/>
        <v>0</v>
      </c>
      <c r="AR262" s="2">
        <f t="shared" si="253"/>
        <v>20452.009999999998</v>
      </c>
      <c r="AS262" s="2">
        <f t="shared" si="253"/>
        <v>0</v>
      </c>
      <c r="AT262" s="2">
        <f t="shared" si="253"/>
        <v>20452.009999999998</v>
      </c>
      <c r="AU262" s="2">
        <f t="shared" ref="AU262:BZ262" si="254">AU275</f>
        <v>0</v>
      </c>
      <c r="AV262" s="2">
        <f t="shared" si="254"/>
        <v>12644.06</v>
      </c>
      <c r="AW262" s="2">
        <f t="shared" si="254"/>
        <v>12644.06</v>
      </c>
      <c r="AX262" s="2">
        <f t="shared" si="254"/>
        <v>0</v>
      </c>
      <c r="AY262" s="2">
        <f t="shared" si="254"/>
        <v>12644.06</v>
      </c>
      <c r="AZ262" s="2">
        <f t="shared" si="254"/>
        <v>0</v>
      </c>
      <c r="BA262" s="2">
        <f t="shared" si="254"/>
        <v>0</v>
      </c>
      <c r="BB262" s="2">
        <f t="shared" si="254"/>
        <v>0</v>
      </c>
      <c r="BC262" s="2">
        <f t="shared" si="254"/>
        <v>0</v>
      </c>
      <c r="BD262" s="2">
        <f t="shared" si="254"/>
        <v>0</v>
      </c>
      <c r="BE262" s="2">
        <f t="shared" si="254"/>
        <v>0</v>
      </c>
      <c r="BF262" s="2">
        <f t="shared" si="254"/>
        <v>0</v>
      </c>
      <c r="BG262" s="2">
        <f t="shared" si="254"/>
        <v>0</v>
      </c>
      <c r="BH262" s="2">
        <f t="shared" si="254"/>
        <v>0</v>
      </c>
      <c r="BI262" s="2">
        <f t="shared" si="254"/>
        <v>0</v>
      </c>
      <c r="BJ262" s="2">
        <f t="shared" si="254"/>
        <v>0</v>
      </c>
      <c r="BK262" s="2">
        <f t="shared" si="254"/>
        <v>0</v>
      </c>
      <c r="BL262" s="2">
        <f t="shared" si="254"/>
        <v>0</v>
      </c>
      <c r="BM262" s="2">
        <f t="shared" si="254"/>
        <v>0</v>
      </c>
      <c r="BN262" s="2">
        <f t="shared" si="254"/>
        <v>0</v>
      </c>
      <c r="BO262" s="2">
        <f t="shared" si="254"/>
        <v>0</v>
      </c>
      <c r="BP262" s="2">
        <f t="shared" si="254"/>
        <v>0</v>
      </c>
      <c r="BQ262" s="2">
        <f t="shared" si="254"/>
        <v>0</v>
      </c>
      <c r="BR262" s="2">
        <f t="shared" si="254"/>
        <v>0</v>
      </c>
      <c r="BS262" s="2">
        <f t="shared" si="254"/>
        <v>0</v>
      </c>
      <c r="BT262" s="2">
        <f t="shared" si="254"/>
        <v>0</v>
      </c>
      <c r="BU262" s="2">
        <f t="shared" si="254"/>
        <v>0</v>
      </c>
      <c r="BV262" s="2">
        <f t="shared" si="254"/>
        <v>0</v>
      </c>
      <c r="BW262" s="2">
        <f t="shared" si="254"/>
        <v>0</v>
      </c>
      <c r="BX262" s="2">
        <f t="shared" si="254"/>
        <v>0</v>
      </c>
      <c r="BY262" s="2">
        <f t="shared" si="254"/>
        <v>0</v>
      </c>
      <c r="BZ262" s="2">
        <f t="shared" si="254"/>
        <v>0</v>
      </c>
      <c r="CA262" s="2">
        <f t="shared" ref="CA262:DF262" si="255">CA275</f>
        <v>20452.009999999998</v>
      </c>
      <c r="CB262" s="2">
        <f t="shared" si="255"/>
        <v>0</v>
      </c>
      <c r="CC262" s="2">
        <f t="shared" si="255"/>
        <v>20452.009999999998</v>
      </c>
      <c r="CD262" s="2">
        <f t="shared" si="255"/>
        <v>0</v>
      </c>
      <c r="CE262" s="2">
        <f t="shared" si="255"/>
        <v>12644.06</v>
      </c>
      <c r="CF262" s="2">
        <f t="shared" si="255"/>
        <v>12644.06</v>
      </c>
      <c r="CG262" s="2">
        <f t="shared" si="255"/>
        <v>0</v>
      </c>
      <c r="CH262" s="2">
        <f t="shared" si="255"/>
        <v>12644.06</v>
      </c>
      <c r="CI262" s="2">
        <f t="shared" si="255"/>
        <v>0</v>
      </c>
      <c r="CJ262" s="2">
        <f t="shared" si="255"/>
        <v>0</v>
      </c>
      <c r="CK262" s="2">
        <f t="shared" si="255"/>
        <v>0</v>
      </c>
      <c r="CL262" s="2">
        <f t="shared" si="255"/>
        <v>0</v>
      </c>
      <c r="CM262" s="2">
        <f t="shared" si="255"/>
        <v>0</v>
      </c>
      <c r="CN262" s="2">
        <f t="shared" si="255"/>
        <v>0</v>
      </c>
      <c r="CO262" s="2">
        <f t="shared" si="255"/>
        <v>0</v>
      </c>
      <c r="CP262" s="2">
        <f t="shared" si="255"/>
        <v>0</v>
      </c>
      <c r="CQ262" s="2">
        <f t="shared" si="255"/>
        <v>0</v>
      </c>
      <c r="CR262" s="2">
        <f t="shared" si="255"/>
        <v>0</v>
      </c>
      <c r="CS262" s="2">
        <f t="shared" si="255"/>
        <v>0</v>
      </c>
      <c r="CT262" s="2">
        <f t="shared" si="255"/>
        <v>0</v>
      </c>
      <c r="CU262" s="2">
        <f t="shared" si="255"/>
        <v>0</v>
      </c>
      <c r="CV262" s="2">
        <f t="shared" si="255"/>
        <v>0</v>
      </c>
      <c r="CW262" s="2">
        <f t="shared" si="255"/>
        <v>0</v>
      </c>
      <c r="CX262" s="2">
        <f t="shared" si="255"/>
        <v>0</v>
      </c>
      <c r="CY262" s="2">
        <f t="shared" si="255"/>
        <v>0</v>
      </c>
      <c r="CZ262" s="2">
        <f t="shared" si="255"/>
        <v>0</v>
      </c>
      <c r="DA262" s="2">
        <f t="shared" si="255"/>
        <v>0</v>
      </c>
      <c r="DB262" s="2">
        <f t="shared" si="255"/>
        <v>0</v>
      </c>
      <c r="DC262" s="2">
        <f t="shared" si="255"/>
        <v>0</v>
      </c>
      <c r="DD262" s="2">
        <f t="shared" si="255"/>
        <v>0</v>
      </c>
      <c r="DE262" s="2">
        <f t="shared" si="255"/>
        <v>0</v>
      </c>
      <c r="DF262" s="2">
        <f t="shared" si="255"/>
        <v>0</v>
      </c>
      <c r="DG262" s="3">
        <f t="shared" ref="DG262:EL262" si="256">DG275</f>
        <v>0</v>
      </c>
      <c r="DH262" s="3">
        <f t="shared" si="256"/>
        <v>0</v>
      </c>
      <c r="DI262" s="3">
        <f t="shared" si="256"/>
        <v>0</v>
      </c>
      <c r="DJ262" s="3">
        <f t="shared" si="256"/>
        <v>0</v>
      </c>
      <c r="DK262" s="3">
        <f t="shared" si="256"/>
        <v>0</v>
      </c>
      <c r="DL262" s="3">
        <f t="shared" si="256"/>
        <v>0</v>
      </c>
      <c r="DM262" s="3">
        <f t="shared" si="256"/>
        <v>0</v>
      </c>
      <c r="DN262" s="3">
        <f t="shared" si="256"/>
        <v>0</v>
      </c>
      <c r="DO262" s="3">
        <f t="shared" si="256"/>
        <v>0</v>
      </c>
      <c r="DP262" s="3">
        <f t="shared" si="256"/>
        <v>0</v>
      </c>
      <c r="DQ262" s="3">
        <f t="shared" si="256"/>
        <v>0</v>
      </c>
      <c r="DR262" s="3">
        <f t="shared" si="256"/>
        <v>0</v>
      </c>
      <c r="DS262" s="3">
        <f t="shared" si="256"/>
        <v>0</v>
      </c>
      <c r="DT262" s="3">
        <f t="shared" si="256"/>
        <v>0</v>
      </c>
      <c r="DU262" s="3">
        <f t="shared" si="256"/>
        <v>0</v>
      </c>
      <c r="DV262" s="3">
        <f t="shared" si="256"/>
        <v>0</v>
      </c>
      <c r="DW262" s="3">
        <f t="shared" si="256"/>
        <v>0</v>
      </c>
      <c r="DX262" s="3">
        <f t="shared" si="256"/>
        <v>0</v>
      </c>
      <c r="DY262" s="3">
        <f t="shared" si="256"/>
        <v>0</v>
      </c>
      <c r="DZ262" s="3">
        <f t="shared" si="256"/>
        <v>0</v>
      </c>
      <c r="EA262" s="3">
        <f t="shared" si="256"/>
        <v>0</v>
      </c>
      <c r="EB262" s="3">
        <f t="shared" si="256"/>
        <v>0</v>
      </c>
      <c r="EC262" s="3">
        <f t="shared" si="256"/>
        <v>0</v>
      </c>
      <c r="ED262" s="3">
        <f t="shared" si="256"/>
        <v>0</v>
      </c>
      <c r="EE262" s="3">
        <f t="shared" si="256"/>
        <v>0</v>
      </c>
      <c r="EF262" s="3">
        <f t="shared" si="256"/>
        <v>0</v>
      </c>
      <c r="EG262" s="3">
        <f t="shared" si="256"/>
        <v>0</v>
      </c>
      <c r="EH262" s="3">
        <f t="shared" si="256"/>
        <v>0</v>
      </c>
      <c r="EI262" s="3">
        <f t="shared" si="256"/>
        <v>0</v>
      </c>
      <c r="EJ262" s="3">
        <f t="shared" si="256"/>
        <v>0</v>
      </c>
      <c r="EK262" s="3">
        <f t="shared" si="256"/>
        <v>0</v>
      </c>
      <c r="EL262" s="3">
        <f t="shared" si="256"/>
        <v>0</v>
      </c>
      <c r="EM262" s="3">
        <f t="shared" ref="EM262:FR262" si="257">EM275</f>
        <v>0</v>
      </c>
      <c r="EN262" s="3">
        <f t="shared" si="257"/>
        <v>0</v>
      </c>
      <c r="EO262" s="3">
        <f t="shared" si="257"/>
        <v>0</v>
      </c>
      <c r="EP262" s="3">
        <f t="shared" si="257"/>
        <v>0</v>
      </c>
      <c r="EQ262" s="3">
        <f t="shared" si="257"/>
        <v>0</v>
      </c>
      <c r="ER262" s="3">
        <f t="shared" si="257"/>
        <v>0</v>
      </c>
      <c r="ES262" s="3">
        <f t="shared" si="257"/>
        <v>0</v>
      </c>
      <c r="ET262" s="3">
        <f t="shared" si="257"/>
        <v>0</v>
      </c>
      <c r="EU262" s="3">
        <f t="shared" si="257"/>
        <v>0</v>
      </c>
      <c r="EV262" s="3">
        <f t="shared" si="257"/>
        <v>0</v>
      </c>
      <c r="EW262" s="3">
        <f t="shared" si="257"/>
        <v>0</v>
      </c>
      <c r="EX262" s="3">
        <f t="shared" si="257"/>
        <v>0</v>
      </c>
      <c r="EY262" s="3">
        <f t="shared" si="257"/>
        <v>0</v>
      </c>
      <c r="EZ262" s="3">
        <f t="shared" si="257"/>
        <v>0</v>
      </c>
      <c r="FA262" s="3">
        <f t="shared" si="257"/>
        <v>0</v>
      </c>
      <c r="FB262" s="3">
        <f t="shared" si="257"/>
        <v>0</v>
      </c>
      <c r="FC262" s="3">
        <f t="shared" si="257"/>
        <v>0</v>
      </c>
      <c r="FD262" s="3">
        <f t="shared" si="257"/>
        <v>0</v>
      </c>
      <c r="FE262" s="3">
        <f t="shared" si="257"/>
        <v>0</v>
      </c>
      <c r="FF262" s="3">
        <f t="shared" si="257"/>
        <v>0</v>
      </c>
      <c r="FG262" s="3">
        <f t="shared" si="257"/>
        <v>0</v>
      </c>
      <c r="FH262" s="3">
        <f t="shared" si="257"/>
        <v>0</v>
      </c>
      <c r="FI262" s="3">
        <f t="shared" si="257"/>
        <v>0</v>
      </c>
      <c r="FJ262" s="3">
        <f t="shared" si="257"/>
        <v>0</v>
      </c>
      <c r="FK262" s="3">
        <f t="shared" si="257"/>
        <v>0</v>
      </c>
      <c r="FL262" s="3">
        <f t="shared" si="257"/>
        <v>0</v>
      </c>
      <c r="FM262" s="3">
        <f t="shared" si="257"/>
        <v>0</v>
      </c>
      <c r="FN262" s="3">
        <f t="shared" si="257"/>
        <v>0</v>
      </c>
      <c r="FO262" s="3">
        <f t="shared" si="257"/>
        <v>0</v>
      </c>
      <c r="FP262" s="3">
        <f t="shared" si="257"/>
        <v>0</v>
      </c>
      <c r="FQ262" s="3">
        <f t="shared" si="257"/>
        <v>0</v>
      </c>
      <c r="FR262" s="3">
        <f t="shared" si="257"/>
        <v>0</v>
      </c>
      <c r="FS262" s="3">
        <f t="shared" ref="FS262:GX262" si="258">FS275</f>
        <v>0</v>
      </c>
      <c r="FT262" s="3">
        <f t="shared" si="258"/>
        <v>0</v>
      </c>
      <c r="FU262" s="3">
        <f t="shared" si="258"/>
        <v>0</v>
      </c>
      <c r="FV262" s="3">
        <f t="shared" si="258"/>
        <v>0</v>
      </c>
      <c r="FW262" s="3">
        <f t="shared" si="258"/>
        <v>0</v>
      </c>
      <c r="FX262" s="3">
        <f t="shared" si="258"/>
        <v>0</v>
      </c>
      <c r="FY262" s="3">
        <f t="shared" si="258"/>
        <v>0</v>
      </c>
      <c r="FZ262" s="3">
        <f t="shared" si="258"/>
        <v>0</v>
      </c>
      <c r="GA262" s="3">
        <f t="shared" si="258"/>
        <v>0</v>
      </c>
      <c r="GB262" s="3">
        <f t="shared" si="258"/>
        <v>0</v>
      </c>
      <c r="GC262" s="3">
        <f t="shared" si="258"/>
        <v>0</v>
      </c>
      <c r="GD262" s="3">
        <f t="shared" si="258"/>
        <v>0</v>
      </c>
      <c r="GE262" s="3">
        <f t="shared" si="258"/>
        <v>0</v>
      </c>
      <c r="GF262" s="3">
        <f t="shared" si="258"/>
        <v>0</v>
      </c>
      <c r="GG262" s="3">
        <f t="shared" si="258"/>
        <v>0</v>
      </c>
      <c r="GH262" s="3">
        <f t="shared" si="258"/>
        <v>0</v>
      </c>
      <c r="GI262" s="3">
        <f t="shared" si="258"/>
        <v>0</v>
      </c>
      <c r="GJ262" s="3">
        <f t="shared" si="258"/>
        <v>0</v>
      </c>
      <c r="GK262" s="3">
        <f t="shared" si="258"/>
        <v>0</v>
      </c>
      <c r="GL262" s="3">
        <f t="shared" si="258"/>
        <v>0</v>
      </c>
      <c r="GM262" s="3">
        <f t="shared" si="258"/>
        <v>0</v>
      </c>
      <c r="GN262" s="3">
        <f t="shared" si="258"/>
        <v>0</v>
      </c>
      <c r="GO262" s="3">
        <f t="shared" si="258"/>
        <v>0</v>
      </c>
      <c r="GP262" s="3">
        <f t="shared" si="258"/>
        <v>0</v>
      </c>
      <c r="GQ262" s="3">
        <f t="shared" si="258"/>
        <v>0</v>
      </c>
      <c r="GR262" s="3">
        <f t="shared" si="258"/>
        <v>0</v>
      </c>
      <c r="GS262" s="3">
        <f t="shared" si="258"/>
        <v>0</v>
      </c>
      <c r="GT262" s="3">
        <f t="shared" si="258"/>
        <v>0</v>
      </c>
      <c r="GU262" s="3">
        <f t="shared" si="258"/>
        <v>0</v>
      </c>
      <c r="GV262" s="3">
        <f t="shared" si="258"/>
        <v>0</v>
      </c>
      <c r="GW262" s="3">
        <f t="shared" si="258"/>
        <v>0</v>
      </c>
      <c r="GX262" s="3">
        <f t="shared" si="258"/>
        <v>0</v>
      </c>
    </row>
    <row r="264" spans="1:245" x14ac:dyDescent="0.2">
      <c r="A264">
        <v>17</v>
      </c>
      <c r="B264">
        <v>1</v>
      </c>
      <c r="C264">
        <f>ROW(SmtRes!A414)</f>
        <v>414</v>
      </c>
      <c r="D264">
        <f>ROW(EtalonRes!A391)</f>
        <v>391</v>
      </c>
      <c r="E264" t="s">
        <v>652</v>
      </c>
      <c r="F264" t="s">
        <v>653</v>
      </c>
      <c r="G264" t="s">
        <v>654</v>
      </c>
      <c r="H264" t="s">
        <v>437</v>
      </c>
      <c r="I264">
        <v>14</v>
      </c>
      <c r="J264">
        <v>0</v>
      </c>
      <c r="O264">
        <f t="shared" ref="O264:O273" si="259">ROUND(CP264,2)</f>
        <v>227.33</v>
      </c>
      <c r="P264">
        <f t="shared" ref="P264:P273" si="260">ROUND(CQ264*I264,2)</f>
        <v>0</v>
      </c>
      <c r="Q264">
        <f t="shared" ref="Q264:Q273" si="261">ROUND(CR264*I264,2)</f>
        <v>0</v>
      </c>
      <c r="R264">
        <f t="shared" ref="R264:R273" si="262">ROUND(CS264*I264,2)</f>
        <v>0</v>
      </c>
      <c r="S264">
        <f t="shared" ref="S264:S273" si="263">ROUND(CT264*I264,2)</f>
        <v>227.33</v>
      </c>
      <c r="T264">
        <f t="shared" ref="T264:T273" si="264">ROUND(CU264*I264,2)</f>
        <v>0</v>
      </c>
      <c r="U264">
        <f t="shared" ref="U264:U273" si="265">CV264*I264</f>
        <v>3.528</v>
      </c>
      <c r="V264">
        <f t="shared" ref="V264:V273" si="266">CW264*I264</f>
        <v>0</v>
      </c>
      <c r="W264">
        <f t="shared" ref="W264:W273" si="267">ROUND(CX264*I264,2)</f>
        <v>0</v>
      </c>
      <c r="X264">
        <f t="shared" ref="X264:X273" si="268">ROUND(CY264,2)</f>
        <v>181.86</v>
      </c>
      <c r="Y264">
        <f t="shared" ref="Y264:Y273" si="269">ROUND(CZ264,2)</f>
        <v>136.4</v>
      </c>
      <c r="AA264">
        <v>16812721</v>
      </c>
      <c r="AB264">
        <f t="shared" ref="AB264:AB273" si="270">ROUND((AC264+AD264+AF264),2)</f>
        <v>2.42</v>
      </c>
      <c r="AC264">
        <f>ROUND(((ES264*0)),2)</f>
        <v>0</v>
      </c>
      <c r="AD264">
        <f>ROUND(((((ET264*0.3))-((EU264*0.3)))+AE264),2)</f>
        <v>0</v>
      </c>
      <c r="AE264">
        <f>ROUND(((EU264*0.3)),2)</f>
        <v>0</v>
      </c>
      <c r="AF264">
        <f>ROUND(((EV264*0.3)),2)</f>
        <v>2.42</v>
      </c>
      <c r="AG264">
        <f t="shared" ref="AG264:AG273" si="271">ROUND((AP264),2)</f>
        <v>0</v>
      </c>
      <c r="AH264">
        <f>((EW264*0.3))</f>
        <v>0.252</v>
      </c>
      <c r="AI264">
        <f>((EX264*0.3))</f>
        <v>0</v>
      </c>
      <c r="AJ264">
        <f t="shared" ref="AJ264:AJ273" si="272">(AS264)</f>
        <v>0</v>
      </c>
      <c r="AK264">
        <v>9.36</v>
      </c>
      <c r="AL264">
        <v>1.28</v>
      </c>
      <c r="AM264">
        <v>0</v>
      </c>
      <c r="AN264">
        <v>0</v>
      </c>
      <c r="AO264">
        <v>8.08</v>
      </c>
      <c r="AP264">
        <v>0</v>
      </c>
      <c r="AQ264">
        <v>0.84</v>
      </c>
      <c r="AR264">
        <v>0</v>
      </c>
      <c r="AS264">
        <v>0</v>
      </c>
      <c r="AT264">
        <v>80</v>
      </c>
      <c r="AU264">
        <v>60</v>
      </c>
      <c r="AV264">
        <v>1</v>
      </c>
      <c r="AW264">
        <v>1</v>
      </c>
      <c r="AZ264">
        <v>6.71</v>
      </c>
      <c r="BA264">
        <v>6.71</v>
      </c>
      <c r="BB264">
        <v>6.71</v>
      </c>
      <c r="BC264">
        <v>6.71</v>
      </c>
      <c r="BD264" t="s">
        <v>6</v>
      </c>
      <c r="BE264" t="s">
        <v>6</v>
      </c>
      <c r="BF264" t="s">
        <v>6</v>
      </c>
      <c r="BG264" t="s">
        <v>6</v>
      </c>
      <c r="BH264">
        <v>0</v>
      </c>
      <c r="BI264">
        <v>2</v>
      </c>
      <c r="BJ264" t="s">
        <v>655</v>
      </c>
      <c r="BM264">
        <v>110011</v>
      </c>
      <c r="BN264">
        <v>0</v>
      </c>
      <c r="BO264" t="s">
        <v>6</v>
      </c>
      <c r="BP264">
        <v>0</v>
      </c>
      <c r="BQ264">
        <v>3</v>
      </c>
      <c r="BR264">
        <v>0</v>
      </c>
      <c r="BS264">
        <v>6.71</v>
      </c>
      <c r="BT264">
        <v>1</v>
      </c>
      <c r="BU264">
        <v>1</v>
      </c>
      <c r="BV264">
        <v>1</v>
      </c>
      <c r="BW264">
        <v>1</v>
      </c>
      <c r="BX264">
        <v>1</v>
      </c>
      <c r="BY264" t="s">
        <v>6</v>
      </c>
      <c r="BZ264">
        <v>80</v>
      </c>
      <c r="CA264">
        <v>60</v>
      </c>
      <c r="CE264">
        <v>0</v>
      </c>
      <c r="CF264">
        <v>0</v>
      </c>
      <c r="CG264">
        <v>0</v>
      </c>
      <c r="CM264">
        <v>0</v>
      </c>
      <c r="CN264" t="s">
        <v>1139</v>
      </c>
      <c r="CO264">
        <v>0</v>
      </c>
      <c r="CP264">
        <f t="shared" ref="CP264:CP273" si="273">(P264+Q264+S264)</f>
        <v>227.33</v>
      </c>
      <c r="CQ264">
        <f t="shared" ref="CQ264:CQ273" si="274">AC264*BC264</f>
        <v>0</v>
      </c>
      <c r="CR264">
        <f t="shared" ref="CR264:CR273" si="275">AD264*BB264</f>
        <v>0</v>
      </c>
      <c r="CS264">
        <f t="shared" ref="CS264:CS273" si="276">AE264*BS264</f>
        <v>0</v>
      </c>
      <c r="CT264">
        <f t="shared" ref="CT264:CT273" si="277">AF264*BA264</f>
        <v>16.238199999999999</v>
      </c>
      <c r="CU264">
        <f t="shared" ref="CU264:CU273" si="278">AG264</f>
        <v>0</v>
      </c>
      <c r="CV264">
        <f t="shared" ref="CV264:CV273" si="279">AH264</f>
        <v>0.252</v>
      </c>
      <c r="CW264">
        <f t="shared" ref="CW264:CW273" si="280">AI264</f>
        <v>0</v>
      </c>
      <c r="CX264">
        <f t="shared" ref="CX264:CX273" si="281">AJ264</f>
        <v>0</v>
      </c>
      <c r="CY264">
        <f t="shared" ref="CY264:CY273" si="282">(((S264+R264)*AT264)/100)</f>
        <v>181.864</v>
      </c>
      <c r="CZ264">
        <f t="shared" ref="CZ264:CZ273" si="283">(((S264+R264)*AU264)/100)</f>
        <v>136.39800000000002</v>
      </c>
      <c r="DC264" t="s">
        <v>6</v>
      </c>
      <c r="DD264" t="s">
        <v>31</v>
      </c>
      <c r="DE264" t="s">
        <v>471</v>
      </c>
      <c r="DF264" t="s">
        <v>471</v>
      </c>
      <c r="DG264" t="s">
        <v>471</v>
      </c>
      <c r="DH264" t="s">
        <v>6</v>
      </c>
      <c r="DI264" t="s">
        <v>471</v>
      </c>
      <c r="DJ264" t="s">
        <v>471</v>
      </c>
      <c r="DK264" t="s">
        <v>6</v>
      </c>
      <c r="DL264" t="s">
        <v>6</v>
      </c>
      <c r="DM264" t="s">
        <v>6</v>
      </c>
      <c r="DN264">
        <v>0</v>
      </c>
      <c r="DO264">
        <v>0</v>
      </c>
      <c r="DP264">
        <v>1</v>
      </c>
      <c r="DQ264">
        <v>1</v>
      </c>
      <c r="DU264">
        <v>1013</v>
      </c>
      <c r="DV264" t="s">
        <v>437</v>
      </c>
      <c r="DW264" t="s">
        <v>437</v>
      </c>
      <c r="DX264">
        <v>1</v>
      </c>
      <c r="EE264">
        <v>16510417</v>
      </c>
      <c r="EF264">
        <v>3</v>
      </c>
      <c r="EG264" t="s">
        <v>472</v>
      </c>
      <c r="EH264">
        <v>0</v>
      </c>
      <c r="EI264" t="s">
        <v>6</v>
      </c>
      <c r="EJ264">
        <v>2</v>
      </c>
      <c r="EK264">
        <v>110011</v>
      </c>
      <c r="EL264" t="s">
        <v>511</v>
      </c>
      <c r="EM264" t="s">
        <v>512</v>
      </c>
      <c r="EO264" t="s">
        <v>475</v>
      </c>
      <c r="EQ264">
        <v>131072</v>
      </c>
      <c r="ER264">
        <v>9.36</v>
      </c>
      <c r="ES264">
        <v>1.28</v>
      </c>
      <c r="ET264">
        <v>0</v>
      </c>
      <c r="EU264">
        <v>0</v>
      </c>
      <c r="EV264">
        <v>8.08</v>
      </c>
      <c r="EW264">
        <v>0.84</v>
      </c>
      <c r="EX264">
        <v>0</v>
      </c>
      <c r="EY264">
        <v>0</v>
      </c>
      <c r="FQ264">
        <v>0</v>
      </c>
      <c r="FR264">
        <f t="shared" ref="FR264:FR273" si="284">ROUND(IF(AND(BH264=3,BI264=3),P264,0),2)</f>
        <v>0</v>
      </c>
      <c r="FS264">
        <v>0</v>
      </c>
      <c r="FX264">
        <v>80</v>
      </c>
      <c r="FY264">
        <v>60</v>
      </c>
      <c r="GA264" t="s">
        <v>6</v>
      </c>
      <c r="GD264">
        <v>0</v>
      </c>
      <c r="GF264">
        <v>-364108998</v>
      </c>
      <c r="GG264">
        <v>1</v>
      </c>
      <c r="GH264">
        <v>1</v>
      </c>
      <c r="GI264">
        <v>4</v>
      </c>
      <c r="GJ264">
        <v>0</v>
      </c>
      <c r="GK264">
        <f>ROUND(R264*(R12)/100,2)</f>
        <v>0</v>
      </c>
      <c r="GL264">
        <f t="shared" ref="GL264:GL273" si="285">ROUND(IF(AND(BH264=3,BI264=3,FS264&lt;&gt;0),P264,0),2)</f>
        <v>0</v>
      </c>
      <c r="GM264">
        <f t="shared" ref="GM264:GM273" si="286">ROUND(O264+X264+Y264+GK264,2)+GX264</f>
        <v>545.59</v>
      </c>
      <c r="GN264">
        <f t="shared" ref="GN264:GN273" si="287">IF(OR(BI264=0,BI264=1),ROUND(O264+X264+Y264+GK264,2),0)</f>
        <v>0</v>
      </c>
      <c r="GO264">
        <f t="shared" ref="GO264:GO273" si="288">IF(BI264=2,ROUND(O264+X264+Y264+GK264,2),0)</f>
        <v>545.59</v>
      </c>
      <c r="GP264">
        <f t="shared" ref="GP264:GP273" si="289">IF(BI264=4,ROUND(O264+X264+Y264+GK264,2)+GX264,0)</f>
        <v>0</v>
      </c>
      <c r="GR264">
        <v>0</v>
      </c>
      <c r="GS264">
        <v>3</v>
      </c>
      <c r="GT264">
        <v>0</v>
      </c>
      <c r="GU264" t="s">
        <v>6</v>
      </c>
      <c r="GV264">
        <f t="shared" ref="GV264:GV273" si="290">ROUND((GT264),2)</f>
        <v>0</v>
      </c>
      <c r="GW264">
        <v>1</v>
      </c>
      <c r="GX264">
        <f t="shared" ref="GX264:GX273" si="291">ROUND(HC264*I264,2)</f>
        <v>0</v>
      </c>
      <c r="HA264">
        <v>0</v>
      </c>
      <c r="HB264">
        <v>0</v>
      </c>
      <c r="HC264">
        <f t="shared" ref="HC264:HC273" si="292">GV264*GW264</f>
        <v>0</v>
      </c>
      <c r="IK264">
        <v>0</v>
      </c>
    </row>
    <row r="265" spans="1:245" x14ac:dyDescent="0.2">
      <c r="A265">
        <v>17</v>
      </c>
      <c r="B265">
        <v>1</v>
      </c>
      <c r="C265">
        <f>ROW(SmtRes!A422)</f>
        <v>422</v>
      </c>
      <c r="D265">
        <f>ROW(EtalonRes!A398)</f>
        <v>398</v>
      </c>
      <c r="E265" t="s">
        <v>656</v>
      </c>
      <c r="F265" t="s">
        <v>653</v>
      </c>
      <c r="G265" t="s">
        <v>657</v>
      </c>
      <c r="H265" t="s">
        <v>437</v>
      </c>
      <c r="I265">
        <v>16</v>
      </c>
      <c r="J265">
        <v>0</v>
      </c>
      <c r="O265">
        <f t="shared" si="259"/>
        <v>1004.89</v>
      </c>
      <c r="P265">
        <f t="shared" si="260"/>
        <v>137.41999999999999</v>
      </c>
      <c r="Q265">
        <f t="shared" si="261"/>
        <v>0</v>
      </c>
      <c r="R265">
        <f t="shared" si="262"/>
        <v>0</v>
      </c>
      <c r="S265">
        <f t="shared" si="263"/>
        <v>867.47</v>
      </c>
      <c r="T265">
        <f t="shared" si="264"/>
        <v>0</v>
      </c>
      <c r="U265">
        <f t="shared" si="265"/>
        <v>13.44</v>
      </c>
      <c r="V265">
        <f t="shared" si="266"/>
        <v>0</v>
      </c>
      <c r="W265">
        <f t="shared" si="267"/>
        <v>0</v>
      </c>
      <c r="X265">
        <f t="shared" si="268"/>
        <v>693.98</v>
      </c>
      <c r="Y265">
        <f t="shared" si="269"/>
        <v>520.48</v>
      </c>
      <c r="AA265">
        <v>16812721</v>
      </c>
      <c r="AB265">
        <f t="shared" si="270"/>
        <v>9.36</v>
      </c>
      <c r="AC265">
        <f t="shared" ref="AC265:AC273" si="293">ROUND((ES265),2)</f>
        <v>1.28</v>
      </c>
      <c r="AD265">
        <f t="shared" ref="AD265:AD273" si="294">ROUND((((ET265)-(EU265))+AE265),2)</f>
        <v>0</v>
      </c>
      <c r="AE265">
        <f t="shared" ref="AE265:AE273" si="295">ROUND((EU265),2)</f>
        <v>0</v>
      </c>
      <c r="AF265">
        <f t="shared" ref="AF265:AF273" si="296">ROUND((EV265),2)</f>
        <v>8.08</v>
      </c>
      <c r="AG265">
        <f t="shared" si="271"/>
        <v>0</v>
      </c>
      <c r="AH265">
        <f t="shared" ref="AH265:AH273" si="297">(EW265)</f>
        <v>0.84</v>
      </c>
      <c r="AI265">
        <f t="shared" ref="AI265:AI273" si="298">(EX265)</f>
        <v>0</v>
      </c>
      <c r="AJ265">
        <f t="shared" si="272"/>
        <v>0</v>
      </c>
      <c r="AK265">
        <v>9.36</v>
      </c>
      <c r="AL265">
        <v>1.28</v>
      </c>
      <c r="AM265">
        <v>0</v>
      </c>
      <c r="AN265">
        <v>0</v>
      </c>
      <c r="AO265">
        <v>8.08</v>
      </c>
      <c r="AP265">
        <v>0</v>
      </c>
      <c r="AQ265">
        <v>0.84</v>
      </c>
      <c r="AR265">
        <v>0</v>
      </c>
      <c r="AS265">
        <v>0</v>
      </c>
      <c r="AT265">
        <v>80</v>
      </c>
      <c r="AU265">
        <v>60</v>
      </c>
      <c r="AV265">
        <v>1</v>
      </c>
      <c r="AW265">
        <v>1</v>
      </c>
      <c r="AZ265">
        <v>6.71</v>
      </c>
      <c r="BA265">
        <v>6.71</v>
      </c>
      <c r="BB265">
        <v>6.71</v>
      </c>
      <c r="BC265">
        <v>6.71</v>
      </c>
      <c r="BD265" t="s">
        <v>6</v>
      </c>
      <c r="BE265" t="s">
        <v>6</v>
      </c>
      <c r="BF265" t="s">
        <v>6</v>
      </c>
      <c r="BG265" t="s">
        <v>6</v>
      </c>
      <c r="BH265">
        <v>0</v>
      </c>
      <c r="BI265">
        <v>2</v>
      </c>
      <c r="BJ265" t="s">
        <v>655</v>
      </c>
      <c r="BM265">
        <v>110011</v>
      </c>
      <c r="BN265">
        <v>0</v>
      </c>
      <c r="BO265" t="s">
        <v>6</v>
      </c>
      <c r="BP265">
        <v>0</v>
      </c>
      <c r="BQ265">
        <v>3</v>
      </c>
      <c r="BR265">
        <v>0</v>
      </c>
      <c r="BS265">
        <v>6.71</v>
      </c>
      <c r="BT265">
        <v>1</v>
      </c>
      <c r="BU265">
        <v>1</v>
      </c>
      <c r="BV265">
        <v>1</v>
      </c>
      <c r="BW265">
        <v>1</v>
      </c>
      <c r="BX265">
        <v>1</v>
      </c>
      <c r="BY265" t="s">
        <v>6</v>
      </c>
      <c r="BZ265">
        <v>80</v>
      </c>
      <c r="CA265">
        <v>60</v>
      </c>
      <c r="CE265">
        <v>0</v>
      </c>
      <c r="CF265">
        <v>0</v>
      </c>
      <c r="CG265">
        <v>0</v>
      </c>
      <c r="CM265">
        <v>0</v>
      </c>
      <c r="CN265" t="s">
        <v>6</v>
      </c>
      <c r="CO265">
        <v>0</v>
      </c>
      <c r="CP265">
        <f t="shared" si="273"/>
        <v>1004.89</v>
      </c>
      <c r="CQ265">
        <f t="shared" si="274"/>
        <v>8.5888000000000009</v>
      </c>
      <c r="CR265">
        <f t="shared" si="275"/>
        <v>0</v>
      </c>
      <c r="CS265">
        <f t="shared" si="276"/>
        <v>0</v>
      </c>
      <c r="CT265">
        <f t="shared" si="277"/>
        <v>54.216799999999999</v>
      </c>
      <c r="CU265">
        <f t="shared" si="278"/>
        <v>0</v>
      </c>
      <c r="CV265">
        <f t="shared" si="279"/>
        <v>0.84</v>
      </c>
      <c r="CW265">
        <f t="shared" si="280"/>
        <v>0</v>
      </c>
      <c r="CX265">
        <f t="shared" si="281"/>
        <v>0</v>
      </c>
      <c r="CY265">
        <f t="shared" si="282"/>
        <v>693.97600000000011</v>
      </c>
      <c r="CZ265">
        <f t="shared" si="283"/>
        <v>520.48200000000008</v>
      </c>
      <c r="DC265" t="s">
        <v>6</v>
      </c>
      <c r="DD265" t="s">
        <v>6</v>
      </c>
      <c r="DE265" t="s">
        <v>6</v>
      </c>
      <c r="DF265" t="s">
        <v>6</v>
      </c>
      <c r="DG265" t="s">
        <v>6</v>
      </c>
      <c r="DH265" t="s">
        <v>6</v>
      </c>
      <c r="DI265" t="s">
        <v>6</v>
      </c>
      <c r="DJ265" t="s">
        <v>6</v>
      </c>
      <c r="DK265" t="s">
        <v>6</v>
      </c>
      <c r="DL265" t="s">
        <v>6</v>
      </c>
      <c r="DM265" t="s">
        <v>6</v>
      </c>
      <c r="DN265">
        <v>0</v>
      </c>
      <c r="DO265">
        <v>0</v>
      </c>
      <c r="DP265">
        <v>1</v>
      </c>
      <c r="DQ265">
        <v>1</v>
      </c>
      <c r="DU265">
        <v>1013</v>
      </c>
      <c r="DV265" t="s">
        <v>437</v>
      </c>
      <c r="DW265" t="s">
        <v>437</v>
      </c>
      <c r="DX265">
        <v>1</v>
      </c>
      <c r="EE265">
        <v>16510417</v>
      </c>
      <c r="EF265">
        <v>3</v>
      </c>
      <c r="EG265" t="s">
        <v>472</v>
      </c>
      <c r="EH265">
        <v>0</v>
      </c>
      <c r="EI265" t="s">
        <v>6</v>
      </c>
      <c r="EJ265">
        <v>2</v>
      </c>
      <c r="EK265">
        <v>110011</v>
      </c>
      <c r="EL265" t="s">
        <v>511</v>
      </c>
      <c r="EM265" t="s">
        <v>512</v>
      </c>
      <c r="EO265" t="s">
        <v>6</v>
      </c>
      <c r="EQ265">
        <v>131072</v>
      </c>
      <c r="ER265">
        <v>9.36</v>
      </c>
      <c r="ES265">
        <v>1.28</v>
      </c>
      <c r="ET265">
        <v>0</v>
      </c>
      <c r="EU265">
        <v>0</v>
      </c>
      <c r="EV265">
        <v>8.08</v>
      </c>
      <c r="EW265">
        <v>0.84</v>
      </c>
      <c r="EX265">
        <v>0</v>
      </c>
      <c r="EY265">
        <v>0</v>
      </c>
      <c r="FQ265">
        <v>0</v>
      </c>
      <c r="FR265">
        <f t="shared" si="284"/>
        <v>0</v>
      </c>
      <c r="FS265">
        <v>0</v>
      </c>
      <c r="FX265">
        <v>80</v>
      </c>
      <c r="FY265">
        <v>60</v>
      </c>
      <c r="GA265" t="s">
        <v>6</v>
      </c>
      <c r="GD265">
        <v>0</v>
      </c>
      <c r="GF265">
        <v>-675514791</v>
      </c>
      <c r="GG265">
        <v>1</v>
      </c>
      <c r="GH265">
        <v>1</v>
      </c>
      <c r="GI265">
        <v>4</v>
      </c>
      <c r="GJ265">
        <v>0</v>
      </c>
      <c r="GK265">
        <f>ROUND(R265*(R12)/100,2)</f>
        <v>0</v>
      </c>
      <c r="GL265">
        <f t="shared" si="285"/>
        <v>0</v>
      </c>
      <c r="GM265">
        <f t="shared" si="286"/>
        <v>2219.35</v>
      </c>
      <c r="GN265">
        <f t="shared" si="287"/>
        <v>0</v>
      </c>
      <c r="GO265">
        <f t="shared" si="288"/>
        <v>2219.35</v>
      </c>
      <c r="GP265">
        <f t="shared" si="289"/>
        <v>0</v>
      </c>
      <c r="GR265">
        <v>0</v>
      </c>
      <c r="GS265">
        <v>3</v>
      </c>
      <c r="GT265">
        <v>0</v>
      </c>
      <c r="GU265" t="s">
        <v>6</v>
      </c>
      <c r="GV265">
        <f t="shared" si="290"/>
        <v>0</v>
      </c>
      <c r="GW265">
        <v>1</v>
      </c>
      <c r="GX265">
        <f t="shared" si="291"/>
        <v>0</v>
      </c>
      <c r="HA265">
        <v>0</v>
      </c>
      <c r="HB265">
        <v>0</v>
      </c>
      <c r="HC265">
        <f t="shared" si="292"/>
        <v>0</v>
      </c>
      <c r="IK265">
        <v>0</v>
      </c>
    </row>
    <row r="266" spans="1:245" x14ac:dyDescent="0.2">
      <c r="A266">
        <v>18</v>
      </c>
      <c r="B266">
        <v>1</v>
      </c>
      <c r="C266">
        <v>421</v>
      </c>
      <c r="E266" t="s">
        <v>658</v>
      </c>
      <c r="F266" t="s">
        <v>659</v>
      </c>
      <c r="G266" t="s">
        <v>660</v>
      </c>
      <c r="H266" t="s">
        <v>516</v>
      </c>
      <c r="I266">
        <f>I265*J266</f>
        <v>1.6</v>
      </c>
      <c r="J266">
        <v>0.1</v>
      </c>
      <c r="O266">
        <f t="shared" si="259"/>
        <v>3084.24</v>
      </c>
      <c r="P266">
        <f t="shared" si="260"/>
        <v>3084.24</v>
      </c>
      <c r="Q266">
        <f t="shared" si="261"/>
        <v>0</v>
      </c>
      <c r="R266">
        <f t="shared" si="262"/>
        <v>0</v>
      </c>
      <c r="S266">
        <f t="shared" si="263"/>
        <v>0</v>
      </c>
      <c r="T266">
        <f t="shared" si="264"/>
        <v>0</v>
      </c>
      <c r="U266">
        <f t="shared" si="265"/>
        <v>0</v>
      </c>
      <c r="V266">
        <f t="shared" si="266"/>
        <v>0</v>
      </c>
      <c r="W266">
        <f t="shared" si="267"/>
        <v>0</v>
      </c>
      <c r="X266">
        <f t="shared" si="268"/>
        <v>0</v>
      </c>
      <c r="Y266">
        <f t="shared" si="269"/>
        <v>0</v>
      </c>
      <c r="AA266">
        <v>16812721</v>
      </c>
      <c r="AB266">
        <f t="shared" si="270"/>
        <v>287.27999999999997</v>
      </c>
      <c r="AC266">
        <f t="shared" si="293"/>
        <v>287.27999999999997</v>
      </c>
      <c r="AD266">
        <f t="shared" si="294"/>
        <v>0</v>
      </c>
      <c r="AE266">
        <f t="shared" si="295"/>
        <v>0</v>
      </c>
      <c r="AF266">
        <f t="shared" si="296"/>
        <v>0</v>
      </c>
      <c r="AG266">
        <f t="shared" si="271"/>
        <v>0</v>
      </c>
      <c r="AH266">
        <f t="shared" si="297"/>
        <v>0</v>
      </c>
      <c r="AI266">
        <f t="shared" si="298"/>
        <v>0</v>
      </c>
      <c r="AJ266">
        <f t="shared" si="272"/>
        <v>0</v>
      </c>
      <c r="AK266">
        <v>287.27999999999997</v>
      </c>
      <c r="AL266">
        <v>287.27999999999997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80</v>
      </c>
      <c r="AU266">
        <v>60</v>
      </c>
      <c r="AV266">
        <v>1</v>
      </c>
      <c r="AW266">
        <v>1</v>
      </c>
      <c r="AZ266">
        <v>6.71</v>
      </c>
      <c r="BA266">
        <v>1</v>
      </c>
      <c r="BB266">
        <v>1</v>
      </c>
      <c r="BC266">
        <v>6.71</v>
      </c>
      <c r="BD266" t="s">
        <v>6</v>
      </c>
      <c r="BE266" t="s">
        <v>6</v>
      </c>
      <c r="BF266" t="s">
        <v>6</v>
      </c>
      <c r="BG266" t="s">
        <v>6</v>
      </c>
      <c r="BH266">
        <v>3</v>
      </c>
      <c r="BI266">
        <v>2</v>
      </c>
      <c r="BJ266" t="s">
        <v>661</v>
      </c>
      <c r="BM266">
        <v>110011</v>
      </c>
      <c r="BN266">
        <v>0</v>
      </c>
      <c r="BO266" t="s">
        <v>6</v>
      </c>
      <c r="BP266">
        <v>0</v>
      </c>
      <c r="BQ266">
        <v>3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80</v>
      </c>
      <c r="CA266">
        <v>60</v>
      </c>
      <c r="CE266">
        <v>0</v>
      </c>
      <c r="CF266">
        <v>0</v>
      </c>
      <c r="CG266">
        <v>0</v>
      </c>
      <c r="CM266">
        <v>0</v>
      </c>
      <c r="CN266" t="s">
        <v>6</v>
      </c>
      <c r="CO266">
        <v>0</v>
      </c>
      <c r="CP266">
        <f t="shared" si="273"/>
        <v>3084.24</v>
      </c>
      <c r="CQ266">
        <f t="shared" si="274"/>
        <v>1927.6487999999997</v>
      </c>
      <c r="CR266">
        <f t="shared" si="275"/>
        <v>0</v>
      </c>
      <c r="CS266">
        <f t="shared" si="276"/>
        <v>0</v>
      </c>
      <c r="CT266">
        <f t="shared" si="277"/>
        <v>0</v>
      </c>
      <c r="CU266">
        <f t="shared" si="278"/>
        <v>0</v>
      </c>
      <c r="CV266">
        <f t="shared" si="279"/>
        <v>0</v>
      </c>
      <c r="CW266">
        <f t="shared" si="280"/>
        <v>0</v>
      </c>
      <c r="CX266">
        <f t="shared" si="281"/>
        <v>0</v>
      </c>
      <c r="CY266">
        <f t="shared" si="282"/>
        <v>0</v>
      </c>
      <c r="CZ266">
        <f t="shared" si="283"/>
        <v>0</v>
      </c>
      <c r="DC266" t="s">
        <v>6</v>
      </c>
      <c r="DD266" t="s">
        <v>6</v>
      </c>
      <c r="DE266" t="s">
        <v>6</v>
      </c>
      <c r="DF266" t="s">
        <v>6</v>
      </c>
      <c r="DG266" t="s">
        <v>6</v>
      </c>
      <c r="DH266" t="s">
        <v>6</v>
      </c>
      <c r="DI266" t="s">
        <v>6</v>
      </c>
      <c r="DJ266" t="s">
        <v>6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1010</v>
      </c>
      <c r="DV266" t="s">
        <v>516</v>
      </c>
      <c r="DW266" t="s">
        <v>516</v>
      </c>
      <c r="DX266">
        <v>10</v>
      </c>
      <c r="EE266">
        <v>16510417</v>
      </c>
      <c r="EF266">
        <v>3</v>
      </c>
      <c r="EG266" t="s">
        <v>472</v>
      </c>
      <c r="EH266">
        <v>0</v>
      </c>
      <c r="EI266" t="s">
        <v>6</v>
      </c>
      <c r="EJ266">
        <v>2</v>
      </c>
      <c r="EK266">
        <v>110011</v>
      </c>
      <c r="EL266" t="s">
        <v>511</v>
      </c>
      <c r="EM266" t="s">
        <v>512</v>
      </c>
      <c r="EO266" t="s">
        <v>6</v>
      </c>
      <c r="EQ266">
        <v>0</v>
      </c>
      <c r="ER266">
        <v>287.27999999999997</v>
      </c>
      <c r="ES266">
        <v>287.27999999999997</v>
      </c>
      <c r="ET266">
        <v>0</v>
      </c>
      <c r="EU266">
        <v>0</v>
      </c>
      <c r="EV266">
        <v>0</v>
      </c>
      <c r="EW266">
        <v>0</v>
      </c>
      <c r="EX266">
        <v>0</v>
      </c>
      <c r="FQ266">
        <v>0</v>
      </c>
      <c r="FR266">
        <f t="shared" si="284"/>
        <v>0</v>
      </c>
      <c r="FS266">
        <v>0</v>
      </c>
      <c r="FX266">
        <v>80</v>
      </c>
      <c r="FY266">
        <v>60</v>
      </c>
      <c r="GA266" t="s">
        <v>6</v>
      </c>
      <c r="GD266">
        <v>0</v>
      </c>
      <c r="GF266">
        <v>-1633447119</v>
      </c>
      <c r="GG266">
        <v>1</v>
      </c>
      <c r="GH266">
        <v>1</v>
      </c>
      <c r="GI266">
        <v>4</v>
      </c>
      <c r="GJ266">
        <v>0</v>
      </c>
      <c r="GK266">
        <f>ROUND(R266*(R12)/100,2)</f>
        <v>0</v>
      </c>
      <c r="GL266">
        <f t="shared" si="285"/>
        <v>0</v>
      </c>
      <c r="GM266">
        <f t="shared" si="286"/>
        <v>3084.24</v>
      </c>
      <c r="GN266">
        <f t="shared" si="287"/>
        <v>0</v>
      </c>
      <c r="GO266">
        <f t="shared" si="288"/>
        <v>3084.24</v>
      </c>
      <c r="GP266">
        <f t="shared" si="289"/>
        <v>0</v>
      </c>
      <c r="GR266">
        <v>0</v>
      </c>
      <c r="GS266">
        <v>3</v>
      </c>
      <c r="GT266">
        <v>0</v>
      </c>
      <c r="GU266" t="s">
        <v>6</v>
      </c>
      <c r="GV266">
        <f t="shared" si="290"/>
        <v>0</v>
      </c>
      <c r="GW266">
        <v>1</v>
      </c>
      <c r="GX266">
        <f t="shared" si="291"/>
        <v>0</v>
      </c>
      <c r="HA266">
        <v>0</v>
      </c>
      <c r="HB266">
        <v>0</v>
      </c>
      <c r="HC266">
        <f t="shared" si="292"/>
        <v>0</v>
      </c>
      <c r="IK266">
        <v>0</v>
      </c>
    </row>
    <row r="267" spans="1:245" x14ac:dyDescent="0.2">
      <c r="A267">
        <v>17</v>
      </c>
      <c r="B267">
        <v>1</v>
      </c>
      <c r="C267">
        <f>ROW(SmtRes!A428)</f>
        <v>428</v>
      </c>
      <c r="D267">
        <f>ROW(EtalonRes!A403)</f>
        <v>403</v>
      </c>
      <c r="E267" t="s">
        <v>662</v>
      </c>
      <c r="F267" t="s">
        <v>663</v>
      </c>
      <c r="G267" t="s">
        <v>664</v>
      </c>
      <c r="H267" t="s">
        <v>665</v>
      </c>
      <c r="I267">
        <f>ROUND(8/10,9)</f>
        <v>0.8</v>
      </c>
      <c r="J267">
        <v>0</v>
      </c>
      <c r="O267">
        <f t="shared" si="259"/>
        <v>355.25</v>
      </c>
      <c r="P267">
        <f t="shared" si="260"/>
        <v>67.69</v>
      </c>
      <c r="Q267">
        <f t="shared" si="261"/>
        <v>0</v>
      </c>
      <c r="R267">
        <f t="shared" si="262"/>
        <v>0</v>
      </c>
      <c r="S267">
        <f t="shared" si="263"/>
        <v>287.56</v>
      </c>
      <c r="T267">
        <f t="shared" si="264"/>
        <v>0</v>
      </c>
      <c r="U267">
        <f t="shared" si="265"/>
        <v>4.32</v>
      </c>
      <c r="V267">
        <f t="shared" si="266"/>
        <v>0</v>
      </c>
      <c r="W267">
        <f t="shared" si="267"/>
        <v>0</v>
      </c>
      <c r="X267">
        <f t="shared" si="268"/>
        <v>230.05</v>
      </c>
      <c r="Y267">
        <f t="shared" si="269"/>
        <v>172.54</v>
      </c>
      <c r="AA267">
        <v>16812721</v>
      </c>
      <c r="AB267">
        <f t="shared" si="270"/>
        <v>66.180000000000007</v>
      </c>
      <c r="AC267">
        <f t="shared" si="293"/>
        <v>12.61</v>
      </c>
      <c r="AD267">
        <f t="shared" si="294"/>
        <v>0</v>
      </c>
      <c r="AE267">
        <f t="shared" si="295"/>
        <v>0</v>
      </c>
      <c r="AF267">
        <f t="shared" si="296"/>
        <v>53.57</v>
      </c>
      <c r="AG267">
        <f t="shared" si="271"/>
        <v>0</v>
      </c>
      <c r="AH267">
        <f t="shared" si="297"/>
        <v>5.4</v>
      </c>
      <c r="AI267">
        <f t="shared" si="298"/>
        <v>0</v>
      </c>
      <c r="AJ267">
        <f t="shared" si="272"/>
        <v>0</v>
      </c>
      <c r="AK267">
        <v>66.180000000000007</v>
      </c>
      <c r="AL267">
        <v>12.61</v>
      </c>
      <c r="AM267">
        <v>0</v>
      </c>
      <c r="AN267">
        <v>0</v>
      </c>
      <c r="AO267">
        <v>53.57</v>
      </c>
      <c r="AP267">
        <v>0</v>
      </c>
      <c r="AQ267">
        <v>5.4</v>
      </c>
      <c r="AR267">
        <v>0</v>
      </c>
      <c r="AS267">
        <v>0</v>
      </c>
      <c r="AT267">
        <v>80</v>
      </c>
      <c r="AU267">
        <v>60</v>
      </c>
      <c r="AV267">
        <v>1</v>
      </c>
      <c r="AW267">
        <v>1</v>
      </c>
      <c r="AZ267">
        <v>6.71</v>
      </c>
      <c r="BA267">
        <v>6.71</v>
      </c>
      <c r="BB267">
        <v>6.71</v>
      </c>
      <c r="BC267">
        <v>6.71</v>
      </c>
      <c r="BD267" t="s">
        <v>6</v>
      </c>
      <c r="BE267" t="s">
        <v>6</v>
      </c>
      <c r="BF267" t="s">
        <v>6</v>
      </c>
      <c r="BG267" t="s">
        <v>6</v>
      </c>
      <c r="BH267">
        <v>0</v>
      </c>
      <c r="BI267">
        <v>2</v>
      </c>
      <c r="BJ267" t="s">
        <v>666</v>
      </c>
      <c r="BM267">
        <v>110011</v>
      </c>
      <c r="BN267">
        <v>0</v>
      </c>
      <c r="BO267" t="s">
        <v>6</v>
      </c>
      <c r="BP267">
        <v>0</v>
      </c>
      <c r="BQ267">
        <v>3</v>
      </c>
      <c r="BR267">
        <v>0</v>
      </c>
      <c r="BS267">
        <v>6.71</v>
      </c>
      <c r="BT267">
        <v>1</v>
      </c>
      <c r="BU267">
        <v>1</v>
      </c>
      <c r="BV267">
        <v>1</v>
      </c>
      <c r="BW267">
        <v>1</v>
      </c>
      <c r="BX267">
        <v>1</v>
      </c>
      <c r="BY267" t="s">
        <v>6</v>
      </c>
      <c r="BZ267">
        <v>80</v>
      </c>
      <c r="CA267">
        <v>60</v>
      </c>
      <c r="CE267">
        <v>0</v>
      </c>
      <c r="CF267">
        <v>0</v>
      </c>
      <c r="CG267">
        <v>0</v>
      </c>
      <c r="CM267">
        <v>0</v>
      </c>
      <c r="CN267" t="s">
        <v>6</v>
      </c>
      <c r="CO267">
        <v>0</v>
      </c>
      <c r="CP267">
        <f t="shared" si="273"/>
        <v>355.25</v>
      </c>
      <c r="CQ267">
        <f t="shared" si="274"/>
        <v>84.613099999999989</v>
      </c>
      <c r="CR267">
        <f t="shared" si="275"/>
        <v>0</v>
      </c>
      <c r="CS267">
        <f t="shared" si="276"/>
        <v>0</v>
      </c>
      <c r="CT267">
        <f t="shared" si="277"/>
        <v>359.4547</v>
      </c>
      <c r="CU267">
        <f t="shared" si="278"/>
        <v>0</v>
      </c>
      <c r="CV267">
        <f t="shared" si="279"/>
        <v>5.4</v>
      </c>
      <c r="CW267">
        <f t="shared" si="280"/>
        <v>0</v>
      </c>
      <c r="CX267">
        <f t="shared" si="281"/>
        <v>0</v>
      </c>
      <c r="CY267">
        <f t="shared" si="282"/>
        <v>230.048</v>
      </c>
      <c r="CZ267">
        <f t="shared" si="283"/>
        <v>172.53599999999997</v>
      </c>
      <c r="DC267" t="s">
        <v>6</v>
      </c>
      <c r="DD267" t="s">
        <v>6</v>
      </c>
      <c r="DE267" t="s">
        <v>6</v>
      </c>
      <c r="DF267" t="s">
        <v>6</v>
      </c>
      <c r="DG267" t="s">
        <v>6</v>
      </c>
      <c r="DH267" t="s">
        <v>6</v>
      </c>
      <c r="DI267" t="s">
        <v>6</v>
      </c>
      <c r="DJ267" t="s">
        <v>6</v>
      </c>
      <c r="DK267" t="s">
        <v>6</v>
      </c>
      <c r="DL267" t="s">
        <v>6</v>
      </c>
      <c r="DM267" t="s">
        <v>6</v>
      </c>
      <c r="DN267">
        <v>0</v>
      </c>
      <c r="DO267">
        <v>0</v>
      </c>
      <c r="DP267">
        <v>1</v>
      </c>
      <c r="DQ267">
        <v>1</v>
      </c>
      <c r="DU267">
        <v>1013</v>
      </c>
      <c r="DV267" t="s">
        <v>665</v>
      </c>
      <c r="DW267" t="s">
        <v>665</v>
      </c>
      <c r="DX267">
        <v>1</v>
      </c>
      <c r="EE267">
        <v>16510417</v>
      </c>
      <c r="EF267">
        <v>3</v>
      </c>
      <c r="EG267" t="s">
        <v>472</v>
      </c>
      <c r="EH267">
        <v>0</v>
      </c>
      <c r="EI267" t="s">
        <v>6</v>
      </c>
      <c r="EJ267">
        <v>2</v>
      </c>
      <c r="EK267">
        <v>110011</v>
      </c>
      <c r="EL267" t="s">
        <v>511</v>
      </c>
      <c r="EM267" t="s">
        <v>512</v>
      </c>
      <c r="EO267" t="s">
        <v>6</v>
      </c>
      <c r="EQ267">
        <v>131072</v>
      </c>
      <c r="ER267">
        <v>66.180000000000007</v>
      </c>
      <c r="ES267">
        <v>12.61</v>
      </c>
      <c r="ET267">
        <v>0</v>
      </c>
      <c r="EU267">
        <v>0</v>
      </c>
      <c r="EV267">
        <v>53.57</v>
      </c>
      <c r="EW267">
        <v>5.4</v>
      </c>
      <c r="EX267">
        <v>0</v>
      </c>
      <c r="EY267">
        <v>0</v>
      </c>
      <c r="FQ267">
        <v>0</v>
      </c>
      <c r="FR267">
        <f t="shared" si="284"/>
        <v>0</v>
      </c>
      <c r="FS267">
        <v>0</v>
      </c>
      <c r="FX267">
        <v>80</v>
      </c>
      <c r="FY267">
        <v>60</v>
      </c>
      <c r="GA267" t="s">
        <v>6</v>
      </c>
      <c r="GD267">
        <v>0</v>
      </c>
      <c r="GF267">
        <v>-1802928035</v>
      </c>
      <c r="GG267">
        <v>1</v>
      </c>
      <c r="GH267">
        <v>1</v>
      </c>
      <c r="GI267">
        <v>4</v>
      </c>
      <c r="GJ267">
        <v>0</v>
      </c>
      <c r="GK267">
        <f>ROUND(R267*(R12)/100,2)</f>
        <v>0</v>
      </c>
      <c r="GL267">
        <f t="shared" si="285"/>
        <v>0</v>
      </c>
      <c r="GM267">
        <f t="shared" si="286"/>
        <v>757.84</v>
      </c>
      <c r="GN267">
        <f t="shared" si="287"/>
        <v>0</v>
      </c>
      <c r="GO267">
        <f t="shared" si="288"/>
        <v>757.84</v>
      </c>
      <c r="GP267">
        <f t="shared" si="289"/>
        <v>0</v>
      </c>
      <c r="GR267">
        <v>0</v>
      </c>
      <c r="GS267">
        <v>3</v>
      </c>
      <c r="GT267">
        <v>0</v>
      </c>
      <c r="GU267" t="s">
        <v>6</v>
      </c>
      <c r="GV267">
        <f t="shared" si="290"/>
        <v>0</v>
      </c>
      <c r="GW267">
        <v>1</v>
      </c>
      <c r="GX267">
        <f t="shared" si="291"/>
        <v>0</v>
      </c>
      <c r="HA267">
        <v>0</v>
      </c>
      <c r="HB267">
        <v>0</v>
      </c>
      <c r="HC267">
        <f t="shared" si="292"/>
        <v>0</v>
      </c>
      <c r="IK267">
        <v>0</v>
      </c>
    </row>
    <row r="268" spans="1:245" x14ac:dyDescent="0.2">
      <c r="A268">
        <v>18</v>
      </c>
      <c r="B268">
        <v>1</v>
      </c>
      <c r="C268">
        <v>427</v>
      </c>
      <c r="E268" t="s">
        <v>667</v>
      </c>
      <c r="F268" t="s">
        <v>668</v>
      </c>
      <c r="G268" t="s">
        <v>669</v>
      </c>
      <c r="H268" t="s">
        <v>62</v>
      </c>
      <c r="I268">
        <f>I267*J268</f>
        <v>8</v>
      </c>
      <c r="J268">
        <v>10</v>
      </c>
      <c r="O268">
        <f t="shared" si="259"/>
        <v>3109.15</v>
      </c>
      <c r="P268">
        <f t="shared" si="260"/>
        <v>3109.15</v>
      </c>
      <c r="Q268">
        <f t="shared" si="261"/>
        <v>0</v>
      </c>
      <c r="R268">
        <f t="shared" si="262"/>
        <v>0</v>
      </c>
      <c r="S268">
        <f t="shared" si="263"/>
        <v>0</v>
      </c>
      <c r="T268">
        <f t="shared" si="264"/>
        <v>0</v>
      </c>
      <c r="U268">
        <f t="shared" si="265"/>
        <v>0</v>
      </c>
      <c r="V268">
        <f t="shared" si="266"/>
        <v>0</v>
      </c>
      <c r="W268">
        <f t="shared" si="267"/>
        <v>0</v>
      </c>
      <c r="X268">
        <f t="shared" si="268"/>
        <v>0</v>
      </c>
      <c r="Y268">
        <f t="shared" si="269"/>
        <v>0</v>
      </c>
      <c r="AA268">
        <v>16812721</v>
      </c>
      <c r="AB268">
        <f t="shared" si="270"/>
        <v>57.92</v>
      </c>
      <c r="AC268">
        <f t="shared" si="293"/>
        <v>57.92</v>
      </c>
      <c r="AD268">
        <f t="shared" si="294"/>
        <v>0</v>
      </c>
      <c r="AE268">
        <f t="shared" si="295"/>
        <v>0</v>
      </c>
      <c r="AF268">
        <f t="shared" si="296"/>
        <v>0</v>
      </c>
      <c r="AG268">
        <f t="shared" si="271"/>
        <v>0</v>
      </c>
      <c r="AH268">
        <f t="shared" si="297"/>
        <v>0</v>
      </c>
      <c r="AI268">
        <f t="shared" si="298"/>
        <v>0</v>
      </c>
      <c r="AJ268">
        <f t="shared" si="272"/>
        <v>0</v>
      </c>
      <c r="AK268">
        <v>57.92</v>
      </c>
      <c r="AL268">
        <v>57.92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80</v>
      </c>
      <c r="AU268">
        <v>60</v>
      </c>
      <c r="AV268">
        <v>1</v>
      </c>
      <c r="AW268">
        <v>1</v>
      </c>
      <c r="AZ268">
        <v>6.71</v>
      </c>
      <c r="BA268">
        <v>1</v>
      </c>
      <c r="BB268">
        <v>1</v>
      </c>
      <c r="BC268">
        <v>6.71</v>
      </c>
      <c r="BD268" t="s">
        <v>6</v>
      </c>
      <c r="BE268" t="s">
        <v>6</v>
      </c>
      <c r="BF268" t="s">
        <v>6</v>
      </c>
      <c r="BG268" t="s">
        <v>6</v>
      </c>
      <c r="BH268">
        <v>3</v>
      </c>
      <c r="BI268">
        <v>2</v>
      </c>
      <c r="BJ268" t="s">
        <v>670</v>
      </c>
      <c r="BM268">
        <v>110011</v>
      </c>
      <c r="BN268">
        <v>0</v>
      </c>
      <c r="BO268" t="s">
        <v>6</v>
      </c>
      <c r="BP268">
        <v>0</v>
      </c>
      <c r="BQ268">
        <v>3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80</v>
      </c>
      <c r="CA268">
        <v>60</v>
      </c>
      <c r="CE268">
        <v>0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273"/>
        <v>3109.15</v>
      </c>
      <c r="CQ268">
        <f t="shared" si="274"/>
        <v>388.64320000000004</v>
      </c>
      <c r="CR268">
        <f t="shared" si="275"/>
        <v>0</v>
      </c>
      <c r="CS268">
        <f t="shared" si="276"/>
        <v>0</v>
      </c>
      <c r="CT268">
        <f t="shared" si="277"/>
        <v>0</v>
      </c>
      <c r="CU268">
        <f t="shared" si="278"/>
        <v>0</v>
      </c>
      <c r="CV268">
        <f t="shared" si="279"/>
        <v>0</v>
      </c>
      <c r="CW268">
        <f t="shared" si="280"/>
        <v>0</v>
      </c>
      <c r="CX268">
        <f t="shared" si="281"/>
        <v>0</v>
      </c>
      <c r="CY268">
        <f t="shared" si="282"/>
        <v>0</v>
      </c>
      <c r="CZ268">
        <f t="shared" si="283"/>
        <v>0</v>
      </c>
      <c r="DC268" t="s">
        <v>6</v>
      </c>
      <c r="DD268" t="s">
        <v>6</v>
      </c>
      <c r="DE268" t="s">
        <v>6</v>
      </c>
      <c r="DF268" t="s">
        <v>6</v>
      </c>
      <c r="DG268" t="s">
        <v>6</v>
      </c>
      <c r="DH268" t="s">
        <v>6</v>
      </c>
      <c r="DI268" t="s">
        <v>6</v>
      </c>
      <c r="DJ268" t="s">
        <v>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1010</v>
      </c>
      <c r="DV268" t="s">
        <v>62</v>
      </c>
      <c r="DW268" t="s">
        <v>62</v>
      </c>
      <c r="DX268">
        <v>1</v>
      </c>
      <c r="EE268">
        <v>16510417</v>
      </c>
      <c r="EF268">
        <v>3</v>
      </c>
      <c r="EG268" t="s">
        <v>472</v>
      </c>
      <c r="EH268">
        <v>0</v>
      </c>
      <c r="EI268" t="s">
        <v>6</v>
      </c>
      <c r="EJ268">
        <v>2</v>
      </c>
      <c r="EK268">
        <v>110011</v>
      </c>
      <c r="EL268" t="s">
        <v>511</v>
      </c>
      <c r="EM268" t="s">
        <v>512</v>
      </c>
      <c r="EO268" t="s">
        <v>6</v>
      </c>
      <c r="EQ268">
        <v>0</v>
      </c>
      <c r="ER268">
        <v>57.92</v>
      </c>
      <c r="ES268">
        <v>57.92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84"/>
        <v>0</v>
      </c>
      <c r="FS268">
        <v>0</v>
      </c>
      <c r="FX268">
        <v>80</v>
      </c>
      <c r="FY268">
        <v>60</v>
      </c>
      <c r="GA268" t="s">
        <v>6</v>
      </c>
      <c r="GD268">
        <v>0</v>
      </c>
      <c r="GF268">
        <v>-1091684358</v>
      </c>
      <c r="GG268">
        <v>1</v>
      </c>
      <c r="GH268">
        <v>1</v>
      </c>
      <c r="GI268">
        <v>4</v>
      </c>
      <c r="GJ268">
        <v>0</v>
      </c>
      <c r="GK268">
        <f>ROUND(R268*(R12)/100,2)</f>
        <v>0</v>
      </c>
      <c r="GL268">
        <f t="shared" si="285"/>
        <v>0</v>
      </c>
      <c r="GM268">
        <f t="shared" si="286"/>
        <v>3109.15</v>
      </c>
      <c r="GN268">
        <f t="shared" si="287"/>
        <v>0</v>
      </c>
      <c r="GO268">
        <f t="shared" si="288"/>
        <v>3109.15</v>
      </c>
      <c r="GP268">
        <f t="shared" si="289"/>
        <v>0</v>
      </c>
      <c r="GR268">
        <v>0</v>
      </c>
      <c r="GS268">
        <v>3</v>
      </c>
      <c r="GT268">
        <v>0</v>
      </c>
      <c r="GU268" t="s">
        <v>6</v>
      </c>
      <c r="GV268">
        <f t="shared" si="290"/>
        <v>0</v>
      </c>
      <c r="GW268">
        <v>1</v>
      </c>
      <c r="GX268">
        <f t="shared" si="291"/>
        <v>0</v>
      </c>
      <c r="HA268">
        <v>0</v>
      </c>
      <c r="HB268">
        <v>0</v>
      </c>
      <c r="HC268">
        <f t="shared" si="292"/>
        <v>0</v>
      </c>
      <c r="IK268">
        <v>0</v>
      </c>
    </row>
    <row r="269" spans="1:245" x14ac:dyDescent="0.2">
      <c r="A269">
        <v>17</v>
      </c>
      <c r="B269">
        <v>1</v>
      </c>
      <c r="C269">
        <f>ROW(SmtRes!A432)</f>
        <v>432</v>
      </c>
      <c r="D269">
        <f>ROW(EtalonRes!A406)</f>
        <v>406</v>
      </c>
      <c r="E269" t="s">
        <v>671</v>
      </c>
      <c r="F269" t="s">
        <v>527</v>
      </c>
      <c r="G269" t="s">
        <v>528</v>
      </c>
      <c r="H269" t="s">
        <v>39</v>
      </c>
      <c r="I269">
        <f>ROUND(132/100,9)</f>
        <v>1.32</v>
      </c>
      <c r="J269">
        <v>0</v>
      </c>
      <c r="O269">
        <f t="shared" si="259"/>
        <v>1384.64</v>
      </c>
      <c r="P269">
        <f t="shared" si="260"/>
        <v>148.71</v>
      </c>
      <c r="Q269">
        <f t="shared" si="261"/>
        <v>0</v>
      </c>
      <c r="R269">
        <f t="shared" si="262"/>
        <v>0</v>
      </c>
      <c r="S269">
        <f t="shared" si="263"/>
        <v>1235.93</v>
      </c>
      <c r="T269">
        <f t="shared" si="264"/>
        <v>0</v>
      </c>
      <c r="U269">
        <f t="shared" si="265"/>
        <v>20.064</v>
      </c>
      <c r="V269">
        <f t="shared" si="266"/>
        <v>0</v>
      </c>
      <c r="W269">
        <f t="shared" si="267"/>
        <v>0</v>
      </c>
      <c r="X269">
        <f t="shared" si="268"/>
        <v>1174.1300000000001</v>
      </c>
      <c r="Y269">
        <f t="shared" si="269"/>
        <v>803.35</v>
      </c>
      <c r="AA269">
        <v>16812721</v>
      </c>
      <c r="AB269">
        <f t="shared" si="270"/>
        <v>156.33000000000001</v>
      </c>
      <c r="AC269">
        <f t="shared" si="293"/>
        <v>16.79</v>
      </c>
      <c r="AD269">
        <f t="shared" si="294"/>
        <v>0</v>
      </c>
      <c r="AE269">
        <f t="shared" si="295"/>
        <v>0</v>
      </c>
      <c r="AF269">
        <f t="shared" si="296"/>
        <v>139.54</v>
      </c>
      <c r="AG269">
        <f t="shared" si="271"/>
        <v>0</v>
      </c>
      <c r="AH269">
        <f t="shared" si="297"/>
        <v>15.2</v>
      </c>
      <c r="AI269">
        <f t="shared" si="298"/>
        <v>0</v>
      </c>
      <c r="AJ269">
        <f t="shared" si="272"/>
        <v>0</v>
      </c>
      <c r="AK269">
        <v>156.33000000000001</v>
      </c>
      <c r="AL269">
        <v>16.79</v>
      </c>
      <c r="AM269">
        <v>0</v>
      </c>
      <c r="AN269">
        <v>0</v>
      </c>
      <c r="AO269">
        <v>139.54</v>
      </c>
      <c r="AP269">
        <v>0</v>
      </c>
      <c r="AQ269">
        <v>15.2</v>
      </c>
      <c r="AR269">
        <v>0</v>
      </c>
      <c r="AS269">
        <v>0</v>
      </c>
      <c r="AT269">
        <v>95</v>
      </c>
      <c r="AU269">
        <v>65</v>
      </c>
      <c r="AV269">
        <v>1</v>
      </c>
      <c r="AW269">
        <v>1</v>
      </c>
      <c r="AZ269">
        <v>6.71</v>
      </c>
      <c r="BA269">
        <v>6.71</v>
      </c>
      <c r="BB269">
        <v>6.71</v>
      </c>
      <c r="BC269">
        <v>6.71</v>
      </c>
      <c r="BD269" t="s">
        <v>6</v>
      </c>
      <c r="BE269" t="s">
        <v>6</v>
      </c>
      <c r="BF269" t="s">
        <v>6</v>
      </c>
      <c r="BG269" t="s">
        <v>6</v>
      </c>
      <c r="BH269">
        <v>0</v>
      </c>
      <c r="BI269">
        <v>2</v>
      </c>
      <c r="BJ269" t="s">
        <v>529</v>
      </c>
      <c r="BM269">
        <v>108001</v>
      </c>
      <c r="BN269">
        <v>0</v>
      </c>
      <c r="BO269" t="s">
        <v>6</v>
      </c>
      <c r="BP269">
        <v>0</v>
      </c>
      <c r="BQ269">
        <v>3</v>
      </c>
      <c r="BR269">
        <v>0</v>
      </c>
      <c r="BS269">
        <v>6.71</v>
      </c>
      <c r="BT269">
        <v>1</v>
      </c>
      <c r="BU269">
        <v>1</v>
      </c>
      <c r="BV269">
        <v>1</v>
      </c>
      <c r="BW269">
        <v>1</v>
      </c>
      <c r="BX269">
        <v>1</v>
      </c>
      <c r="BY269" t="s">
        <v>6</v>
      </c>
      <c r="BZ269">
        <v>95</v>
      </c>
      <c r="CA269">
        <v>65</v>
      </c>
      <c r="CE269">
        <v>0</v>
      </c>
      <c r="CF269">
        <v>0</v>
      </c>
      <c r="CG269">
        <v>0</v>
      </c>
      <c r="CM269">
        <v>0</v>
      </c>
      <c r="CN269" t="s">
        <v>6</v>
      </c>
      <c r="CO269">
        <v>0</v>
      </c>
      <c r="CP269">
        <f t="shared" si="273"/>
        <v>1384.64</v>
      </c>
      <c r="CQ269">
        <f t="shared" si="274"/>
        <v>112.6609</v>
      </c>
      <c r="CR269">
        <f t="shared" si="275"/>
        <v>0</v>
      </c>
      <c r="CS269">
        <f t="shared" si="276"/>
        <v>0</v>
      </c>
      <c r="CT269">
        <f t="shared" si="277"/>
        <v>936.31339999999989</v>
      </c>
      <c r="CU269">
        <f t="shared" si="278"/>
        <v>0</v>
      </c>
      <c r="CV269">
        <f t="shared" si="279"/>
        <v>15.2</v>
      </c>
      <c r="CW269">
        <f t="shared" si="280"/>
        <v>0</v>
      </c>
      <c r="CX269">
        <f t="shared" si="281"/>
        <v>0</v>
      </c>
      <c r="CY269">
        <f t="shared" si="282"/>
        <v>1174.1335000000001</v>
      </c>
      <c r="CZ269">
        <f t="shared" si="283"/>
        <v>803.35449999999992</v>
      </c>
      <c r="DC269" t="s">
        <v>6</v>
      </c>
      <c r="DD269" t="s">
        <v>6</v>
      </c>
      <c r="DE269" t="s">
        <v>6</v>
      </c>
      <c r="DF269" t="s">
        <v>6</v>
      </c>
      <c r="DG269" t="s">
        <v>6</v>
      </c>
      <c r="DH269" t="s">
        <v>6</v>
      </c>
      <c r="DI269" t="s">
        <v>6</v>
      </c>
      <c r="DJ269" t="s">
        <v>6</v>
      </c>
      <c r="DK269" t="s">
        <v>6</v>
      </c>
      <c r="DL269" t="s">
        <v>6</v>
      </c>
      <c r="DM269" t="s">
        <v>6</v>
      </c>
      <c r="DN269">
        <v>0</v>
      </c>
      <c r="DO269">
        <v>0</v>
      </c>
      <c r="DP269">
        <v>1</v>
      </c>
      <c r="DQ269">
        <v>1</v>
      </c>
      <c r="DU269">
        <v>1003</v>
      </c>
      <c r="DV269" t="s">
        <v>39</v>
      </c>
      <c r="DW269" t="s">
        <v>39</v>
      </c>
      <c r="DX269">
        <v>100</v>
      </c>
      <c r="EE269">
        <v>16510370</v>
      </c>
      <c r="EF269">
        <v>3</v>
      </c>
      <c r="EG269" t="s">
        <v>472</v>
      </c>
      <c r="EH269">
        <v>0</v>
      </c>
      <c r="EI269" t="s">
        <v>6</v>
      </c>
      <c r="EJ269">
        <v>2</v>
      </c>
      <c r="EK269">
        <v>108001</v>
      </c>
      <c r="EL269" t="s">
        <v>473</v>
      </c>
      <c r="EM269" t="s">
        <v>474</v>
      </c>
      <c r="EO269" t="s">
        <v>6</v>
      </c>
      <c r="EQ269">
        <v>131072</v>
      </c>
      <c r="ER269">
        <v>156.33000000000001</v>
      </c>
      <c r="ES269">
        <v>16.79</v>
      </c>
      <c r="ET269">
        <v>0</v>
      </c>
      <c r="EU269">
        <v>0</v>
      </c>
      <c r="EV269">
        <v>139.54</v>
      </c>
      <c r="EW269">
        <v>15.2</v>
      </c>
      <c r="EX269">
        <v>0</v>
      </c>
      <c r="EY269">
        <v>0</v>
      </c>
      <c r="FQ269">
        <v>0</v>
      </c>
      <c r="FR269">
        <f t="shared" si="284"/>
        <v>0</v>
      </c>
      <c r="FS269">
        <v>0</v>
      </c>
      <c r="FX269">
        <v>95</v>
      </c>
      <c r="FY269">
        <v>65</v>
      </c>
      <c r="GA269" t="s">
        <v>6</v>
      </c>
      <c r="GD269">
        <v>0</v>
      </c>
      <c r="GF269">
        <v>-596386547</v>
      </c>
      <c r="GG269">
        <v>1</v>
      </c>
      <c r="GH269">
        <v>1</v>
      </c>
      <c r="GI269">
        <v>4</v>
      </c>
      <c r="GJ269">
        <v>0</v>
      </c>
      <c r="GK269">
        <f>ROUND(R269*(R12)/100,2)</f>
        <v>0</v>
      </c>
      <c r="GL269">
        <f t="shared" si="285"/>
        <v>0</v>
      </c>
      <c r="GM269">
        <f t="shared" si="286"/>
        <v>3362.12</v>
      </c>
      <c r="GN269">
        <f t="shared" si="287"/>
        <v>0</v>
      </c>
      <c r="GO269">
        <f t="shared" si="288"/>
        <v>3362.12</v>
      </c>
      <c r="GP269">
        <f t="shared" si="289"/>
        <v>0</v>
      </c>
      <c r="GR269">
        <v>0</v>
      </c>
      <c r="GS269">
        <v>3</v>
      </c>
      <c r="GT269">
        <v>0</v>
      </c>
      <c r="GU269" t="s">
        <v>6</v>
      </c>
      <c r="GV269">
        <f t="shared" si="290"/>
        <v>0</v>
      </c>
      <c r="GW269">
        <v>1</v>
      </c>
      <c r="GX269">
        <f t="shared" si="291"/>
        <v>0</v>
      </c>
      <c r="HA269">
        <v>0</v>
      </c>
      <c r="HB269">
        <v>0</v>
      </c>
      <c r="HC269">
        <f t="shared" si="292"/>
        <v>0</v>
      </c>
      <c r="IK269">
        <v>0</v>
      </c>
    </row>
    <row r="270" spans="1:245" x14ac:dyDescent="0.2">
      <c r="A270">
        <v>18</v>
      </c>
      <c r="B270">
        <v>1</v>
      </c>
      <c r="C270">
        <v>431</v>
      </c>
      <c r="E270" t="s">
        <v>672</v>
      </c>
      <c r="F270" t="s">
        <v>673</v>
      </c>
      <c r="G270" t="s">
        <v>674</v>
      </c>
      <c r="H270" t="s">
        <v>505</v>
      </c>
      <c r="I270">
        <f>I269*J270</f>
        <v>13.199999999999998</v>
      </c>
      <c r="J270">
        <v>9.9999999999999982</v>
      </c>
      <c r="O270">
        <f t="shared" si="259"/>
        <v>2173.56</v>
      </c>
      <c r="P270">
        <f t="shared" si="260"/>
        <v>2173.56</v>
      </c>
      <c r="Q270">
        <f t="shared" si="261"/>
        <v>0</v>
      </c>
      <c r="R270">
        <f t="shared" si="262"/>
        <v>0</v>
      </c>
      <c r="S270">
        <f t="shared" si="263"/>
        <v>0</v>
      </c>
      <c r="T270">
        <f t="shared" si="264"/>
        <v>0</v>
      </c>
      <c r="U270">
        <f t="shared" si="265"/>
        <v>0</v>
      </c>
      <c r="V270">
        <f t="shared" si="266"/>
        <v>0</v>
      </c>
      <c r="W270">
        <f t="shared" si="267"/>
        <v>0</v>
      </c>
      <c r="X270">
        <f t="shared" si="268"/>
        <v>0</v>
      </c>
      <c r="Y270">
        <f t="shared" si="269"/>
        <v>0</v>
      </c>
      <c r="AA270">
        <v>16812721</v>
      </c>
      <c r="AB270">
        <f t="shared" si="270"/>
        <v>24.54</v>
      </c>
      <c r="AC270">
        <f t="shared" si="293"/>
        <v>24.54</v>
      </c>
      <c r="AD270">
        <f t="shared" si="294"/>
        <v>0</v>
      </c>
      <c r="AE270">
        <f t="shared" si="295"/>
        <v>0</v>
      </c>
      <c r="AF270">
        <f t="shared" si="296"/>
        <v>0</v>
      </c>
      <c r="AG270">
        <f t="shared" si="271"/>
        <v>0</v>
      </c>
      <c r="AH270">
        <f t="shared" si="297"/>
        <v>0</v>
      </c>
      <c r="AI270">
        <f t="shared" si="298"/>
        <v>0</v>
      </c>
      <c r="AJ270">
        <f t="shared" si="272"/>
        <v>0</v>
      </c>
      <c r="AK270">
        <v>24.54</v>
      </c>
      <c r="AL270">
        <v>24.54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95</v>
      </c>
      <c r="AU270">
        <v>65</v>
      </c>
      <c r="AV270">
        <v>1</v>
      </c>
      <c r="AW270">
        <v>1</v>
      </c>
      <c r="AZ270">
        <v>6.71</v>
      </c>
      <c r="BA270">
        <v>1</v>
      </c>
      <c r="BB270">
        <v>1</v>
      </c>
      <c r="BC270">
        <v>6.71</v>
      </c>
      <c r="BD270" t="s">
        <v>6</v>
      </c>
      <c r="BE270" t="s">
        <v>6</v>
      </c>
      <c r="BF270" t="s">
        <v>6</v>
      </c>
      <c r="BG270" t="s">
        <v>6</v>
      </c>
      <c r="BH270">
        <v>3</v>
      </c>
      <c r="BI270">
        <v>2</v>
      </c>
      <c r="BJ270" t="s">
        <v>675</v>
      </c>
      <c r="BM270">
        <v>108001</v>
      </c>
      <c r="BN270">
        <v>0</v>
      </c>
      <c r="BO270" t="s">
        <v>6</v>
      </c>
      <c r="BP270">
        <v>0</v>
      </c>
      <c r="BQ270">
        <v>3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95</v>
      </c>
      <c r="CA270">
        <v>65</v>
      </c>
      <c r="CE270">
        <v>0</v>
      </c>
      <c r="CF270">
        <v>0</v>
      </c>
      <c r="CG270">
        <v>0</v>
      </c>
      <c r="CM270">
        <v>0</v>
      </c>
      <c r="CN270" t="s">
        <v>6</v>
      </c>
      <c r="CO270">
        <v>0</v>
      </c>
      <c r="CP270">
        <f t="shared" si="273"/>
        <v>2173.56</v>
      </c>
      <c r="CQ270">
        <f t="shared" si="274"/>
        <v>164.6634</v>
      </c>
      <c r="CR270">
        <f t="shared" si="275"/>
        <v>0</v>
      </c>
      <c r="CS270">
        <f t="shared" si="276"/>
        <v>0</v>
      </c>
      <c r="CT270">
        <f t="shared" si="277"/>
        <v>0</v>
      </c>
      <c r="CU270">
        <f t="shared" si="278"/>
        <v>0</v>
      </c>
      <c r="CV270">
        <f t="shared" si="279"/>
        <v>0</v>
      </c>
      <c r="CW270">
        <f t="shared" si="280"/>
        <v>0</v>
      </c>
      <c r="CX270">
        <f t="shared" si="281"/>
        <v>0</v>
      </c>
      <c r="CY270">
        <f t="shared" si="282"/>
        <v>0</v>
      </c>
      <c r="CZ270">
        <f t="shared" si="283"/>
        <v>0</v>
      </c>
      <c r="DC270" t="s">
        <v>6</v>
      </c>
      <c r="DD270" t="s">
        <v>6</v>
      </c>
      <c r="DE270" t="s">
        <v>6</v>
      </c>
      <c r="DF270" t="s">
        <v>6</v>
      </c>
      <c r="DG270" t="s">
        <v>6</v>
      </c>
      <c r="DH270" t="s">
        <v>6</v>
      </c>
      <c r="DI270" t="s">
        <v>6</v>
      </c>
      <c r="DJ270" t="s">
        <v>6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1003</v>
      </c>
      <c r="DV270" t="s">
        <v>505</v>
      </c>
      <c r="DW270" t="s">
        <v>505</v>
      </c>
      <c r="DX270">
        <v>10</v>
      </c>
      <c r="EE270">
        <v>16510370</v>
      </c>
      <c r="EF270">
        <v>3</v>
      </c>
      <c r="EG270" t="s">
        <v>472</v>
      </c>
      <c r="EH270">
        <v>0</v>
      </c>
      <c r="EI270" t="s">
        <v>6</v>
      </c>
      <c r="EJ270">
        <v>2</v>
      </c>
      <c r="EK270">
        <v>108001</v>
      </c>
      <c r="EL270" t="s">
        <v>473</v>
      </c>
      <c r="EM270" t="s">
        <v>474</v>
      </c>
      <c r="EO270" t="s">
        <v>6</v>
      </c>
      <c r="EQ270">
        <v>0</v>
      </c>
      <c r="ER270">
        <v>24.54</v>
      </c>
      <c r="ES270">
        <v>24.54</v>
      </c>
      <c r="ET270">
        <v>0</v>
      </c>
      <c r="EU270">
        <v>0</v>
      </c>
      <c r="EV270">
        <v>0</v>
      </c>
      <c r="EW270">
        <v>0</v>
      </c>
      <c r="EX270">
        <v>0</v>
      </c>
      <c r="FQ270">
        <v>0</v>
      </c>
      <c r="FR270">
        <f t="shared" si="284"/>
        <v>0</v>
      </c>
      <c r="FS270">
        <v>0</v>
      </c>
      <c r="FX270">
        <v>95</v>
      </c>
      <c r="FY270">
        <v>65</v>
      </c>
      <c r="GA270" t="s">
        <v>6</v>
      </c>
      <c r="GD270">
        <v>0</v>
      </c>
      <c r="GF270">
        <v>1802750156</v>
      </c>
      <c r="GG270">
        <v>1</v>
      </c>
      <c r="GH270">
        <v>1</v>
      </c>
      <c r="GI270">
        <v>4</v>
      </c>
      <c r="GJ270">
        <v>0</v>
      </c>
      <c r="GK270">
        <f>ROUND(R270*(R12)/100,2)</f>
        <v>0</v>
      </c>
      <c r="GL270">
        <f t="shared" si="285"/>
        <v>0</v>
      </c>
      <c r="GM270">
        <f t="shared" si="286"/>
        <v>2173.56</v>
      </c>
      <c r="GN270">
        <f t="shared" si="287"/>
        <v>0</v>
      </c>
      <c r="GO270">
        <f t="shared" si="288"/>
        <v>2173.56</v>
      </c>
      <c r="GP270">
        <f t="shared" si="289"/>
        <v>0</v>
      </c>
      <c r="GR270">
        <v>0</v>
      </c>
      <c r="GS270">
        <v>3</v>
      </c>
      <c r="GT270">
        <v>0</v>
      </c>
      <c r="GU270" t="s">
        <v>6</v>
      </c>
      <c r="GV270">
        <f t="shared" si="290"/>
        <v>0</v>
      </c>
      <c r="GW270">
        <v>1</v>
      </c>
      <c r="GX270">
        <f t="shared" si="291"/>
        <v>0</v>
      </c>
      <c r="HA270">
        <v>0</v>
      </c>
      <c r="HB270">
        <v>0</v>
      </c>
      <c r="HC270">
        <f t="shared" si="292"/>
        <v>0</v>
      </c>
      <c r="IK270">
        <v>0</v>
      </c>
    </row>
    <row r="271" spans="1:245" x14ac:dyDescent="0.2">
      <c r="A271">
        <v>17</v>
      </c>
      <c r="B271">
        <v>1</v>
      </c>
      <c r="C271">
        <f>ROW(SmtRes!A443)</f>
        <v>443</v>
      </c>
      <c r="D271">
        <f>ROW(EtalonRes!A416)</f>
        <v>416</v>
      </c>
      <c r="E271" t="s">
        <v>676</v>
      </c>
      <c r="F271" t="s">
        <v>677</v>
      </c>
      <c r="G271" t="s">
        <v>678</v>
      </c>
      <c r="H271" t="s">
        <v>39</v>
      </c>
      <c r="I271">
        <f>ROUND(132/100,9)</f>
        <v>1.32</v>
      </c>
      <c r="J271">
        <v>0</v>
      </c>
      <c r="O271">
        <f t="shared" si="259"/>
        <v>608.48</v>
      </c>
      <c r="P271">
        <f t="shared" si="260"/>
        <v>128.25</v>
      </c>
      <c r="Q271">
        <f t="shared" si="261"/>
        <v>31.44</v>
      </c>
      <c r="R271">
        <f t="shared" si="262"/>
        <v>4.43</v>
      </c>
      <c r="S271">
        <f t="shared" si="263"/>
        <v>448.79</v>
      </c>
      <c r="T271">
        <f t="shared" si="264"/>
        <v>0</v>
      </c>
      <c r="U271">
        <f t="shared" si="265"/>
        <v>7.1147999999999998</v>
      </c>
      <c r="V271">
        <f t="shared" si="266"/>
        <v>5.2800000000000007E-2</v>
      </c>
      <c r="W271">
        <f t="shared" si="267"/>
        <v>0</v>
      </c>
      <c r="X271">
        <f t="shared" si="268"/>
        <v>430.56</v>
      </c>
      <c r="Y271">
        <f t="shared" si="269"/>
        <v>294.58999999999997</v>
      </c>
      <c r="AA271">
        <v>16812721</v>
      </c>
      <c r="AB271">
        <f t="shared" si="270"/>
        <v>68.7</v>
      </c>
      <c r="AC271">
        <f t="shared" si="293"/>
        <v>14.48</v>
      </c>
      <c r="AD271">
        <f t="shared" si="294"/>
        <v>3.55</v>
      </c>
      <c r="AE271">
        <f t="shared" si="295"/>
        <v>0.5</v>
      </c>
      <c r="AF271">
        <f t="shared" si="296"/>
        <v>50.67</v>
      </c>
      <c r="AG271">
        <f t="shared" si="271"/>
        <v>0</v>
      </c>
      <c r="AH271">
        <f t="shared" si="297"/>
        <v>5.39</v>
      </c>
      <c r="AI271">
        <f t="shared" si="298"/>
        <v>0.04</v>
      </c>
      <c r="AJ271">
        <f t="shared" si="272"/>
        <v>0</v>
      </c>
      <c r="AK271">
        <v>68.7</v>
      </c>
      <c r="AL271">
        <v>14.48</v>
      </c>
      <c r="AM271">
        <v>3.55</v>
      </c>
      <c r="AN271">
        <v>0.5</v>
      </c>
      <c r="AO271">
        <v>50.67</v>
      </c>
      <c r="AP271">
        <v>0</v>
      </c>
      <c r="AQ271">
        <v>5.39</v>
      </c>
      <c r="AR271">
        <v>0.04</v>
      </c>
      <c r="AS271">
        <v>0</v>
      </c>
      <c r="AT271">
        <v>95</v>
      </c>
      <c r="AU271">
        <v>65</v>
      </c>
      <c r="AV271">
        <v>1</v>
      </c>
      <c r="AW271">
        <v>1</v>
      </c>
      <c r="AZ271">
        <v>6.71</v>
      </c>
      <c r="BA271">
        <v>6.71</v>
      </c>
      <c r="BB271">
        <v>6.71</v>
      </c>
      <c r="BC271">
        <v>6.71</v>
      </c>
      <c r="BD271" t="s">
        <v>6</v>
      </c>
      <c r="BE271" t="s">
        <v>6</v>
      </c>
      <c r="BF271" t="s">
        <v>6</v>
      </c>
      <c r="BG271" t="s">
        <v>6</v>
      </c>
      <c r="BH271">
        <v>0</v>
      </c>
      <c r="BI271">
        <v>2</v>
      </c>
      <c r="BJ271" t="s">
        <v>679</v>
      </c>
      <c r="BM271">
        <v>108001</v>
      </c>
      <c r="BN271">
        <v>0</v>
      </c>
      <c r="BO271" t="s">
        <v>6</v>
      </c>
      <c r="BP271">
        <v>0</v>
      </c>
      <c r="BQ271">
        <v>3</v>
      </c>
      <c r="BR271">
        <v>0</v>
      </c>
      <c r="BS271">
        <v>6.71</v>
      </c>
      <c r="BT271">
        <v>1</v>
      </c>
      <c r="BU271">
        <v>1</v>
      </c>
      <c r="BV271">
        <v>1</v>
      </c>
      <c r="BW271">
        <v>1</v>
      </c>
      <c r="BX271">
        <v>1</v>
      </c>
      <c r="BY271" t="s">
        <v>6</v>
      </c>
      <c r="BZ271">
        <v>95</v>
      </c>
      <c r="CA271">
        <v>65</v>
      </c>
      <c r="CE271">
        <v>0</v>
      </c>
      <c r="CF271">
        <v>0</v>
      </c>
      <c r="CG271">
        <v>0</v>
      </c>
      <c r="CM271">
        <v>0</v>
      </c>
      <c r="CN271" t="s">
        <v>6</v>
      </c>
      <c r="CO271">
        <v>0</v>
      </c>
      <c r="CP271">
        <f t="shared" si="273"/>
        <v>608.48</v>
      </c>
      <c r="CQ271">
        <f t="shared" si="274"/>
        <v>97.160800000000009</v>
      </c>
      <c r="CR271">
        <f t="shared" si="275"/>
        <v>23.820499999999999</v>
      </c>
      <c r="CS271">
        <f t="shared" si="276"/>
        <v>3.355</v>
      </c>
      <c r="CT271">
        <f t="shared" si="277"/>
        <v>339.9957</v>
      </c>
      <c r="CU271">
        <f t="shared" si="278"/>
        <v>0</v>
      </c>
      <c r="CV271">
        <f t="shared" si="279"/>
        <v>5.39</v>
      </c>
      <c r="CW271">
        <f t="shared" si="280"/>
        <v>0.04</v>
      </c>
      <c r="CX271">
        <f t="shared" si="281"/>
        <v>0</v>
      </c>
      <c r="CY271">
        <f t="shared" si="282"/>
        <v>430.55900000000003</v>
      </c>
      <c r="CZ271">
        <f t="shared" si="283"/>
        <v>294.59300000000002</v>
      </c>
      <c r="DC271" t="s">
        <v>6</v>
      </c>
      <c r="DD271" t="s">
        <v>6</v>
      </c>
      <c r="DE271" t="s">
        <v>6</v>
      </c>
      <c r="DF271" t="s">
        <v>6</v>
      </c>
      <c r="DG271" t="s">
        <v>6</v>
      </c>
      <c r="DH271" t="s">
        <v>6</v>
      </c>
      <c r="DI271" t="s">
        <v>6</v>
      </c>
      <c r="DJ271" t="s">
        <v>6</v>
      </c>
      <c r="DK271" t="s">
        <v>6</v>
      </c>
      <c r="DL271" t="s">
        <v>6</v>
      </c>
      <c r="DM271" t="s">
        <v>6</v>
      </c>
      <c r="DN271">
        <v>0</v>
      </c>
      <c r="DO271">
        <v>0</v>
      </c>
      <c r="DP271">
        <v>1</v>
      </c>
      <c r="DQ271">
        <v>1</v>
      </c>
      <c r="DU271">
        <v>1003</v>
      </c>
      <c r="DV271" t="s">
        <v>39</v>
      </c>
      <c r="DW271" t="s">
        <v>39</v>
      </c>
      <c r="DX271">
        <v>100</v>
      </c>
      <c r="EE271">
        <v>16510370</v>
      </c>
      <c r="EF271">
        <v>3</v>
      </c>
      <c r="EG271" t="s">
        <v>472</v>
      </c>
      <c r="EH271">
        <v>0</v>
      </c>
      <c r="EI271" t="s">
        <v>6</v>
      </c>
      <c r="EJ271">
        <v>2</v>
      </c>
      <c r="EK271">
        <v>108001</v>
      </c>
      <c r="EL271" t="s">
        <v>473</v>
      </c>
      <c r="EM271" t="s">
        <v>474</v>
      </c>
      <c r="EO271" t="s">
        <v>6</v>
      </c>
      <c r="EQ271">
        <v>131072</v>
      </c>
      <c r="ER271">
        <v>68.7</v>
      </c>
      <c r="ES271">
        <v>14.48</v>
      </c>
      <c r="ET271">
        <v>3.55</v>
      </c>
      <c r="EU271">
        <v>0.5</v>
      </c>
      <c r="EV271">
        <v>50.67</v>
      </c>
      <c r="EW271">
        <v>5.39</v>
      </c>
      <c r="EX271">
        <v>0.04</v>
      </c>
      <c r="EY271">
        <v>0</v>
      </c>
      <c r="FQ271">
        <v>0</v>
      </c>
      <c r="FR271">
        <f t="shared" si="284"/>
        <v>0</v>
      </c>
      <c r="FS271">
        <v>0</v>
      </c>
      <c r="FX271">
        <v>95</v>
      </c>
      <c r="FY271">
        <v>65</v>
      </c>
      <c r="GA271" t="s">
        <v>6</v>
      </c>
      <c r="GD271">
        <v>0</v>
      </c>
      <c r="GF271">
        <v>-1215790049</v>
      </c>
      <c r="GG271">
        <v>1</v>
      </c>
      <c r="GH271">
        <v>1</v>
      </c>
      <c r="GI271">
        <v>4</v>
      </c>
      <c r="GJ271">
        <v>0</v>
      </c>
      <c r="GK271">
        <f>ROUND(R271*(R12)/100,2)</f>
        <v>0</v>
      </c>
      <c r="GL271">
        <f t="shared" si="285"/>
        <v>0</v>
      </c>
      <c r="GM271">
        <f t="shared" si="286"/>
        <v>1333.63</v>
      </c>
      <c r="GN271">
        <f t="shared" si="287"/>
        <v>0</v>
      </c>
      <c r="GO271">
        <f t="shared" si="288"/>
        <v>1333.63</v>
      </c>
      <c r="GP271">
        <f t="shared" si="289"/>
        <v>0</v>
      </c>
      <c r="GR271">
        <v>0</v>
      </c>
      <c r="GS271">
        <v>3</v>
      </c>
      <c r="GT271">
        <v>0</v>
      </c>
      <c r="GU271" t="s">
        <v>6</v>
      </c>
      <c r="GV271">
        <f t="shared" si="290"/>
        <v>0</v>
      </c>
      <c r="GW271">
        <v>1</v>
      </c>
      <c r="GX271">
        <f t="shared" si="291"/>
        <v>0</v>
      </c>
      <c r="HA271">
        <v>0</v>
      </c>
      <c r="HB271">
        <v>0</v>
      </c>
      <c r="HC271">
        <f t="shared" si="292"/>
        <v>0</v>
      </c>
      <c r="IK271">
        <v>0</v>
      </c>
    </row>
    <row r="272" spans="1:245" x14ac:dyDescent="0.2">
      <c r="A272">
        <v>18</v>
      </c>
      <c r="B272">
        <v>1</v>
      </c>
      <c r="C272">
        <v>442</v>
      </c>
      <c r="E272" t="s">
        <v>680</v>
      </c>
      <c r="F272" t="s">
        <v>681</v>
      </c>
      <c r="G272" t="s">
        <v>1142</v>
      </c>
      <c r="H272" t="s">
        <v>541</v>
      </c>
      <c r="I272">
        <f>I271*J272</f>
        <v>0.13200000000000001</v>
      </c>
      <c r="J272">
        <v>0.1</v>
      </c>
      <c r="O272">
        <f t="shared" si="259"/>
        <v>3794.44</v>
      </c>
      <c r="P272">
        <f t="shared" si="260"/>
        <v>3794.44</v>
      </c>
      <c r="Q272">
        <f t="shared" si="261"/>
        <v>0</v>
      </c>
      <c r="R272">
        <f t="shared" si="262"/>
        <v>0</v>
      </c>
      <c r="S272">
        <f t="shared" si="263"/>
        <v>0</v>
      </c>
      <c r="T272">
        <f t="shared" si="264"/>
        <v>0</v>
      </c>
      <c r="U272">
        <f t="shared" si="265"/>
        <v>0</v>
      </c>
      <c r="V272">
        <f t="shared" si="266"/>
        <v>0</v>
      </c>
      <c r="W272">
        <f t="shared" si="267"/>
        <v>0</v>
      </c>
      <c r="X272">
        <f t="shared" si="268"/>
        <v>0</v>
      </c>
      <c r="Y272">
        <f t="shared" si="269"/>
        <v>0</v>
      </c>
      <c r="AA272">
        <v>16812721</v>
      </c>
      <c r="AB272">
        <f t="shared" si="270"/>
        <v>4284.0200000000004</v>
      </c>
      <c r="AC272">
        <f t="shared" si="293"/>
        <v>4284.0200000000004</v>
      </c>
      <c r="AD272">
        <f t="shared" si="294"/>
        <v>0</v>
      </c>
      <c r="AE272">
        <f t="shared" si="295"/>
        <v>0</v>
      </c>
      <c r="AF272">
        <f t="shared" si="296"/>
        <v>0</v>
      </c>
      <c r="AG272">
        <f t="shared" si="271"/>
        <v>0</v>
      </c>
      <c r="AH272">
        <f t="shared" si="297"/>
        <v>0</v>
      </c>
      <c r="AI272">
        <f t="shared" si="298"/>
        <v>0</v>
      </c>
      <c r="AJ272">
        <f t="shared" si="272"/>
        <v>0</v>
      </c>
      <c r="AK272">
        <v>4284.0200000000004</v>
      </c>
      <c r="AL272">
        <v>4284.0200000000004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95</v>
      </c>
      <c r="AU272">
        <v>65</v>
      </c>
      <c r="AV272">
        <v>1</v>
      </c>
      <c r="AW272">
        <v>1</v>
      </c>
      <c r="AZ272">
        <v>6.71</v>
      </c>
      <c r="BA272">
        <v>1</v>
      </c>
      <c r="BB272">
        <v>1</v>
      </c>
      <c r="BC272">
        <v>6.71</v>
      </c>
      <c r="BD272" t="s">
        <v>6</v>
      </c>
      <c r="BE272" t="s">
        <v>6</v>
      </c>
      <c r="BF272" t="s">
        <v>6</v>
      </c>
      <c r="BG272" t="s">
        <v>6</v>
      </c>
      <c r="BH272">
        <v>3</v>
      </c>
      <c r="BI272">
        <v>2</v>
      </c>
      <c r="BJ272" t="s">
        <v>682</v>
      </c>
      <c r="BM272">
        <v>108001</v>
      </c>
      <c r="BN272">
        <v>0</v>
      </c>
      <c r="BO272" t="s">
        <v>6</v>
      </c>
      <c r="BP272">
        <v>0</v>
      </c>
      <c r="BQ272">
        <v>3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95</v>
      </c>
      <c r="CA272">
        <v>65</v>
      </c>
      <c r="CE272">
        <v>0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273"/>
        <v>3794.44</v>
      </c>
      <c r="CQ272">
        <f t="shared" si="274"/>
        <v>28745.774200000003</v>
      </c>
      <c r="CR272">
        <f t="shared" si="275"/>
        <v>0</v>
      </c>
      <c r="CS272">
        <f t="shared" si="276"/>
        <v>0</v>
      </c>
      <c r="CT272">
        <f t="shared" si="277"/>
        <v>0</v>
      </c>
      <c r="CU272">
        <f t="shared" si="278"/>
        <v>0</v>
      </c>
      <c r="CV272">
        <f t="shared" si="279"/>
        <v>0</v>
      </c>
      <c r="CW272">
        <f t="shared" si="280"/>
        <v>0</v>
      </c>
      <c r="CX272">
        <f t="shared" si="281"/>
        <v>0</v>
      </c>
      <c r="CY272">
        <f t="shared" si="282"/>
        <v>0</v>
      </c>
      <c r="CZ272">
        <f t="shared" si="283"/>
        <v>0</v>
      </c>
      <c r="DC272" t="s">
        <v>6</v>
      </c>
      <c r="DD272" t="s">
        <v>6</v>
      </c>
      <c r="DE272" t="s">
        <v>6</v>
      </c>
      <c r="DF272" t="s">
        <v>6</v>
      </c>
      <c r="DG272" t="s">
        <v>6</v>
      </c>
      <c r="DH272" t="s">
        <v>6</v>
      </c>
      <c r="DI272" t="s">
        <v>6</v>
      </c>
      <c r="DJ272" t="s">
        <v>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1013</v>
      </c>
      <c r="DV272" t="s">
        <v>541</v>
      </c>
      <c r="DW272" t="s">
        <v>543</v>
      </c>
      <c r="DX272">
        <v>1</v>
      </c>
      <c r="EE272">
        <v>16510370</v>
      </c>
      <c r="EF272">
        <v>3</v>
      </c>
      <c r="EG272" t="s">
        <v>472</v>
      </c>
      <c r="EH272">
        <v>0</v>
      </c>
      <c r="EI272" t="s">
        <v>6</v>
      </c>
      <c r="EJ272">
        <v>2</v>
      </c>
      <c r="EK272">
        <v>108001</v>
      </c>
      <c r="EL272" t="s">
        <v>473</v>
      </c>
      <c r="EM272" t="s">
        <v>474</v>
      </c>
      <c r="EO272" t="s">
        <v>6</v>
      </c>
      <c r="EQ272">
        <v>0</v>
      </c>
      <c r="ER272">
        <v>4284.0200000000004</v>
      </c>
      <c r="ES272">
        <v>4284.0200000000004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284"/>
        <v>0</v>
      </c>
      <c r="FS272">
        <v>0</v>
      </c>
      <c r="FX272">
        <v>95</v>
      </c>
      <c r="FY272">
        <v>65</v>
      </c>
      <c r="GA272" t="s">
        <v>6</v>
      </c>
      <c r="GD272">
        <v>0</v>
      </c>
      <c r="GF272">
        <v>1970573084</v>
      </c>
      <c r="GG272">
        <v>1</v>
      </c>
      <c r="GH272">
        <v>1</v>
      </c>
      <c r="GI272">
        <v>4</v>
      </c>
      <c r="GJ272">
        <v>0</v>
      </c>
      <c r="GK272">
        <f>ROUND(R272*(R12)/100,2)</f>
        <v>0</v>
      </c>
      <c r="GL272">
        <f t="shared" si="285"/>
        <v>0</v>
      </c>
      <c r="GM272">
        <f t="shared" si="286"/>
        <v>3794.44</v>
      </c>
      <c r="GN272">
        <f t="shared" si="287"/>
        <v>0</v>
      </c>
      <c r="GO272">
        <f t="shared" si="288"/>
        <v>3794.44</v>
      </c>
      <c r="GP272">
        <f t="shared" si="289"/>
        <v>0</v>
      </c>
      <c r="GR272">
        <v>0</v>
      </c>
      <c r="GS272">
        <v>3</v>
      </c>
      <c r="GT272">
        <v>0</v>
      </c>
      <c r="GU272" t="s">
        <v>6</v>
      </c>
      <c r="GV272">
        <f t="shared" si="290"/>
        <v>0</v>
      </c>
      <c r="GW272">
        <v>1</v>
      </c>
      <c r="GX272">
        <f t="shared" si="291"/>
        <v>0</v>
      </c>
      <c r="HA272">
        <v>0</v>
      </c>
      <c r="HB272">
        <v>0</v>
      </c>
      <c r="HC272">
        <f t="shared" si="292"/>
        <v>0</v>
      </c>
      <c r="IK272">
        <v>0</v>
      </c>
    </row>
    <row r="273" spans="1:245" x14ac:dyDescent="0.2">
      <c r="A273">
        <v>17</v>
      </c>
      <c r="B273">
        <v>1</v>
      </c>
      <c r="C273">
        <f>ROW(SmtRes!A445)</f>
        <v>445</v>
      </c>
      <c r="D273">
        <f>ROW(EtalonRes!A418)</f>
        <v>418</v>
      </c>
      <c r="E273" t="s">
        <v>683</v>
      </c>
      <c r="F273" t="s">
        <v>684</v>
      </c>
      <c r="G273" t="s">
        <v>685</v>
      </c>
      <c r="H273" t="s">
        <v>484</v>
      </c>
      <c r="I273">
        <v>1</v>
      </c>
      <c r="J273">
        <v>0</v>
      </c>
      <c r="O273">
        <f t="shared" si="259"/>
        <v>30.39</v>
      </c>
      <c r="P273">
        <f t="shared" si="260"/>
        <v>0.6</v>
      </c>
      <c r="Q273">
        <f t="shared" si="261"/>
        <v>0</v>
      </c>
      <c r="R273">
        <f t="shared" si="262"/>
        <v>0</v>
      </c>
      <c r="S273">
        <f t="shared" si="263"/>
        <v>29.79</v>
      </c>
      <c r="T273">
        <f t="shared" si="264"/>
        <v>0</v>
      </c>
      <c r="U273">
        <f t="shared" si="265"/>
        <v>0.4</v>
      </c>
      <c r="V273">
        <f t="shared" si="266"/>
        <v>0</v>
      </c>
      <c r="W273">
        <f t="shared" si="267"/>
        <v>0</v>
      </c>
      <c r="X273">
        <f t="shared" si="268"/>
        <v>23.83</v>
      </c>
      <c r="Y273">
        <f t="shared" si="269"/>
        <v>17.87</v>
      </c>
      <c r="AA273">
        <v>16812721</v>
      </c>
      <c r="AB273">
        <f t="shared" si="270"/>
        <v>4.53</v>
      </c>
      <c r="AC273">
        <f t="shared" si="293"/>
        <v>0.09</v>
      </c>
      <c r="AD273">
        <f t="shared" si="294"/>
        <v>0</v>
      </c>
      <c r="AE273">
        <f t="shared" si="295"/>
        <v>0</v>
      </c>
      <c r="AF273">
        <f t="shared" si="296"/>
        <v>4.4400000000000004</v>
      </c>
      <c r="AG273">
        <f t="shared" si="271"/>
        <v>0</v>
      </c>
      <c r="AH273">
        <f t="shared" si="297"/>
        <v>0.4</v>
      </c>
      <c r="AI273">
        <f t="shared" si="298"/>
        <v>0</v>
      </c>
      <c r="AJ273">
        <f t="shared" si="272"/>
        <v>0</v>
      </c>
      <c r="AK273">
        <v>4.53</v>
      </c>
      <c r="AL273">
        <v>0.09</v>
      </c>
      <c r="AM273">
        <v>0</v>
      </c>
      <c r="AN273">
        <v>0</v>
      </c>
      <c r="AO273">
        <v>4.4400000000000004</v>
      </c>
      <c r="AP273">
        <v>0</v>
      </c>
      <c r="AQ273">
        <v>0.4</v>
      </c>
      <c r="AR273">
        <v>0</v>
      </c>
      <c r="AS273">
        <v>0</v>
      </c>
      <c r="AT273">
        <v>80</v>
      </c>
      <c r="AU273">
        <v>60</v>
      </c>
      <c r="AV273">
        <v>1</v>
      </c>
      <c r="AW273">
        <v>1</v>
      </c>
      <c r="AZ273">
        <v>6.71</v>
      </c>
      <c r="BA273">
        <v>6.71</v>
      </c>
      <c r="BB273">
        <v>6.71</v>
      </c>
      <c r="BC273">
        <v>6.71</v>
      </c>
      <c r="BD273" t="s">
        <v>6</v>
      </c>
      <c r="BE273" t="s">
        <v>6</v>
      </c>
      <c r="BF273" t="s">
        <v>6</v>
      </c>
      <c r="BG273" t="s">
        <v>6</v>
      </c>
      <c r="BH273">
        <v>0</v>
      </c>
      <c r="BI273">
        <v>2</v>
      </c>
      <c r="BJ273" t="s">
        <v>686</v>
      </c>
      <c r="BM273">
        <v>110001</v>
      </c>
      <c r="BN273">
        <v>0</v>
      </c>
      <c r="BO273" t="s">
        <v>6</v>
      </c>
      <c r="BP273">
        <v>0</v>
      </c>
      <c r="BQ273">
        <v>3</v>
      </c>
      <c r="BR273">
        <v>0</v>
      </c>
      <c r="BS273">
        <v>6.71</v>
      </c>
      <c r="BT273">
        <v>1</v>
      </c>
      <c r="BU273">
        <v>1</v>
      </c>
      <c r="BV273">
        <v>1</v>
      </c>
      <c r="BW273">
        <v>1</v>
      </c>
      <c r="BX273">
        <v>1</v>
      </c>
      <c r="BY273" t="s">
        <v>6</v>
      </c>
      <c r="BZ273">
        <v>80</v>
      </c>
      <c r="CA273">
        <v>60</v>
      </c>
      <c r="CE273">
        <v>0</v>
      </c>
      <c r="CF273">
        <v>0</v>
      </c>
      <c r="CG273">
        <v>0</v>
      </c>
      <c r="CM273">
        <v>0</v>
      </c>
      <c r="CN273" t="s">
        <v>6</v>
      </c>
      <c r="CO273">
        <v>0</v>
      </c>
      <c r="CP273">
        <f t="shared" si="273"/>
        <v>30.39</v>
      </c>
      <c r="CQ273">
        <f t="shared" si="274"/>
        <v>0.60389999999999999</v>
      </c>
      <c r="CR273">
        <f t="shared" si="275"/>
        <v>0</v>
      </c>
      <c r="CS273">
        <f t="shared" si="276"/>
        <v>0</v>
      </c>
      <c r="CT273">
        <f t="shared" si="277"/>
        <v>29.792400000000004</v>
      </c>
      <c r="CU273">
        <f t="shared" si="278"/>
        <v>0</v>
      </c>
      <c r="CV273">
        <f t="shared" si="279"/>
        <v>0.4</v>
      </c>
      <c r="CW273">
        <f t="shared" si="280"/>
        <v>0</v>
      </c>
      <c r="CX273">
        <f t="shared" si="281"/>
        <v>0</v>
      </c>
      <c r="CY273">
        <f t="shared" si="282"/>
        <v>23.831999999999997</v>
      </c>
      <c r="CZ273">
        <f t="shared" si="283"/>
        <v>17.873999999999999</v>
      </c>
      <c r="DC273" t="s">
        <v>6</v>
      </c>
      <c r="DD273" t="s">
        <v>6</v>
      </c>
      <c r="DE273" t="s">
        <v>6</v>
      </c>
      <c r="DF273" t="s">
        <v>6</v>
      </c>
      <c r="DG273" t="s">
        <v>6</v>
      </c>
      <c r="DH273" t="s">
        <v>6</v>
      </c>
      <c r="DI273" t="s">
        <v>6</v>
      </c>
      <c r="DJ273" t="s">
        <v>6</v>
      </c>
      <c r="DK273" t="s">
        <v>6</v>
      </c>
      <c r="DL273" t="s">
        <v>6</v>
      </c>
      <c r="DM273" t="s">
        <v>6</v>
      </c>
      <c r="DN273">
        <v>0</v>
      </c>
      <c r="DO273">
        <v>0</v>
      </c>
      <c r="DP273">
        <v>1</v>
      </c>
      <c r="DQ273">
        <v>1</v>
      </c>
      <c r="DU273">
        <v>1013</v>
      </c>
      <c r="DV273" t="s">
        <v>484</v>
      </c>
      <c r="DW273" t="s">
        <v>484</v>
      </c>
      <c r="DX273">
        <v>1</v>
      </c>
      <c r="EE273">
        <v>16510373</v>
      </c>
      <c r="EF273">
        <v>3</v>
      </c>
      <c r="EG273" t="s">
        <v>472</v>
      </c>
      <c r="EH273">
        <v>0</v>
      </c>
      <c r="EI273" t="s">
        <v>6</v>
      </c>
      <c r="EJ273">
        <v>2</v>
      </c>
      <c r="EK273">
        <v>110001</v>
      </c>
      <c r="EL273" t="s">
        <v>687</v>
      </c>
      <c r="EM273" t="s">
        <v>512</v>
      </c>
      <c r="EO273" t="s">
        <v>6</v>
      </c>
      <c r="EQ273">
        <v>131072</v>
      </c>
      <c r="ER273">
        <v>4.53</v>
      </c>
      <c r="ES273">
        <v>0.09</v>
      </c>
      <c r="ET273">
        <v>0</v>
      </c>
      <c r="EU273">
        <v>0</v>
      </c>
      <c r="EV273">
        <v>4.4400000000000004</v>
      </c>
      <c r="EW273">
        <v>0.4</v>
      </c>
      <c r="EX273">
        <v>0</v>
      </c>
      <c r="EY273">
        <v>0</v>
      </c>
      <c r="FQ273">
        <v>0</v>
      </c>
      <c r="FR273">
        <f t="shared" si="284"/>
        <v>0</v>
      </c>
      <c r="FS273">
        <v>0</v>
      </c>
      <c r="FX273">
        <v>80</v>
      </c>
      <c r="FY273">
        <v>60</v>
      </c>
      <c r="GA273" t="s">
        <v>6</v>
      </c>
      <c r="GD273">
        <v>0</v>
      </c>
      <c r="GF273">
        <v>-1346137888</v>
      </c>
      <c r="GG273">
        <v>1</v>
      </c>
      <c r="GH273">
        <v>1</v>
      </c>
      <c r="GI273">
        <v>4</v>
      </c>
      <c r="GJ273">
        <v>0</v>
      </c>
      <c r="GK273">
        <f>ROUND(R273*(R12)/100,2)</f>
        <v>0</v>
      </c>
      <c r="GL273">
        <f t="shared" si="285"/>
        <v>0</v>
      </c>
      <c r="GM273">
        <f t="shared" si="286"/>
        <v>72.09</v>
      </c>
      <c r="GN273">
        <f t="shared" si="287"/>
        <v>0</v>
      </c>
      <c r="GO273">
        <f t="shared" si="288"/>
        <v>72.09</v>
      </c>
      <c r="GP273">
        <f t="shared" si="289"/>
        <v>0</v>
      </c>
      <c r="GR273">
        <v>0</v>
      </c>
      <c r="GS273">
        <v>3</v>
      </c>
      <c r="GT273">
        <v>0</v>
      </c>
      <c r="GU273" t="s">
        <v>6</v>
      </c>
      <c r="GV273">
        <f t="shared" si="290"/>
        <v>0</v>
      </c>
      <c r="GW273">
        <v>1</v>
      </c>
      <c r="GX273">
        <f t="shared" si="291"/>
        <v>0</v>
      </c>
      <c r="HA273">
        <v>0</v>
      </c>
      <c r="HB273">
        <v>0</v>
      </c>
      <c r="HC273">
        <f t="shared" si="292"/>
        <v>0</v>
      </c>
      <c r="IK273">
        <v>0</v>
      </c>
    </row>
    <row r="275" spans="1:245" x14ac:dyDescent="0.2">
      <c r="A275" s="2">
        <v>51</v>
      </c>
      <c r="B275" s="2">
        <f>B260</f>
        <v>1</v>
      </c>
      <c r="C275" s="2">
        <f>A260</f>
        <v>4</v>
      </c>
      <c r="D275" s="2">
        <f>ROW(A260)</f>
        <v>260</v>
      </c>
      <c r="E275" s="2"/>
      <c r="F275" s="2" t="str">
        <f>IF(F260&lt;&gt;"",F260,"")</f>
        <v>Новый раздел</v>
      </c>
      <c r="G275" s="2" t="str">
        <f>IF(G260&lt;&gt;"",G260,"")</f>
        <v>4 АПС</v>
      </c>
      <c r="H275" s="2">
        <v>0</v>
      </c>
      <c r="I275" s="2"/>
      <c r="J275" s="2"/>
      <c r="K275" s="2"/>
      <c r="L275" s="2"/>
      <c r="M275" s="2"/>
      <c r="N275" s="2"/>
      <c r="O275" s="2">
        <f t="shared" ref="O275:T275" si="299">ROUND(AB275,2)</f>
        <v>15772.37</v>
      </c>
      <c r="P275" s="2">
        <f t="shared" si="299"/>
        <v>12644.06</v>
      </c>
      <c r="Q275" s="2">
        <f t="shared" si="299"/>
        <v>31.44</v>
      </c>
      <c r="R275" s="2">
        <f t="shared" si="299"/>
        <v>4.43</v>
      </c>
      <c r="S275" s="2">
        <f t="shared" si="299"/>
        <v>3096.87</v>
      </c>
      <c r="T275" s="2">
        <f t="shared" si="299"/>
        <v>0</v>
      </c>
      <c r="U275" s="2">
        <f>AH275</f>
        <v>48.866800000000005</v>
      </c>
      <c r="V275" s="2">
        <f>AI275</f>
        <v>5.2800000000000007E-2</v>
      </c>
      <c r="W275" s="2">
        <f>ROUND(AJ275,2)</f>
        <v>0</v>
      </c>
      <c r="X275" s="2">
        <f>ROUND(AK275,2)</f>
        <v>2734.41</v>
      </c>
      <c r="Y275" s="2">
        <f>ROUND(AL275,2)</f>
        <v>1945.23</v>
      </c>
      <c r="Z275" s="2"/>
      <c r="AA275" s="2"/>
      <c r="AB275" s="2">
        <f>ROUND(SUMIF(AA264:AA273,"=16812721",O264:O273),2)</f>
        <v>15772.37</v>
      </c>
      <c r="AC275" s="2">
        <f>ROUND(SUMIF(AA264:AA273,"=16812721",P264:P273),2)</f>
        <v>12644.06</v>
      </c>
      <c r="AD275" s="2">
        <f>ROUND(SUMIF(AA264:AA273,"=16812721",Q264:Q273),2)</f>
        <v>31.44</v>
      </c>
      <c r="AE275" s="2">
        <f>ROUND(SUMIF(AA264:AA273,"=16812721",R264:R273),2)</f>
        <v>4.43</v>
      </c>
      <c r="AF275" s="2">
        <f>ROUND(SUMIF(AA264:AA273,"=16812721",S264:S273),2)</f>
        <v>3096.87</v>
      </c>
      <c r="AG275" s="2">
        <f>ROUND(SUMIF(AA264:AA273,"=16812721",T264:T273),2)</f>
        <v>0</v>
      </c>
      <c r="AH275" s="2">
        <f>SUMIF(AA264:AA273,"=16812721",U264:U273)</f>
        <v>48.866800000000005</v>
      </c>
      <c r="AI275" s="2">
        <f>SUMIF(AA264:AA273,"=16812721",V264:V273)</f>
        <v>5.2800000000000007E-2</v>
      </c>
      <c r="AJ275" s="2">
        <f>ROUND(SUMIF(AA264:AA273,"=16812721",W264:W273),2)</f>
        <v>0</v>
      </c>
      <c r="AK275" s="2">
        <f>ROUND(SUMIF(AA264:AA273,"=16812721",X264:X273),2)</f>
        <v>2734.41</v>
      </c>
      <c r="AL275" s="2">
        <f>ROUND(SUMIF(AA264:AA273,"=16812721",Y264:Y273),2)</f>
        <v>1945.23</v>
      </c>
      <c r="AM275" s="2"/>
      <c r="AN275" s="2"/>
      <c r="AO275" s="2">
        <f t="shared" ref="AO275:BC275" si="300">ROUND(BX275,2)</f>
        <v>0</v>
      </c>
      <c r="AP275" s="2">
        <f t="shared" si="300"/>
        <v>0</v>
      </c>
      <c r="AQ275" s="2">
        <f t="shared" si="300"/>
        <v>0</v>
      </c>
      <c r="AR275" s="2">
        <f t="shared" si="300"/>
        <v>20452.009999999998</v>
      </c>
      <c r="AS275" s="2">
        <f t="shared" si="300"/>
        <v>0</v>
      </c>
      <c r="AT275" s="2">
        <f t="shared" si="300"/>
        <v>20452.009999999998</v>
      </c>
      <c r="AU275" s="2">
        <f t="shared" si="300"/>
        <v>0</v>
      </c>
      <c r="AV275" s="2">
        <f t="shared" si="300"/>
        <v>12644.06</v>
      </c>
      <c r="AW275" s="2">
        <f t="shared" si="300"/>
        <v>12644.06</v>
      </c>
      <c r="AX275" s="2">
        <f t="shared" si="300"/>
        <v>0</v>
      </c>
      <c r="AY275" s="2">
        <f t="shared" si="300"/>
        <v>12644.06</v>
      </c>
      <c r="AZ275" s="2">
        <f t="shared" si="300"/>
        <v>0</v>
      </c>
      <c r="BA275" s="2">
        <f t="shared" si="300"/>
        <v>0</v>
      </c>
      <c r="BB275" s="2">
        <f t="shared" si="300"/>
        <v>0</v>
      </c>
      <c r="BC275" s="2">
        <f t="shared" si="300"/>
        <v>0</v>
      </c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>
        <f>ROUND(SUMIF(AA264:AA273,"=16812721",FQ264:FQ273),2)</f>
        <v>0</v>
      </c>
      <c r="BY275" s="2">
        <f>ROUND(SUMIF(AA264:AA273,"=16812721",FR264:FR273),2)</f>
        <v>0</v>
      </c>
      <c r="BZ275" s="2">
        <f>ROUND(SUMIF(AA264:AA273,"=16812721",GL264:GL273),2)</f>
        <v>0</v>
      </c>
      <c r="CA275" s="2">
        <f>ROUND(SUMIF(AA264:AA273,"=16812721",GM264:GM273),2)</f>
        <v>20452.009999999998</v>
      </c>
      <c r="CB275" s="2">
        <f>ROUND(SUMIF(AA264:AA273,"=16812721",GN264:GN273),2)</f>
        <v>0</v>
      </c>
      <c r="CC275" s="2">
        <f>ROUND(SUMIF(AA264:AA273,"=16812721",GO264:GO273),2)</f>
        <v>20452.009999999998</v>
      </c>
      <c r="CD275" s="2">
        <f>ROUND(SUMIF(AA264:AA273,"=16812721",GP264:GP273),2)</f>
        <v>0</v>
      </c>
      <c r="CE275" s="2">
        <f>AC275-BX275</f>
        <v>12644.06</v>
      </c>
      <c r="CF275" s="2">
        <f>AC275-BY275</f>
        <v>12644.06</v>
      </c>
      <c r="CG275" s="2">
        <f>BX275-BZ275</f>
        <v>0</v>
      </c>
      <c r="CH275" s="2">
        <f>AC275-BX275-BY275+BZ275</f>
        <v>12644.06</v>
      </c>
      <c r="CI275" s="2">
        <f>BY275-BZ275</f>
        <v>0</v>
      </c>
      <c r="CJ275" s="2">
        <f>ROUND(SUMIF(AA264:AA273,"=16812721",GX264:GX273),2)</f>
        <v>0</v>
      </c>
      <c r="CK275" s="2">
        <f>ROUND(SUMIF(AA264:AA273,"=16812721",GY264:GY273),2)</f>
        <v>0</v>
      </c>
      <c r="CL275" s="2">
        <f>ROUND(SUMIF(AA264:AA273,"=16812721",GZ264:GZ273),2)</f>
        <v>0</v>
      </c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3"/>
      <c r="EF275" s="3"/>
      <c r="EG275" s="3"/>
      <c r="EH275" s="3"/>
      <c r="EI275" s="3"/>
      <c r="EJ275" s="3"/>
      <c r="EK275" s="3"/>
      <c r="EL275" s="3"/>
      <c r="EM275" s="3"/>
      <c r="EN275" s="3"/>
      <c r="EO275" s="3"/>
      <c r="EP275" s="3"/>
      <c r="EQ275" s="3"/>
      <c r="ER275" s="3"/>
      <c r="ES275" s="3"/>
      <c r="ET275" s="3"/>
      <c r="EU275" s="3"/>
      <c r="EV275" s="3"/>
      <c r="EW275" s="3"/>
      <c r="EX275" s="3"/>
      <c r="EY275" s="3"/>
      <c r="EZ275" s="3"/>
      <c r="FA275" s="3"/>
      <c r="FB275" s="3"/>
      <c r="FC275" s="3"/>
      <c r="FD275" s="3"/>
      <c r="FE275" s="3"/>
      <c r="FF275" s="3"/>
      <c r="FG275" s="3"/>
      <c r="FH275" s="3"/>
      <c r="FI275" s="3"/>
      <c r="FJ275" s="3"/>
      <c r="FK275" s="3"/>
      <c r="FL275" s="3"/>
      <c r="FM275" s="3"/>
      <c r="FN275" s="3"/>
      <c r="FO275" s="3"/>
      <c r="FP275" s="3"/>
      <c r="FQ275" s="3"/>
      <c r="FR275" s="3"/>
      <c r="FS275" s="3"/>
      <c r="FT275" s="3"/>
      <c r="FU275" s="3"/>
      <c r="FV275" s="3"/>
      <c r="FW275" s="3"/>
      <c r="FX275" s="3"/>
      <c r="FY275" s="3"/>
      <c r="FZ275" s="3"/>
      <c r="GA275" s="3"/>
      <c r="GB275" s="3"/>
      <c r="GC275" s="3"/>
      <c r="GD275" s="3"/>
      <c r="GE275" s="3"/>
      <c r="GF275" s="3"/>
      <c r="GG275" s="3"/>
      <c r="GH275" s="3"/>
      <c r="GI275" s="3"/>
      <c r="GJ275" s="3"/>
      <c r="GK275" s="3"/>
      <c r="GL275" s="3"/>
      <c r="GM275" s="3"/>
      <c r="GN275" s="3"/>
      <c r="GO275" s="3"/>
      <c r="GP275" s="3"/>
      <c r="GQ275" s="3"/>
      <c r="GR275" s="3"/>
      <c r="GS275" s="3"/>
      <c r="GT275" s="3"/>
      <c r="GU275" s="3"/>
      <c r="GV275" s="3"/>
      <c r="GW275" s="3"/>
      <c r="GX275" s="3">
        <v>0</v>
      </c>
    </row>
    <row r="277" spans="1:245" x14ac:dyDescent="0.2">
      <c r="A277" s="4">
        <v>50</v>
      </c>
      <c r="B277" s="4">
        <v>0</v>
      </c>
      <c r="C277" s="4">
        <v>0</v>
      </c>
      <c r="D277" s="4">
        <v>1</v>
      </c>
      <c r="E277" s="4">
        <v>201</v>
      </c>
      <c r="F277" s="4">
        <f>ROUND(Source!O275,O277)</f>
        <v>15772.37</v>
      </c>
      <c r="G277" s="4" t="s">
        <v>361</v>
      </c>
      <c r="H277" s="4" t="s">
        <v>362</v>
      </c>
      <c r="I277" s="4"/>
      <c r="J277" s="4"/>
      <c r="K277" s="4">
        <v>201</v>
      </c>
      <c r="L277" s="4">
        <v>1</v>
      </c>
      <c r="M277" s="4">
        <v>3</v>
      </c>
      <c r="N277" s="4" t="s">
        <v>6</v>
      </c>
      <c r="O277" s="4">
        <v>2</v>
      </c>
      <c r="P277" s="4"/>
      <c r="Q277" s="4"/>
      <c r="R277" s="4"/>
      <c r="S277" s="4"/>
      <c r="T277" s="4"/>
      <c r="U277" s="4"/>
      <c r="V277" s="4"/>
      <c r="W277" s="4"/>
    </row>
    <row r="278" spans="1:245" x14ac:dyDescent="0.2">
      <c r="A278" s="4">
        <v>50</v>
      </c>
      <c r="B278" s="4">
        <v>0</v>
      </c>
      <c r="C278" s="4">
        <v>0</v>
      </c>
      <c r="D278" s="4">
        <v>1</v>
      </c>
      <c r="E278" s="4">
        <v>202</v>
      </c>
      <c r="F278" s="4">
        <f>ROUND(Source!P275,O278)</f>
        <v>12644.06</v>
      </c>
      <c r="G278" s="4" t="s">
        <v>363</v>
      </c>
      <c r="H278" s="4" t="s">
        <v>364</v>
      </c>
      <c r="I278" s="4"/>
      <c r="J278" s="4"/>
      <c r="K278" s="4">
        <v>202</v>
      </c>
      <c r="L278" s="4">
        <v>2</v>
      </c>
      <c r="M278" s="4">
        <v>3</v>
      </c>
      <c r="N278" s="4" t="s">
        <v>6</v>
      </c>
      <c r="O278" s="4">
        <v>2</v>
      </c>
      <c r="P278" s="4"/>
      <c r="Q278" s="4"/>
      <c r="R278" s="4"/>
      <c r="S278" s="4"/>
      <c r="T278" s="4"/>
      <c r="U278" s="4"/>
      <c r="V278" s="4"/>
      <c r="W278" s="4"/>
    </row>
    <row r="279" spans="1:245" x14ac:dyDescent="0.2">
      <c r="A279" s="4">
        <v>50</v>
      </c>
      <c r="B279" s="4">
        <v>0</v>
      </c>
      <c r="C279" s="4">
        <v>0</v>
      </c>
      <c r="D279" s="4">
        <v>1</v>
      </c>
      <c r="E279" s="4">
        <v>222</v>
      </c>
      <c r="F279" s="4">
        <f>ROUND(Source!AO275,O279)</f>
        <v>0</v>
      </c>
      <c r="G279" s="4" t="s">
        <v>365</v>
      </c>
      <c r="H279" s="4" t="s">
        <v>366</v>
      </c>
      <c r="I279" s="4"/>
      <c r="J279" s="4"/>
      <c r="K279" s="4">
        <v>222</v>
      </c>
      <c r="L279" s="4">
        <v>3</v>
      </c>
      <c r="M279" s="4">
        <v>3</v>
      </c>
      <c r="N279" s="4" t="s">
        <v>6</v>
      </c>
      <c r="O279" s="4">
        <v>2</v>
      </c>
      <c r="P279" s="4"/>
      <c r="Q279" s="4"/>
      <c r="R279" s="4"/>
      <c r="S279" s="4"/>
      <c r="T279" s="4"/>
      <c r="U279" s="4"/>
      <c r="V279" s="4"/>
      <c r="W279" s="4"/>
    </row>
    <row r="280" spans="1:245" x14ac:dyDescent="0.2">
      <c r="A280" s="4">
        <v>50</v>
      </c>
      <c r="B280" s="4">
        <v>0</v>
      </c>
      <c r="C280" s="4">
        <v>0</v>
      </c>
      <c r="D280" s="4">
        <v>1</v>
      </c>
      <c r="E280" s="4">
        <v>225</v>
      </c>
      <c r="F280" s="4">
        <f>ROUND(Source!AV275,O280)</f>
        <v>12644.06</v>
      </c>
      <c r="G280" s="4" t="s">
        <v>367</v>
      </c>
      <c r="H280" s="4" t="s">
        <v>368</v>
      </c>
      <c r="I280" s="4"/>
      <c r="J280" s="4"/>
      <c r="K280" s="4">
        <v>225</v>
      </c>
      <c r="L280" s="4">
        <v>4</v>
      </c>
      <c r="M280" s="4">
        <v>3</v>
      </c>
      <c r="N280" s="4" t="s">
        <v>6</v>
      </c>
      <c r="O280" s="4">
        <v>2</v>
      </c>
      <c r="P280" s="4"/>
      <c r="Q280" s="4"/>
      <c r="R280" s="4"/>
      <c r="S280" s="4"/>
      <c r="T280" s="4"/>
      <c r="U280" s="4"/>
      <c r="V280" s="4"/>
      <c r="W280" s="4"/>
    </row>
    <row r="281" spans="1:245" x14ac:dyDescent="0.2">
      <c r="A281" s="4">
        <v>50</v>
      </c>
      <c r="B281" s="4">
        <v>0</v>
      </c>
      <c r="C281" s="4">
        <v>0</v>
      </c>
      <c r="D281" s="4">
        <v>1</v>
      </c>
      <c r="E281" s="4">
        <v>226</v>
      </c>
      <c r="F281" s="4">
        <f>ROUND(Source!AW275,O281)</f>
        <v>12644.06</v>
      </c>
      <c r="G281" s="4" t="s">
        <v>369</v>
      </c>
      <c r="H281" s="4" t="s">
        <v>370</v>
      </c>
      <c r="I281" s="4"/>
      <c r="J281" s="4"/>
      <c r="K281" s="4">
        <v>226</v>
      </c>
      <c r="L281" s="4">
        <v>5</v>
      </c>
      <c r="M281" s="4">
        <v>3</v>
      </c>
      <c r="N281" s="4" t="s">
        <v>6</v>
      </c>
      <c r="O281" s="4">
        <v>2</v>
      </c>
      <c r="P281" s="4"/>
      <c r="Q281" s="4"/>
      <c r="R281" s="4"/>
      <c r="S281" s="4"/>
      <c r="T281" s="4"/>
      <c r="U281" s="4"/>
      <c r="V281" s="4"/>
      <c r="W281" s="4"/>
    </row>
    <row r="282" spans="1:245" x14ac:dyDescent="0.2">
      <c r="A282" s="4">
        <v>50</v>
      </c>
      <c r="B282" s="4">
        <v>0</v>
      </c>
      <c r="C282" s="4">
        <v>0</v>
      </c>
      <c r="D282" s="4">
        <v>1</v>
      </c>
      <c r="E282" s="4">
        <v>227</v>
      </c>
      <c r="F282" s="4">
        <f>ROUND(Source!AX275,O282)</f>
        <v>0</v>
      </c>
      <c r="G282" s="4" t="s">
        <v>371</v>
      </c>
      <c r="H282" s="4" t="s">
        <v>372</v>
      </c>
      <c r="I282" s="4"/>
      <c r="J282" s="4"/>
      <c r="K282" s="4">
        <v>227</v>
      </c>
      <c r="L282" s="4">
        <v>6</v>
      </c>
      <c r="M282" s="4">
        <v>3</v>
      </c>
      <c r="N282" s="4" t="s">
        <v>6</v>
      </c>
      <c r="O282" s="4">
        <v>2</v>
      </c>
      <c r="P282" s="4"/>
      <c r="Q282" s="4"/>
      <c r="R282" s="4"/>
      <c r="S282" s="4"/>
      <c r="T282" s="4"/>
      <c r="U282" s="4"/>
      <c r="V282" s="4"/>
      <c r="W282" s="4"/>
    </row>
    <row r="283" spans="1:245" x14ac:dyDescent="0.2">
      <c r="A283" s="4">
        <v>50</v>
      </c>
      <c r="B283" s="4">
        <v>0</v>
      </c>
      <c r="C283" s="4">
        <v>0</v>
      </c>
      <c r="D283" s="4">
        <v>1</v>
      </c>
      <c r="E283" s="4">
        <v>228</v>
      </c>
      <c r="F283" s="4">
        <f>ROUND(Source!AY275,O283)</f>
        <v>12644.06</v>
      </c>
      <c r="G283" s="4" t="s">
        <v>373</v>
      </c>
      <c r="H283" s="4" t="s">
        <v>374</v>
      </c>
      <c r="I283" s="4"/>
      <c r="J283" s="4"/>
      <c r="K283" s="4">
        <v>228</v>
      </c>
      <c r="L283" s="4">
        <v>7</v>
      </c>
      <c r="M283" s="4">
        <v>3</v>
      </c>
      <c r="N283" s="4" t="s">
        <v>6</v>
      </c>
      <c r="O283" s="4">
        <v>2</v>
      </c>
      <c r="P283" s="4"/>
      <c r="Q283" s="4"/>
      <c r="R283" s="4"/>
      <c r="S283" s="4"/>
      <c r="T283" s="4"/>
      <c r="U283" s="4"/>
      <c r="V283" s="4"/>
      <c r="W283" s="4"/>
    </row>
    <row r="284" spans="1:245" x14ac:dyDescent="0.2">
      <c r="A284" s="4">
        <v>50</v>
      </c>
      <c r="B284" s="4">
        <v>0</v>
      </c>
      <c r="C284" s="4">
        <v>0</v>
      </c>
      <c r="D284" s="4">
        <v>1</v>
      </c>
      <c r="E284" s="4">
        <v>216</v>
      </c>
      <c r="F284" s="4">
        <f>ROUND(Source!AP275,O284)</f>
        <v>0</v>
      </c>
      <c r="G284" s="4" t="s">
        <v>375</v>
      </c>
      <c r="H284" s="4" t="s">
        <v>376</v>
      </c>
      <c r="I284" s="4"/>
      <c r="J284" s="4"/>
      <c r="K284" s="4">
        <v>216</v>
      </c>
      <c r="L284" s="4">
        <v>8</v>
      </c>
      <c r="M284" s="4">
        <v>3</v>
      </c>
      <c r="N284" s="4" t="s">
        <v>6</v>
      </c>
      <c r="O284" s="4">
        <v>2</v>
      </c>
      <c r="P284" s="4"/>
      <c r="Q284" s="4"/>
      <c r="R284" s="4"/>
      <c r="S284" s="4"/>
      <c r="T284" s="4"/>
      <c r="U284" s="4"/>
      <c r="V284" s="4"/>
      <c r="W284" s="4"/>
    </row>
    <row r="285" spans="1:245" x14ac:dyDescent="0.2">
      <c r="A285" s="4">
        <v>50</v>
      </c>
      <c r="B285" s="4">
        <v>0</v>
      </c>
      <c r="C285" s="4">
        <v>0</v>
      </c>
      <c r="D285" s="4">
        <v>1</v>
      </c>
      <c r="E285" s="4">
        <v>223</v>
      </c>
      <c r="F285" s="4">
        <f>ROUND(Source!AQ275,O285)</f>
        <v>0</v>
      </c>
      <c r="G285" s="4" t="s">
        <v>377</v>
      </c>
      <c r="H285" s="4" t="s">
        <v>378</v>
      </c>
      <c r="I285" s="4"/>
      <c r="J285" s="4"/>
      <c r="K285" s="4">
        <v>223</v>
      </c>
      <c r="L285" s="4">
        <v>9</v>
      </c>
      <c r="M285" s="4">
        <v>3</v>
      </c>
      <c r="N285" s="4" t="s">
        <v>6</v>
      </c>
      <c r="O285" s="4">
        <v>2</v>
      </c>
      <c r="P285" s="4"/>
      <c r="Q285" s="4"/>
      <c r="R285" s="4"/>
      <c r="S285" s="4"/>
      <c r="T285" s="4"/>
      <c r="U285" s="4"/>
      <c r="V285" s="4"/>
      <c r="W285" s="4"/>
    </row>
    <row r="286" spans="1:245" x14ac:dyDescent="0.2">
      <c r="A286" s="4">
        <v>50</v>
      </c>
      <c r="B286" s="4">
        <v>0</v>
      </c>
      <c r="C286" s="4">
        <v>0</v>
      </c>
      <c r="D286" s="4">
        <v>1</v>
      </c>
      <c r="E286" s="4">
        <v>229</v>
      </c>
      <c r="F286" s="4">
        <f>ROUND(Source!AZ275,O286)</f>
        <v>0</v>
      </c>
      <c r="G286" s="4" t="s">
        <v>379</v>
      </c>
      <c r="H286" s="4" t="s">
        <v>380</v>
      </c>
      <c r="I286" s="4"/>
      <c r="J286" s="4"/>
      <c r="K286" s="4">
        <v>229</v>
      </c>
      <c r="L286" s="4">
        <v>10</v>
      </c>
      <c r="M286" s="4">
        <v>3</v>
      </c>
      <c r="N286" s="4" t="s">
        <v>6</v>
      </c>
      <c r="O286" s="4">
        <v>2</v>
      </c>
      <c r="P286" s="4"/>
      <c r="Q286" s="4"/>
      <c r="R286" s="4"/>
      <c r="S286" s="4"/>
      <c r="T286" s="4"/>
      <c r="U286" s="4"/>
      <c r="V286" s="4"/>
      <c r="W286" s="4"/>
    </row>
    <row r="287" spans="1:245" x14ac:dyDescent="0.2">
      <c r="A287" s="4">
        <v>50</v>
      </c>
      <c r="B287" s="4">
        <v>0</v>
      </c>
      <c r="C287" s="4">
        <v>0</v>
      </c>
      <c r="D287" s="4">
        <v>1</v>
      </c>
      <c r="E287" s="4">
        <v>203</v>
      </c>
      <c r="F287" s="4">
        <f>ROUND(Source!Q275,O287)</f>
        <v>31.44</v>
      </c>
      <c r="G287" s="4" t="s">
        <v>381</v>
      </c>
      <c r="H287" s="4" t="s">
        <v>382</v>
      </c>
      <c r="I287" s="4"/>
      <c r="J287" s="4"/>
      <c r="K287" s="4">
        <v>203</v>
      </c>
      <c r="L287" s="4">
        <v>11</v>
      </c>
      <c r="M287" s="4">
        <v>3</v>
      </c>
      <c r="N287" s="4" t="s">
        <v>6</v>
      </c>
      <c r="O287" s="4">
        <v>2</v>
      </c>
      <c r="P287" s="4"/>
      <c r="Q287" s="4"/>
      <c r="R287" s="4"/>
      <c r="S287" s="4"/>
      <c r="T287" s="4"/>
      <c r="U287" s="4"/>
      <c r="V287" s="4"/>
      <c r="W287" s="4"/>
    </row>
    <row r="288" spans="1:245" x14ac:dyDescent="0.2">
      <c r="A288" s="4">
        <v>50</v>
      </c>
      <c r="B288" s="4">
        <v>0</v>
      </c>
      <c r="C288" s="4">
        <v>0</v>
      </c>
      <c r="D288" s="4">
        <v>1</v>
      </c>
      <c r="E288" s="4">
        <v>231</v>
      </c>
      <c r="F288" s="4">
        <f>ROUND(Source!BB275,O288)</f>
        <v>0</v>
      </c>
      <c r="G288" s="4" t="s">
        <v>383</v>
      </c>
      <c r="H288" s="4" t="s">
        <v>384</v>
      </c>
      <c r="I288" s="4"/>
      <c r="J288" s="4"/>
      <c r="K288" s="4">
        <v>231</v>
      </c>
      <c r="L288" s="4">
        <v>12</v>
      </c>
      <c r="M288" s="4">
        <v>3</v>
      </c>
      <c r="N288" s="4" t="s">
        <v>6</v>
      </c>
      <c r="O288" s="4">
        <v>2</v>
      </c>
      <c r="P288" s="4"/>
      <c r="Q288" s="4"/>
      <c r="R288" s="4"/>
      <c r="S288" s="4"/>
      <c r="T288" s="4"/>
      <c r="U288" s="4"/>
      <c r="V288" s="4"/>
      <c r="W288" s="4"/>
    </row>
    <row r="289" spans="1:88" x14ac:dyDescent="0.2">
      <c r="A289" s="4">
        <v>50</v>
      </c>
      <c r="B289" s="4">
        <v>0</v>
      </c>
      <c r="C289" s="4">
        <v>0</v>
      </c>
      <c r="D289" s="4">
        <v>1</v>
      </c>
      <c r="E289" s="4">
        <v>204</v>
      </c>
      <c r="F289" s="4">
        <f>ROUND(Source!R275,O289)</f>
        <v>4.43</v>
      </c>
      <c r="G289" s="4" t="s">
        <v>385</v>
      </c>
      <c r="H289" s="4" t="s">
        <v>386</v>
      </c>
      <c r="I289" s="4"/>
      <c r="J289" s="4"/>
      <c r="K289" s="4">
        <v>204</v>
      </c>
      <c r="L289" s="4">
        <v>13</v>
      </c>
      <c r="M289" s="4">
        <v>3</v>
      </c>
      <c r="N289" s="4" t="s">
        <v>6</v>
      </c>
      <c r="O289" s="4">
        <v>2</v>
      </c>
      <c r="P289" s="4"/>
      <c r="Q289" s="4"/>
      <c r="R289" s="4"/>
      <c r="S289" s="4"/>
      <c r="T289" s="4"/>
      <c r="U289" s="4"/>
      <c r="V289" s="4"/>
      <c r="W289" s="4"/>
    </row>
    <row r="290" spans="1:88" x14ac:dyDescent="0.2">
      <c r="A290" s="4">
        <v>50</v>
      </c>
      <c r="B290" s="4">
        <v>0</v>
      </c>
      <c r="C290" s="4">
        <v>0</v>
      </c>
      <c r="D290" s="4">
        <v>1</v>
      </c>
      <c r="E290" s="4">
        <v>205</v>
      </c>
      <c r="F290" s="4">
        <f>ROUND(Source!S275,O290)</f>
        <v>3096.87</v>
      </c>
      <c r="G290" s="4" t="s">
        <v>387</v>
      </c>
      <c r="H290" s="4" t="s">
        <v>388</v>
      </c>
      <c r="I290" s="4"/>
      <c r="J290" s="4"/>
      <c r="K290" s="4">
        <v>205</v>
      </c>
      <c r="L290" s="4">
        <v>14</v>
      </c>
      <c r="M290" s="4">
        <v>3</v>
      </c>
      <c r="N290" s="4" t="s">
        <v>6</v>
      </c>
      <c r="O290" s="4">
        <v>2</v>
      </c>
      <c r="P290" s="4"/>
      <c r="Q290" s="4"/>
      <c r="R290" s="4"/>
      <c r="S290" s="4"/>
      <c r="T290" s="4"/>
      <c r="U290" s="4"/>
      <c r="V290" s="4"/>
      <c r="W290" s="4"/>
    </row>
    <row r="291" spans="1:88" x14ac:dyDescent="0.2">
      <c r="A291" s="4">
        <v>50</v>
      </c>
      <c r="B291" s="4">
        <v>0</v>
      </c>
      <c r="C291" s="4">
        <v>0</v>
      </c>
      <c r="D291" s="4">
        <v>1</v>
      </c>
      <c r="E291" s="4">
        <v>232</v>
      </c>
      <c r="F291" s="4">
        <f>ROUND(Source!BC275,O291)</f>
        <v>0</v>
      </c>
      <c r="G291" s="4" t="s">
        <v>389</v>
      </c>
      <c r="H291" s="4" t="s">
        <v>390</v>
      </c>
      <c r="I291" s="4"/>
      <c r="J291" s="4"/>
      <c r="K291" s="4">
        <v>232</v>
      </c>
      <c r="L291" s="4">
        <v>15</v>
      </c>
      <c r="M291" s="4">
        <v>3</v>
      </c>
      <c r="N291" s="4" t="s">
        <v>6</v>
      </c>
      <c r="O291" s="4">
        <v>2</v>
      </c>
      <c r="P291" s="4"/>
      <c r="Q291" s="4"/>
      <c r="R291" s="4"/>
      <c r="S291" s="4"/>
      <c r="T291" s="4"/>
      <c r="U291" s="4"/>
      <c r="V291" s="4"/>
      <c r="W291" s="4"/>
    </row>
    <row r="292" spans="1:88" x14ac:dyDescent="0.2">
      <c r="A292" s="4">
        <v>50</v>
      </c>
      <c r="B292" s="4">
        <v>0</v>
      </c>
      <c r="C292" s="4">
        <v>0</v>
      </c>
      <c r="D292" s="4">
        <v>1</v>
      </c>
      <c r="E292" s="4">
        <v>214</v>
      </c>
      <c r="F292" s="4">
        <f>ROUND(Source!AS275,O292)</f>
        <v>0</v>
      </c>
      <c r="G292" s="4" t="s">
        <v>391</v>
      </c>
      <c r="H292" s="4" t="s">
        <v>392</v>
      </c>
      <c r="I292" s="4"/>
      <c r="J292" s="4"/>
      <c r="K292" s="4">
        <v>214</v>
      </c>
      <c r="L292" s="4">
        <v>16</v>
      </c>
      <c r="M292" s="4">
        <v>3</v>
      </c>
      <c r="N292" s="4" t="s">
        <v>6</v>
      </c>
      <c r="O292" s="4">
        <v>2</v>
      </c>
      <c r="P292" s="4"/>
      <c r="Q292" s="4"/>
      <c r="R292" s="4"/>
      <c r="S292" s="4"/>
      <c r="T292" s="4"/>
      <c r="U292" s="4"/>
      <c r="V292" s="4"/>
      <c r="W292" s="4"/>
    </row>
    <row r="293" spans="1:88" x14ac:dyDescent="0.2">
      <c r="A293" s="4">
        <v>50</v>
      </c>
      <c r="B293" s="4">
        <v>0</v>
      </c>
      <c r="C293" s="4">
        <v>0</v>
      </c>
      <c r="D293" s="4">
        <v>1</v>
      </c>
      <c r="E293" s="4">
        <v>215</v>
      </c>
      <c r="F293" s="4">
        <f>ROUND(Source!AT275,O293)</f>
        <v>20452.009999999998</v>
      </c>
      <c r="G293" s="4" t="s">
        <v>393</v>
      </c>
      <c r="H293" s="4" t="s">
        <v>394</v>
      </c>
      <c r="I293" s="4"/>
      <c r="J293" s="4"/>
      <c r="K293" s="4">
        <v>215</v>
      </c>
      <c r="L293" s="4">
        <v>17</v>
      </c>
      <c r="M293" s="4">
        <v>3</v>
      </c>
      <c r="N293" s="4" t="s">
        <v>6</v>
      </c>
      <c r="O293" s="4">
        <v>2</v>
      </c>
      <c r="P293" s="4"/>
      <c r="Q293" s="4"/>
      <c r="R293" s="4"/>
      <c r="S293" s="4"/>
      <c r="T293" s="4"/>
      <c r="U293" s="4"/>
      <c r="V293" s="4"/>
      <c r="W293" s="4"/>
    </row>
    <row r="294" spans="1:88" x14ac:dyDescent="0.2">
      <c r="A294" s="4">
        <v>50</v>
      </c>
      <c r="B294" s="4">
        <v>0</v>
      </c>
      <c r="C294" s="4">
        <v>0</v>
      </c>
      <c r="D294" s="4">
        <v>1</v>
      </c>
      <c r="E294" s="4">
        <v>217</v>
      </c>
      <c r="F294" s="4">
        <f>ROUND(Source!AU275,O294)</f>
        <v>0</v>
      </c>
      <c r="G294" s="4" t="s">
        <v>395</v>
      </c>
      <c r="H294" s="4" t="s">
        <v>396</v>
      </c>
      <c r="I294" s="4"/>
      <c r="J294" s="4"/>
      <c r="K294" s="4">
        <v>217</v>
      </c>
      <c r="L294" s="4">
        <v>18</v>
      </c>
      <c r="M294" s="4">
        <v>3</v>
      </c>
      <c r="N294" s="4" t="s">
        <v>6</v>
      </c>
      <c r="O294" s="4">
        <v>2</v>
      </c>
      <c r="P294" s="4"/>
      <c r="Q294" s="4"/>
      <c r="R294" s="4"/>
      <c r="S294" s="4"/>
      <c r="T294" s="4"/>
      <c r="U294" s="4"/>
      <c r="V294" s="4"/>
      <c r="W294" s="4"/>
    </row>
    <row r="295" spans="1:88" x14ac:dyDescent="0.2">
      <c r="A295" s="4">
        <v>50</v>
      </c>
      <c r="B295" s="4">
        <v>0</v>
      </c>
      <c r="C295" s="4">
        <v>0</v>
      </c>
      <c r="D295" s="4">
        <v>1</v>
      </c>
      <c r="E295" s="4">
        <v>230</v>
      </c>
      <c r="F295" s="4">
        <f>ROUND(Source!BA275,O295)</f>
        <v>0</v>
      </c>
      <c r="G295" s="4" t="s">
        <v>397</v>
      </c>
      <c r="H295" s="4" t="s">
        <v>398</v>
      </c>
      <c r="I295" s="4"/>
      <c r="J295" s="4"/>
      <c r="K295" s="4">
        <v>230</v>
      </c>
      <c r="L295" s="4">
        <v>19</v>
      </c>
      <c r="M295" s="4">
        <v>3</v>
      </c>
      <c r="N295" s="4" t="s">
        <v>6</v>
      </c>
      <c r="O295" s="4">
        <v>2</v>
      </c>
      <c r="P295" s="4"/>
      <c r="Q295" s="4"/>
      <c r="R295" s="4"/>
      <c r="S295" s="4"/>
      <c r="T295" s="4"/>
      <c r="U295" s="4"/>
      <c r="V295" s="4"/>
      <c r="W295" s="4"/>
    </row>
    <row r="296" spans="1:88" x14ac:dyDescent="0.2">
      <c r="A296" s="4">
        <v>50</v>
      </c>
      <c r="B296" s="4">
        <v>0</v>
      </c>
      <c r="C296" s="4">
        <v>0</v>
      </c>
      <c r="D296" s="4">
        <v>1</v>
      </c>
      <c r="E296" s="4">
        <v>206</v>
      </c>
      <c r="F296" s="4">
        <f>ROUND(Source!T275,O296)</f>
        <v>0</v>
      </c>
      <c r="G296" s="4" t="s">
        <v>399</v>
      </c>
      <c r="H296" s="4" t="s">
        <v>400</v>
      </c>
      <c r="I296" s="4"/>
      <c r="J296" s="4"/>
      <c r="K296" s="4">
        <v>206</v>
      </c>
      <c r="L296" s="4">
        <v>20</v>
      </c>
      <c r="M296" s="4">
        <v>3</v>
      </c>
      <c r="N296" s="4" t="s">
        <v>6</v>
      </c>
      <c r="O296" s="4">
        <v>2</v>
      </c>
      <c r="P296" s="4"/>
      <c r="Q296" s="4"/>
      <c r="R296" s="4"/>
      <c r="S296" s="4"/>
      <c r="T296" s="4"/>
      <c r="U296" s="4"/>
      <c r="V296" s="4"/>
      <c r="W296" s="4"/>
    </row>
    <row r="297" spans="1:88" x14ac:dyDescent="0.2">
      <c r="A297" s="4">
        <v>50</v>
      </c>
      <c r="B297" s="4">
        <v>0</v>
      </c>
      <c r="C297" s="4">
        <v>0</v>
      </c>
      <c r="D297" s="4">
        <v>1</v>
      </c>
      <c r="E297" s="4">
        <v>207</v>
      </c>
      <c r="F297" s="4">
        <f>Source!U275</f>
        <v>48.866800000000005</v>
      </c>
      <c r="G297" s="4" t="s">
        <v>401</v>
      </c>
      <c r="H297" s="4" t="s">
        <v>402</v>
      </c>
      <c r="I297" s="4"/>
      <c r="J297" s="4"/>
      <c r="K297" s="4">
        <v>207</v>
      </c>
      <c r="L297" s="4">
        <v>21</v>
      </c>
      <c r="M297" s="4">
        <v>3</v>
      </c>
      <c r="N297" s="4" t="s">
        <v>6</v>
      </c>
      <c r="O297" s="4">
        <v>-1</v>
      </c>
      <c r="P297" s="4"/>
      <c r="Q297" s="4"/>
      <c r="R297" s="4"/>
      <c r="S297" s="4"/>
      <c r="T297" s="4"/>
      <c r="U297" s="4"/>
      <c r="V297" s="4"/>
      <c r="W297" s="4"/>
    </row>
    <row r="298" spans="1:88" x14ac:dyDescent="0.2">
      <c r="A298" s="4">
        <v>50</v>
      </c>
      <c r="B298" s="4">
        <v>0</v>
      </c>
      <c r="C298" s="4">
        <v>0</v>
      </c>
      <c r="D298" s="4">
        <v>1</v>
      </c>
      <c r="E298" s="4">
        <v>208</v>
      </c>
      <c r="F298" s="4">
        <f>Source!V275</f>
        <v>5.2800000000000007E-2</v>
      </c>
      <c r="G298" s="4" t="s">
        <v>403</v>
      </c>
      <c r="H298" s="4" t="s">
        <v>404</v>
      </c>
      <c r="I298" s="4"/>
      <c r="J298" s="4"/>
      <c r="K298" s="4">
        <v>208</v>
      </c>
      <c r="L298" s="4">
        <v>22</v>
      </c>
      <c r="M298" s="4">
        <v>3</v>
      </c>
      <c r="N298" s="4" t="s">
        <v>6</v>
      </c>
      <c r="O298" s="4">
        <v>-1</v>
      </c>
      <c r="P298" s="4"/>
      <c r="Q298" s="4"/>
      <c r="R298" s="4"/>
      <c r="S298" s="4"/>
      <c r="T298" s="4"/>
      <c r="U298" s="4"/>
      <c r="V298" s="4"/>
      <c r="W298" s="4"/>
    </row>
    <row r="299" spans="1:88" x14ac:dyDescent="0.2">
      <c r="A299" s="4">
        <v>50</v>
      </c>
      <c r="B299" s="4">
        <v>0</v>
      </c>
      <c r="C299" s="4">
        <v>0</v>
      </c>
      <c r="D299" s="4">
        <v>1</v>
      </c>
      <c r="E299" s="4">
        <v>209</v>
      </c>
      <c r="F299" s="4">
        <f>ROUND(Source!W275,O299)</f>
        <v>0</v>
      </c>
      <c r="G299" s="4" t="s">
        <v>405</v>
      </c>
      <c r="H299" s="4" t="s">
        <v>406</v>
      </c>
      <c r="I299" s="4"/>
      <c r="J299" s="4"/>
      <c r="K299" s="4">
        <v>209</v>
      </c>
      <c r="L299" s="4">
        <v>23</v>
      </c>
      <c r="M299" s="4">
        <v>3</v>
      </c>
      <c r="N299" s="4" t="s">
        <v>6</v>
      </c>
      <c r="O299" s="4">
        <v>2</v>
      </c>
      <c r="P299" s="4"/>
      <c r="Q299" s="4"/>
      <c r="R299" s="4"/>
      <c r="S299" s="4"/>
      <c r="T299" s="4"/>
      <c r="U299" s="4"/>
      <c r="V299" s="4"/>
      <c r="W299" s="4"/>
    </row>
    <row r="300" spans="1:88" x14ac:dyDescent="0.2">
      <c r="A300" s="4">
        <v>50</v>
      </c>
      <c r="B300" s="4">
        <v>0</v>
      </c>
      <c r="C300" s="4">
        <v>0</v>
      </c>
      <c r="D300" s="4">
        <v>1</v>
      </c>
      <c r="E300" s="4">
        <v>210</v>
      </c>
      <c r="F300" s="4">
        <f>ROUND(Source!X275,O300)</f>
        <v>2734.41</v>
      </c>
      <c r="G300" s="4" t="s">
        <v>407</v>
      </c>
      <c r="H300" s="4" t="s">
        <v>408</v>
      </c>
      <c r="I300" s="4"/>
      <c r="J300" s="4"/>
      <c r="K300" s="4">
        <v>210</v>
      </c>
      <c r="L300" s="4">
        <v>24</v>
      </c>
      <c r="M300" s="4">
        <v>3</v>
      </c>
      <c r="N300" s="4" t="s">
        <v>6</v>
      </c>
      <c r="O300" s="4">
        <v>2</v>
      </c>
      <c r="P300" s="4"/>
      <c r="Q300" s="4"/>
      <c r="R300" s="4"/>
      <c r="S300" s="4"/>
      <c r="T300" s="4"/>
      <c r="U300" s="4"/>
      <c r="V300" s="4"/>
      <c r="W300" s="4"/>
    </row>
    <row r="301" spans="1:88" x14ac:dyDescent="0.2">
      <c r="A301" s="4">
        <v>50</v>
      </c>
      <c r="B301" s="4">
        <v>0</v>
      </c>
      <c r="C301" s="4">
        <v>0</v>
      </c>
      <c r="D301" s="4">
        <v>1</v>
      </c>
      <c r="E301" s="4">
        <v>211</v>
      </c>
      <c r="F301" s="4">
        <f>ROUND(Source!Y275,O301)</f>
        <v>1945.23</v>
      </c>
      <c r="G301" s="4" t="s">
        <v>409</v>
      </c>
      <c r="H301" s="4" t="s">
        <v>410</v>
      </c>
      <c r="I301" s="4"/>
      <c r="J301" s="4"/>
      <c r="K301" s="4">
        <v>211</v>
      </c>
      <c r="L301" s="4">
        <v>25</v>
      </c>
      <c r="M301" s="4">
        <v>3</v>
      </c>
      <c r="N301" s="4" t="s">
        <v>6</v>
      </c>
      <c r="O301" s="4">
        <v>2</v>
      </c>
      <c r="P301" s="4"/>
      <c r="Q301" s="4"/>
      <c r="R301" s="4"/>
      <c r="S301" s="4"/>
      <c r="T301" s="4"/>
      <c r="U301" s="4"/>
      <c r="V301" s="4"/>
      <c r="W301" s="4"/>
    </row>
    <row r="302" spans="1:88" x14ac:dyDescent="0.2">
      <c r="A302" s="4">
        <v>50</v>
      </c>
      <c r="B302" s="4">
        <v>0</v>
      </c>
      <c r="C302" s="4">
        <v>0</v>
      </c>
      <c r="D302" s="4">
        <v>1</v>
      </c>
      <c r="E302" s="4">
        <v>224</v>
      </c>
      <c r="F302" s="4">
        <f>ROUND(Source!AR275,O302)</f>
        <v>20452.009999999998</v>
      </c>
      <c r="G302" s="4" t="s">
        <v>411</v>
      </c>
      <c r="H302" s="4" t="s">
        <v>412</v>
      </c>
      <c r="I302" s="4"/>
      <c r="J302" s="4"/>
      <c r="K302" s="4">
        <v>224</v>
      </c>
      <c r="L302" s="4">
        <v>26</v>
      </c>
      <c r="M302" s="4">
        <v>3</v>
      </c>
      <c r="N302" s="4" t="s">
        <v>6</v>
      </c>
      <c r="O302" s="4">
        <v>2</v>
      </c>
      <c r="P302" s="4"/>
      <c r="Q302" s="4"/>
      <c r="R302" s="4"/>
      <c r="S302" s="4"/>
      <c r="T302" s="4"/>
      <c r="U302" s="4"/>
      <c r="V302" s="4"/>
      <c r="W302" s="4"/>
    </row>
    <row r="304" spans="1:88" x14ac:dyDescent="0.2">
      <c r="A304" s="1">
        <v>4</v>
      </c>
      <c r="B304" s="1">
        <v>1</v>
      </c>
      <c r="C304" s="1"/>
      <c r="D304" s="1">
        <f>ROW(A319)</f>
        <v>319</v>
      </c>
      <c r="E304" s="1"/>
      <c r="F304" s="1" t="s">
        <v>13</v>
      </c>
      <c r="G304" s="1" t="s">
        <v>688</v>
      </c>
      <c r="H304" s="1" t="s">
        <v>6</v>
      </c>
      <c r="I304" s="1">
        <v>0</v>
      </c>
      <c r="J304" s="1"/>
      <c r="K304" s="1">
        <v>0</v>
      </c>
      <c r="L304" s="1"/>
      <c r="M304" s="1"/>
      <c r="N304" s="1"/>
      <c r="O304" s="1"/>
      <c r="P304" s="1"/>
      <c r="Q304" s="1"/>
      <c r="R304" s="1"/>
      <c r="S304" s="1"/>
      <c r="T304" s="1"/>
      <c r="U304" s="1" t="s">
        <v>6</v>
      </c>
      <c r="V304" s="1">
        <v>0</v>
      </c>
      <c r="W304" s="1"/>
      <c r="X304" s="1"/>
      <c r="Y304" s="1"/>
      <c r="Z304" s="1"/>
      <c r="AA304" s="1"/>
      <c r="AB304" s="1" t="s">
        <v>6</v>
      </c>
      <c r="AC304" s="1" t="s">
        <v>6</v>
      </c>
      <c r="AD304" s="1" t="s">
        <v>6</v>
      </c>
      <c r="AE304" s="1" t="s">
        <v>6</v>
      </c>
      <c r="AF304" s="1" t="s">
        <v>6</v>
      </c>
      <c r="AG304" s="1" t="s">
        <v>6</v>
      </c>
      <c r="AH304" s="1"/>
      <c r="AI304" s="1"/>
      <c r="AJ304" s="1"/>
      <c r="AK304" s="1"/>
      <c r="AL304" s="1"/>
      <c r="AM304" s="1"/>
      <c r="AN304" s="1"/>
      <c r="AO304" s="1"/>
      <c r="AP304" s="1" t="s">
        <v>6</v>
      </c>
      <c r="AQ304" s="1" t="s">
        <v>6</v>
      </c>
      <c r="AR304" s="1" t="s">
        <v>6</v>
      </c>
      <c r="AS304" s="1"/>
      <c r="AT304" s="1"/>
      <c r="AU304" s="1"/>
      <c r="AV304" s="1"/>
      <c r="AW304" s="1"/>
      <c r="AX304" s="1"/>
      <c r="AY304" s="1"/>
      <c r="AZ304" s="1" t="s">
        <v>6</v>
      </c>
      <c r="BA304" s="1"/>
      <c r="BB304" s="1" t="s">
        <v>6</v>
      </c>
      <c r="BC304" s="1" t="s">
        <v>6</v>
      </c>
      <c r="BD304" s="1" t="s">
        <v>6</v>
      </c>
      <c r="BE304" s="1" t="s">
        <v>6</v>
      </c>
      <c r="BF304" s="1" t="s">
        <v>6</v>
      </c>
      <c r="BG304" s="1" t="s">
        <v>6</v>
      </c>
      <c r="BH304" s="1" t="s">
        <v>6</v>
      </c>
      <c r="BI304" s="1" t="s">
        <v>6</v>
      </c>
      <c r="BJ304" s="1" t="s">
        <v>6</v>
      </c>
      <c r="BK304" s="1" t="s">
        <v>6</v>
      </c>
      <c r="BL304" s="1" t="s">
        <v>6</v>
      </c>
      <c r="BM304" s="1" t="s">
        <v>6</v>
      </c>
      <c r="BN304" s="1" t="s">
        <v>6</v>
      </c>
      <c r="BO304" s="1" t="s">
        <v>6</v>
      </c>
      <c r="BP304" s="1" t="s">
        <v>6</v>
      </c>
      <c r="BQ304" s="1"/>
      <c r="BR304" s="1"/>
      <c r="BS304" s="1"/>
      <c r="BT304" s="1"/>
      <c r="BU304" s="1"/>
      <c r="BV304" s="1"/>
      <c r="BW304" s="1"/>
      <c r="BX304" s="1">
        <v>0</v>
      </c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>
        <v>0</v>
      </c>
    </row>
    <row r="306" spans="1:245" x14ac:dyDescent="0.2">
      <c r="A306" s="2">
        <v>52</v>
      </c>
      <c r="B306" s="2">
        <f t="shared" ref="B306:G306" si="301">B319</f>
        <v>1</v>
      </c>
      <c r="C306" s="2">
        <f t="shared" si="301"/>
        <v>4</v>
      </c>
      <c r="D306" s="2">
        <f t="shared" si="301"/>
        <v>304</v>
      </c>
      <c r="E306" s="2">
        <f t="shared" si="301"/>
        <v>0</v>
      </c>
      <c r="F306" s="2" t="str">
        <f t="shared" si="301"/>
        <v>Новый раздел</v>
      </c>
      <c r="G306" s="2" t="str">
        <f t="shared" si="301"/>
        <v>Сети СКС</v>
      </c>
      <c r="H306" s="2"/>
      <c r="I306" s="2"/>
      <c r="J306" s="2"/>
      <c r="K306" s="2"/>
      <c r="L306" s="2"/>
      <c r="M306" s="2"/>
      <c r="N306" s="2"/>
      <c r="O306" s="2">
        <f t="shared" ref="O306:AT306" si="302">O319</f>
        <v>89228.76</v>
      </c>
      <c r="P306" s="2">
        <f t="shared" si="302"/>
        <v>80337</v>
      </c>
      <c r="Q306" s="2">
        <f t="shared" si="302"/>
        <v>487.52</v>
      </c>
      <c r="R306" s="2">
        <f t="shared" si="302"/>
        <v>68.62</v>
      </c>
      <c r="S306" s="2">
        <f t="shared" si="302"/>
        <v>8404.24</v>
      </c>
      <c r="T306" s="2">
        <f t="shared" si="302"/>
        <v>0</v>
      </c>
      <c r="U306" s="2">
        <f t="shared" si="302"/>
        <v>133.26599999999999</v>
      </c>
      <c r="V306" s="2">
        <f t="shared" si="302"/>
        <v>0.81759999999999999</v>
      </c>
      <c r="W306" s="2">
        <f t="shared" si="302"/>
        <v>0</v>
      </c>
      <c r="X306" s="2">
        <f t="shared" si="302"/>
        <v>8018.8</v>
      </c>
      <c r="Y306" s="2">
        <f t="shared" si="302"/>
        <v>5480.51</v>
      </c>
      <c r="Z306" s="2">
        <f t="shared" si="302"/>
        <v>0</v>
      </c>
      <c r="AA306" s="2">
        <f t="shared" si="302"/>
        <v>0</v>
      </c>
      <c r="AB306" s="2">
        <f t="shared" si="302"/>
        <v>89228.76</v>
      </c>
      <c r="AC306" s="2">
        <f t="shared" si="302"/>
        <v>80337</v>
      </c>
      <c r="AD306" s="2">
        <f t="shared" si="302"/>
        <v>487.52</v>
      </c>
      <c r="AE306" s="2">
        <f t="shared" si="302"/>
        <v>68.62</v>
      </c>
      <c r="AF306" s="2">
        <f t="shared" si="302"/>
        <v>8404.24</v>
      </c>
      <c r="AG306" s="2">
        <f t="shared" si="302"/>
        <v>0</v>
      </c>
      <c r="AH306" s="2">
        <f t="shared" si="302"/>
        <v>133.26599999999999</v>
      </c>
      <c r="AI306" s="2">
        <f t="shared" si="302"/>
        <v>0.81759999999999999</v>
      </c>
      <c r="AJ306" s="2">
        <f t="shared" si="302"/>
        <v>0</v>
      </c>
      <c r="AK306" s="2">
        <f t="shared" si="302"/>
        <v>8018.8</v>
      </c>
      <c r="AL306" s="2">
        <f t="shared" si="302"/>
        <v>5480.51</v>
      </c>
      <c r="AM306" s="2">
        <f t="shared" si="302"/>
        <v>0</v>
      </c>
      <c r="AN306" s="2">
        <f t="shared" si="302"/>
        <v>0</v>
      </c>
      <c r="AO306" s="2">
        <f t="shared" si="302"/>
        <v>0</v>
      </c>
      <c r="AP306" s="2">
        <f t="shared" si="302"/>
        <v>0</v>
      </c>
      <c r="AQ306" s="2">
        <f t="shared" si="302"/>
        <v>0</v>
      </c>
      <c r="AR306" s="2">
        <f t="shared" si="302"/>
        <v>102728.07</v>
      </c>
      <c r="AS306" s="2">
        <f t="shared" si="302"/>
        <v>408.12</v>
      </c>
      <c r="AT306" s="2">
        <f t="shared" si="302"/>
        <v>102319.95</v>
      </c>
      <c r="AU306" s="2">
        <f t="shared" ref="AU306:BZ306" si="303">AU319</f>
        <v>0</v>
      </c>
      <c r="AV306" s="2">
        <f t="shared" si="303"/>
        <v>80337</v>
      </c>
      <c r="AW306" s="2">
        <f t="shared" si="303"/>
        <v>80337</v>
      </c>
      <c r="AX306" s="2">
        <f t="shared" si="303"/>
        <v>0</v>
      </c>
      <c r="AY306" s="2">
        <f t="shared" si="303"/>
        <v>80337</v>
      </c>
      <c r="AZ306" s="2">
        <f t="shared" si="303"/>
        <v>0</v>
      </c>
      <c r="BA306" s="2">
        <f t="shared" si="303"/>
        <v>0</v>
      </c>
      <c r="BB306" s="2">
        <f t="shared" si="303"/>
        <v>0</v>
      </c>
      <c r="BC306" s="2">
        <f t="shared" si="303"/>
        <v>0</v>
      </c>
      <c r="BD306" s="2">
        <f t="shared" si="303"/>
        <v>0</v>
      </c>
      <c r="BE306" s="2">
        <f t="shared" si="303"/>
        <v>0</v>
      </c>
      <c r="BF306" s="2">
        <f t="shared" si="303"/>
        <v>0</v>
      </c>
      <c r="BG306" s="2">
        <f t="shared" si="303"/>
        <v>0</v>
      </c>
      <c r="BH306" s="2">
        <f t="shared" si="303"/>
        <v>0</v>
      </c>
      <c r="BI306" s="2">
        <f t="shared" si="303"/>
        <v>0</v>
      </c>
      <c r="BJ306" s="2">
        <f t="shared" si="303"/>
        <v>0</v>
      </c>
      <c r="BK306" s="2">
        <f t="shared" si="303"/>
        <v>0</v>
      </c>
      <c r="BL306" s="2">
        <f t="shared" si="303"/>
        <v>0</v>
      </c>
      <c r="BM306" s="2">
        <f t="shared" si="303"/>
        <v>0</v>
      </c>
      <c r="BN306" s="2">
        <f t="shared" si="303"/>
        <v>0</v>
      </c>
      <c r="BO306" s="2">
        <f t="shared" si="303"/>
        <v>0</v>
      </c>
      <c r="BP306" s="2">
        <f t="shared" si="303"/>
        <v>0</v>
      </c>
      <c r="BQ306" s="2">
        <f t="shared" si="303"/>
        <v>0</v>
      </c>
      <c r="BR306" s="2">
        <f t="shared" si="303"/>
        <v>0</v>
      </c>
      <c r="BS306" s="2">
        <f t="shared" si="303"/>
        <v>0</v>
      </c>
      <c r="BT306" s="2">
        <f t="shared" si="303"/>
        <v>0</v>
      </c>
      <c r="BU306" s="2">
        <f t="shared" si="303"/>
        <v>0</v>
      </c>
      <c r="BV306" s="2">
        <f t="shared" si="303"/>
        <v>0</v>
      </c>
      <c r="BW306" s="2">
        <f t="shared" si="303"/>
        <v>0</v>
      </c>
      <c r="BX306" s="2">
        <f t="shared" si="303"/>
        <v>0</v>
      </c>
      <c r="BY306" s="2">
        <f t="shared" si="303"/>
        <v>0</v>
      </c>
      <c r="BZ306" s="2">
        <f t="shared" si="303"/>
        <v>0</v>
      </c>
      <c r="CA306" s="2">
        <f t="shared" ref="CA306:DF306" si="304">CA319</f>
        <v>102728.07</v>
      </c>
      <c r="CB306" s="2">
        <f t="shared" si="304"/>
        <v>408.12</v>
      </c>
      <c r="CC306" s="2">
        <f t="shared" si="304"/>
        <v>102319.95</v>
      </c>
      <c r="CD306" s="2">
        <f t="shared" si="304"/>
        <v>0</v>
      </c>
      <c r="CE306" s="2">
        <f t="shared" si="304"/>
        <v>80337</v>
      </c>
      <c r="CF306" s="2">
        <f t="shared" si="304"/>
        <v>80337</v>
      </c>
      <c r="CG306" s="2">
        <f t="shared" si="304"/>
        <v>0</v>
      </c>
      <c r="CH306" s="2">
        <f t="shared" si="304"/>
        <v>80337</v>
      </c>
      <c r="CI306" s="2">
        <f t="shared" si="304"/>
        <v>0</v>
      </c>
      <c r="CJ306" s="2">
        <f t="shared" si="304"/>
        <v>0</v>
      </c>
      <c r="CK306" s="2">
        <f t="shared" si="304"/>
        <v>0</v>
      </c>
      <c r="CL306" s="2">
        <f t="shared" si="304"/>
        <v>0</v>
      </c>
      <c r="CM306" s="2">
        <f t="shared" si="304"/>
        <v>0</v>
      </c>
      <c r="CN306" s="2">
        <f t="shared" si="304"/>
        <v>0</v>
      </c>
      <c r="CO306" s="2">
        <f t="shared" si="304"/>
        <v>0</v>
      </c>
      <c r="CP306" s="2">
        <f t="shared" si="304"/>
        <v>0</v>
      </c>
      <c r="CQ306" s="2">
        <f t="shared" si="304"/>
        <v>0</v>
      </c>
      <c r="CR306" s="2">
        <f t="shared" si="304"/>
        <v>0</v>
      </c>
      <c r="CS306" s="2">
        <f t="shared" si="304"/>
        <v>0</v>
      </c>
      <c r="CT306" s="2">
        <f t="shared" si="304"/>
        <v>0</v>
      </c>
      <c r="CU306" s="2">
        <f t="shared" si="304"/>
        <v>0</v>
      </c>
      <c r="CV306" s="2">
        <f t="shared" si="304"/>
        <v>0</v>
      </c>
      <c r="CW306" s="2">
        <f t="shared" si="304"/>
        <v>0</v>
      </c>
      <c r="CX306" s="2">
        <f t="shared" si="304"/>
        <v>0</v>
      </c>
      <c r="CY306" s="2">
        <f t="shared" si="304"/>
        <v>0</v>
      </c>
      <c r="CZ306" s="2">
        <f t="shared" si="304"/>
        <v>0</v>
      </c>
      <c r="DA306" s="2">
        <f t="shared" si="304"/>
        <v>0</v>
      </c>
      <c r="DB306" s="2">
        <f t="shared" si="304"/>
        <v>0</v>
      </c>
      <c r="DC306" s="2">
        <f t="shared" si="304"/>
        <v>0</v>
      </c>
      <c r="DD306" s="2">
        <f t="shared" si="304"/>
        <v>0</v>
      </c>
      <c r="DE306" s="2">
        <f t="shared" si="304"/>
        <v>0</v>
      </c>
      <c r="DF306" s="2">
        <f t="shared" si="304"/>
        <v>0</v>
      </c>
      <c r="DG306" s="3">
        <f t="shared" ref="DG306:EL306" si="305">DG319</f>
        <v>0</v>
      </c>
      <c r="DH306" s="3">
        <f t="shared" si="305"/>
        <v>0</v>
      </c>
      <c r="DI306" s="3">
        <f t="shared" si="305"/>
        <v>0</v>
      </c>
      <c r="DJ306" s="3">
        <f t="shared" si="305"/>
        <v>0</v>
      </c>
      <c r="DK306" s="3">
        <f t="shared" si="305"/>
        <v>0</v>
      </c>
      <c r="DL306" s="3">
        <f t="shared" si="305"/>
        <v>0</v>
      </c>
      <c r="DM306" s="3">
        <f t="shared" si="305"/>
        <v>0</v>
      </c>
      <c r="DN306" s="3">
        <f t="shared" si="305"/>
        <v>0</v>
      </c>
      <c r="DO306" s="3">
        <f t="shared" si="305"/>
        <v>0</v>
      </c>
      <c r="DP306" s="3">
        <f t="shared" si="305"/>
        <v>0</v>
      </c>
      <c r="DQ306" s="3">
        <f t="shared" si="305"/>
        <v>0</v>
      </c>
      <c r="DR306" s="3">
        <f t="shared" si="305"/>
        <v>0</v>
      </c>
      <c r="DS306" s="3">
        <f t="shared" si="305"/>
        <v>0</v>
      </c>
      <c r="DT306" s="3">
        <f t="shared" si="305"/>
        <v>0</v>
      </c>
      <c r="DU306" s="3">
        <f t="shared" si="305"/>
        <v>0</v>
      </c>
      <c r="DV306" s="3">
        <f t="shared" si="305"/>
        <v>0</v>
      </c>
      <c r="DW306" s="3">
        <f t="shared" si="305"/>
        <v>0</v>
      </c>
      <c r="DX306" s="3">
        <f t="shared" si="305"/>
        <v>0</v>
      </c>
      <c r="DY306" s="3">
        <f t="shared" si="305"/>
        <v>0</v>
      </c>
      <c r="DZ306" s="3">
        <f t="shared" si="305"/>
        <v>0</v>
      </c>
      <c r="EA306" s="3">
        <f t="shared" si="305"/>
        <v>0</v>
      </c>
      <c r="EB306" s="3">
        <f t="shared" si="305"/>
        <v>0</v>
      </c>
      <c r="EC306" s="3">
        <f t="shared" si="305"/>
        <v>0</v>
      </c>
      <c r="ED306" s="3">
        <f t="shared" si="305"/>
        <v>0</v>
      </c>
      <c r="EE306" s="3">
        <f t="shared" si="305"/>
        <v>0</v>
      </c>
      <c r="EF306" s="3">
        <f t="shared" si="305"/>
        <v>0</v>
      </c>
      <c r="EG306" s="3">
        <f t="shared" si="305"/>
        <v>0</v>
      </c>
      <c r="EH306" s="3">
        <f t="shared" si="305"/>
        <v>0</v>
      </c>
      <c r="EI306" s="3">
        <f t="shared" si="305"/>
        <v>0</v>
      </c>
      <c r="EJ306" s="3">
        <f t="shared" si="305"/>
        <v>0</v>
      </c>
      <c r="EK306" s="3">
        <f t="shared" si="305"/>
        <v>0</v>
      </c>
      <c r="EL306" s="3">
        <f t="shared" si="305"/>
        <v>0</v>
      </c>
      <c r="EM306" s="3">
        <f t="shared" ref="EM306:FR306" si="306">EM319</f>
        <v>0</v>
      </c>
      <c r="EN306" s="3">
        <f t="shared" si="306"/>
        <v>0</v>
      </c>
      <c r="EO306" s="3">
        <f t="shared" si="306"/>
        <v>0</v>
      </c>
      <c r="EP306" s="3">
        <f t="shared" si="306"/>
        <v>0</v>
      </c>
      <c r="EQ306" s="3">
        <f t="shared" si="306"/>
        <v>0</v>
      </c>
      <c r="ER306" s="3">
        <f t="shared" si="306"/>
        <v>0</v>
      </c>
      <c r="ES306" s="3">
        <f t="shared" si="306"/>
        <v>0</v>
      </c>
      <c r="ET306" s="3">
        <f t="shared" si="306"/>
        <v>0</v>
      </c>
      <c r="EU306" s="3">
        <f t="shared" si="306"/>
        <v>0</v>
      </c>
      <c r="EV306" s="3">
        <f t="shared" si="306"/>
        <v>0</v>
      </c>
      <c r="EW306" s="3">
        <f t="shared" si="306"/>
        <v>0</v>
      </c>
      <c r="EX306" s="3">
        <f t="shared" si="306"/>
        <v>0</v>
      </c>
      <c r="EY306" s="3">
        <f t="shared" si="306"/>
        <v>0</v>
      </c>
      <c r="EZ306" s="3">
        <f t="shared" si="306"/>
        <v>0</v>
      </c>
      <c r="FA306" s="3">
        <f t="shared" si="306"/>
        <v>0</v>
      </c>
      <c r="FB306" s="3">
        <f t="shared" si="306"/>
        <v>0</v>
      </c>
      <c r="FC306" s="3">
        <f t="shared" si="306"/>
        <v>0</v>
      </c>
      <c r="FD306" s="3">
        <f t="shared" si="306"/>
        <v>0</v>
      </c>
      <c r="FE306" s="3">
        <f t="shared" si="306"/>
        <v>0</v>
      </c>
      <c r="FF306" s="3">
        <f t="shared" si="306"/>
        <v>0</v>
      </c>
      <c r="FG306" s="3">
        <f t="shared" si="306"/>
        <v>0</v>
      </c>
      <c r="FH306" s="3">
        <f t="shared" si="306"/>
        <v>0</v>
      </c>
      <c r="FI306" s="3">
        <f t="shared" si="306"/>
        <v>0</v>
      </c>
      <c r="FJ306" s="3">
        <f t="shared" si="306"/>
        <v>0</v>
      </c>
      <c r="FK306" s="3">
        <f t="shared" si="306"/>
        <v>0</v>
      </c>
      <c r="FL306" s="3">
        <f t="shared" si="306"/>
        <v>0</v>
      </c>
      <c r="FM306" s="3">
        <f t="shared" si="306"/>
        <v>0</v>
      </c>
      <c r="FN306" s="3">
        <f t="shared" si="306"/>
        <v>0</v>
      </c>
      <c r="FO306" s="3">
        <f t="shared" si="306"/>
        <v>0</v>
      </c>
      <c r="FP306" s="3">
        <f t="shared" si="306"/>
        <v>0</v>
      </c>
      <c r="FQ306" s="3">
        <f t="shared" si="306"/>
        <v>0</v>
      </c>
      <c r="FR306" s="3">
        <f t="shared" si="306"/>
        <v>0</v>
      </c>
      <c r="FS306" s="3">
        <f t="shared" ref="FS306:GX306" si="307">FS319</f>
        <v>0</v>
      </c>
      <c r="FT306" s="3">
        <f t="shared" si="307"/>
        <v>0</v>
      </c>
      <c r="FU306" s="3">
        <f t="shared" si="307"/>
        <v>0</v>
      </c>
      <c r="FV306" s="3">
        <f t="shared" si="307"/>
        <v>0</v>
      </c>
      <c r="FW306" s="3">
        <f t="shared" si="307"/>
        <v>0</v>
      </c>
      <c r="FX306" s="3">
        <f t="shared" si="307"/>
        <v>0</v>
      </c>
      <c r="FY306" s="3">
        <f t="shared" si="307"/>
        <v>0</v>
      </c>
      <c r="FZ306" s="3">
        <f t="shared" si="307"/>
        <v>0</v>
      </c>
      <c r="GA306" s="3">
        <f t="shared" si="307"/>
        <v>0</v>
      </c>
      <c r="GB306" s="3">
        <f t="shared" si="307"/>
        <v>0</v>
      </c>
      <c r="GC306" s="3">
        <f t="shared" si="307"/>
        <v>0</v>
      </c>
      <c r="GD306" s="3">
        <f t="shared" si="307"/>
        <v>0</v>
      </c>
      <c r="GE306" s="3">
        <f t="shared" si="307"/>
        <v>0</v>
      </c>
      <c r="GF306" s="3">
        <f t="shared" si="307"/>
        <v>0</v>
      </c>
      <c r="GG306" s="3">
        <f t="shared" si="307"/>
        <v>0</v>
      </c>
      <c r="GH306" s="3">
        <f t="shared" si="307"/>
        <v>0</v>
      </c>
      <c r="GI306" s="3">
        <f t="shared" si="307"/>
        <v>0</v>
      </c>
      <c r="GJ306" s="3">
        <f t="shared" si="307"/>
        <v>0</v>
      </c>
      <c r="GK306" s="3">
        <f t="shared" si="307"/>
        <v>0</v>
      </c>
      <c r="GL306" s="3">
        <f t="shared" si="307"/>
        <v>0</v>
      </c>
      <c r="GM306" s="3">
        <f t="shared" si="307"/>
        <v>0</v>
      </c>
      <c r="GN306" s="3">
        <f t="shared" si="307"/>
        <v>0</v>
      </c>
      <c r="GO306" s="3">
        <f t="shared" si="307"/>
        <v>0</v>
      </c>
      <c r="GP306" s="3">
        <f t="shared" si="307"/>
        <v>0</v>
      </c>
      <c r="GQ306" s="3">
        <f t="shared" si="307"/>
        <v>0</v>
      </c>
      <c r="GR306" s="3">
        <f t="shared" si="307"/>
        <v>0</v>
      </c>
      <c r="GS306" s="3">
        <f t="shared" si="307"/>
        <v>0</v>
      </c>
      <c r="GT306" s="3">
        <f t="shared" si="307"/>
        <v>0</v>
      </c>
      <c r="GU306" s="3">
        <f t="shared" si="307"/>
        <v>0</v>
      </c>
      <c r="GV306" s="3">
        <f t="shared" si="307"/>
        <v>0</v>
      </c>
      <c r="GW306" s="3">
        <f t="shared" si="307"/>
        <v>0</v>
      </c>
      <c r="GX306" s="3">
        <f t="shared" si="307"/>
        <v>0</v>
      </c>
    </row>
    <row r="308" spans="1:245" x14ac:dyDescent="0.2">
      <c r="A308">
        <v>17</v>
      </c>
      <c r="B308">
        <v>1</v>
      </c>
      <c r="C308">
        <f>ROW(SmtRes!A449)</f>
        <v>449</v>
      </c>
      <c r="D308">
        <f>ROW(EtalonRes!A421)</f>
        <v>421</v>
      </c>
      <c r="E308" t="s">
        <v>689</v>
      </c>
      <c r="F308" t="s">
        <v>527</v>
      </c>
      <c r="G308" t="s">
        <v>528</v>
      </c>
      <c r="H308" t="s">
        <v>39</v>
      </c>
      <c r="I308">
        <f>ROUND(60/100,9)</f>
        <v>0.6</v>
      </c>
      <c r="J308">
        <v>0</v>
      </c>
      <c r="O308">
        <f t="shared" ref="O308:O317" si="308">ROUND(CP308,2)</f>
        <v>629.39</v>
      </c>
      <c r="P308">
        <f t="shared" ref="P308:P317" si="309">ROUND(CQ308*I308,2)</f>
        <v>67.599999999999994</v>
      </c>
      <c r="Q308">
        <f t="shared" ref="Q308:Q317" si="310">ROUND(CR308*I308,2)</f>
        <v>0</v>
      </c>
      <c r="R308">
        <f t="shared" ref="R308:R317" si="311">ROUND(CS308*I308,2)</f>
        <v>0</v>
      </c>
      <c r="S308">
        <f t="shared" ref="S308:S317" si="312">ROUND(CT308*I308,2)</f>
        <v>561.79</v>
      </c>
      <c r="T308">
        <f t="shared" ref="T308:T317" si="313">ROUND(CU308*I308,2)</f>
        <v>0</v>
      </c>
      <c r="U308">
        <f t="shared" ref="U308:U317" si="314">CV308*I308</f>
        <v>9.1199999999999992</v>
      </c>
      <c r="V308">
        <f t="shared" ref="V308:V317" si="315">CW308*I308</f>
        <v>0</v>
      </c>
      <c r="W308">
        <f t="shared" ref="W308:W317" si="316">ROUND(CX308*I308,2)</f>
        <v>0</v>
      </c>
      <c r="X308">
        <f t="shared" ref="X308:X317" si="317">ROUND(CY308,2)</f>
        <v>533.70000000000005</v>
      </c>
      <c r="Y308">
        <f t="shared" ref="Y308:Y317" si="318">ROUND(CZ308,2)</f>
        <v>365.16</v>
      </c>
      <c r="AA308">
        <v>16812721</v>
      </c>
      <c r="AB308">
        <f t="shared" ref="AB308:AB317" si="319">ROUND((AC308+AD308+AF308),2)</f>
        <v>156.33000000000001</v>
      </c>
      <c r="AC308">
        <f t="shared" ref="AC308:AC317" si="320">ROUND((ES308),2)</f>
        <v>16.79</v>
      </c>
      <c r="AD308">
        <f t="shared" ref="AD308:AD317" si="321">ROUND((((ET308)-(EU308))+AE308),2)</f>
        <v>0</v>
      </c>
      <c r="AE308">
        <f t="shared" ref="AE308:AE317" si="322">ROUND((EU308),2)</f>
        <v>0</v>
      </c>
      <c r="AF308">
        <f t="shared" ref="AF308:AF317" si="323">ROUND((EV308),2)</f>
        <v>139.54</v>
      </c>
      <c r="AG308">
        <f t="shared" ref="AG308:AG317" si="324">ROUND((AP308),2)</f>
        <v>0</v>
      </c>
      <c r="AH308">
        <f t="shared" ref="AH308:AH317" si="325">(EW308)</f>
        <v>15.2</v>
      </c>
      <c r="AI308">
        <f t="shared" ref="AI308:AI317" si="326">(EX308)</f>
        <v>0</v>
      </c>
      <c r="AJ308">
        <f t="shared" ref="AJ308:AJ317" si="327">(AS308)</f>
        <v>0</v>
      </c>
      <c r="AK308">
        <v>156.33000000000001</v>
      </c>
      <c r="AL308">
        <v>16.79</v>
      </c>
      <c r="AM308">
        <v>0</v>
      </c>
      <c r="AN308">
        <v>0</v>
      </c>
      <c r="AO308">
        <v>139.54</v>
      </c>
      <c r="AP308">
        <v>0</v>
      </c>
      <c r="AQ308">
        <v>15.2</v>
      </c>
      <c r="AR308">
        <v>0</v>
      </c>
      <c r="AS308">
        <v>0</v>
      </c>
      <c r="AT308">
        <v>95</v>
      </c>
      <c r="AU308">
        <v>65</v>
      </c>
      <c r="AV308">
        <v>1</v>
      </c>
      <c r="AW308">
        <v>1</v>
      </c>
      <c r="AZ308">
        <v>6.71</v>
      </c>
      <c r="BA308">
        <v>6.71</v>
      </c>
      <c r="BB308">
        <v>6.71</v>
      </c>
      <c r="BC308">
        <v>6.71</v>
      </c>
      <c r="BD308" t="s">
        <v>6</v>
      </c>
      <c r="BE308" t="s">
        <v>6</v>
      </c>
      <c r="BF308" t="s">
        <v>6</v>
      </c>
      <c r="BG308" t="s">
        <v>6</v>
      </c>
      <c r="BH308">
        <v>0</v>
      </c>
      <c r="BI308">
        <v>2</v>
      </c>
      <c r="BJ308" t="s">
        <v>529</v>
      </c>
      <c r="BM308">
        <v>108001</v>
      </c>
      <c r="BN308">
        <v>0</v>
      </c>
      <c r="BO308" t="s">
        <v>6</v>
      </c>
      <c r="BP308">
        <v>0</v>
      </c>
      <c r="BQ308">
        <v>3</v>
      </c>
      <c r="BR308">
        <v>0</v>
      </c>
      <c r="BS308">
        <v>6.71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6</v>
      </c>
      <c r="BZ308">
        <v>95</v>
      </c>
      <c r="CA308">
        <v>65</v>
      </c>
      <c r="CE308">
        <v>0</v>
      </c>
      <c r="CF308">
        <v>0</v>
      </c>
      <c r="CG308">
        <v>0</v>
      </c>
      <c r="CM308">
        <v>0</v>
      </c>
      <c r="CN308" t="s">
        <v>6</v>
      </c>
      <c r="CO308">
        <v>0</v>
      </c>
      <c r="CP308">
        <f t="shared" ref="CP308:CP317" si="328">(P308+Q308+S308)</f>
        <v>629.39</v>
      </c>
      <c r="CQ308">
        <f t="shared" ref="CQ308:CQ317" si="329">AC308*BC308</f>
        <v>112.6609</v>
      </c>
      <c r="CR308">
        <f t="shared" ref="CR308:CR317" si="330">AD308*BB308</f>
        <v>0</v>
      </c>
      <c r="CS308">
        <f t="shared" ref="CS308:CS317" si="331">AE308*BS308</f>
        <v>0</v>
      </c>
      <c r="CT308">
        <f t="shared" ref="CT308:CT317" si="332">AF308*BA308</f>
        <v>936.31339999999989</v>
      </c>
      <c r="CU308">
        <f t="shared" ref="CU308:CU317" si="333">AG308</f>
        <v>0</v>
      </c>
      <c r="CV308">
        <f t="shared" ref="CV308:CV317" si="334">AH308</f>
        <v>15.2</v>
      </c>
      <c r="CW308">
        <f t="shared" ref="CW308:CW317" si="335">AI308</f>
        <v>0</v>
      </c>
      <c r="CX308">
        <f t="shared" ref="CX308:CX317" si="336">AJ308</f>
        <v>0</v>
      </c>
      <c r="CY308">
        <f t="shared" ref="CY308:CY317" si="337">(((S308+R308)*AT308)/100)</f>
        <v>533.70049999999992</v>
      </c>
      <c r="CZ308">
        <f t="shared" ref="CZ308:CZ317" si="338">(((S308+R308)*AU308)/100)</f>
        <v>365.1635</v>
      </c>
      <c r="DC308" t="s">
        <v>6</v>
      </c>
      <c r="DD308" t="s">
        <v>6</v>
      </c>
      <c r="DE308" t="s">
        <v>6</v>
      </c>
      <c r="DF308" t="s">
        <v>6</v>
      </c>
      <c r="DG308" t="s">
        <v>6</v>
      </c>
      <c r="DH308" t="s">
        <v>6</v>
      </c>
      <c r="DI308" t="s">
        <v>6</v>
      </c>
      <c r="DJ308" t="s">
        <v>6</v>
      </c>
      <c r="DK308" t="s">
        <v>6</v>
      </c>
      <c r="DL308" t="s">
        <v>6</v>
      </c>
      <c r="DM308" t="s">
        <v>6</v>
      </c>
      <c r="DN308">
        <v>0</v>
      </c>
      <c r="DO308">
        <v>0</v>
      </c>
      <c r="DP308">
        <v>1</v>
      </c>
      <c r="DQ308">
        <v>1</v>
      </c>
      <c r="DU308">
        <v>1003</v>
      </c>
      <c r="DV308" t="s">
        <v>39</v>
      </c>
      <c r="DW308" t="s">
        <v>39</v>
      </c>
      <c r="DX308">
        <v>100</v>
      </c>
      <c r="EE308">
        <v>16510370</v>
      </c>
      <c r="EF308">
        <v>3</v>
      </c>
      <c r="EG308" t="s">
        <v>472</v>
      </c>
      <c r="EH308">
        <v>0</v>
      </c>
      <c r="EI308" t="s">
        <v>6</v>
      </c>
      <c r="EJ308">
        <v>2</v>
      </c>
      <c r="EK308">
        <v>108001</v>
      </c>
      <c r="EL308" t="s">
        <v>473</v>
      </c>
      <c r="EM308" t="s">
        <v>474</v>
      </c>
      <c r="EO308" t="s">
        <v>6</v>
      </c>
      <c r="EQ308">
        <v>0</v>
      </c>
      <c r="ER308">
        <v>156.33000000000001</v>
      </c>
      <c r="ES308">
        <v>16.79</v>
      </c>
      <c r="ET308">
        <v>0</v>
      </c>
      <c r="EU308">
        <v>0</v>
      </c>
      <c r="EV308">
        <v>139.54</v>
      </c>
      <c r="EW308">
        <v>15.2</v>
      </c>
      <c r="EX308">
        <v>0</v>
      </c>
      <c r="EY308">
        <v>0</v>
      </c>
      <c r="FQ308">
        <v>0</v>
      </c>
      <c r="FR308">
        <f t="shared" ref="FR308:FR317" si="339">ROUND(IF(AND(BH308=3,BI308=3),P308,0),2)</f>
        <v>0</v>
      </c>
      <c r="FS308">
        <v>0</v>
      </c>
      <c r="FX308">
        <v>95</v>
      </c>
      <c r="FY308">
        <v>65</v>
      </c>
      <c r="GA308" t="s">
        <v>6</v>
      </c>
      <c r="GD308">
        <v>0</v>
      </c>
      <c r="GF308">
        <v>-596386547</v>
      </c>
      <c r="GG308">
        <v>1</v>
      </c>
      <c r="GH308">
        <v>1</v>
      </c>
      <c r="GI308">
        <v>4</v>
      </c>
      <c r="GJ308">
        <v>0</v>
      </c>
      <c r="GK308">
        <f>ROUND(R308*(R12)/100,2)</f>
        <v>0</v>
      </c>
      <c r="GL308">
        <f t="shared" ref="GL308:GL317" si="340">ROUND(IF(AND(BH308=3,BI308=3,FS308&lt;&gt;0),P308,0),2)</f>
        <v>0</v>
      </c>
      <c r="GM308">
        <f t="shared" ref="GM308:GM317" si="341">ROUND(O308+X308+Y308+GK308,2)+GX308</f>
        <v>1528.25</v>
      </c>
      <c r="GN308">
        <f t="shared" ref="GN308:GN317" si="342">IF(OR(BI308=0,BI308=1),ROUND(O308+X308+Y308+GK308,2),0)</f>
        <v>0</v>
      </c>
      <c r="GO308">
        <f t="shared" ref="GO308:GO317" si="343">IF(BI308=2,ROUND(O308+X308+Y308+GK308,2),0)</f>
        <v>1528.25</v>
      </c>
      <c r="GP308">
        <f t="shared" ref="GP308:GP317" si="344">IF(BI308=4,ROUND(O308+X308+Y308+GK308,2)+GX308,0)</f>
        <v>0</v>
      </c>
      <c r="GR308">
        <v>0</v>
      </c>
      <c r="GS308">
        <v>3</v>
      </c>
      <c r="GT308">
        <v>0</v>
      </c>
      <c r="GU308" t="s">
        <v>6</v>
      </c>
      <c r="GV308">
        <f t="shared" ref="GV308:GV317" si="345">ROUND((GT308),2)</f>
        <v>0</v>
      </c>
      <c r="GW308">
        <v>1</v>
      </c>
      <c r="GX308">
        <f t="shared" ref="GX308:GX317" si="346">ROUND(HC308*I308,2)</f>
        <v>0</v>
      </c>
      <c r="HA308">
        <v>0</v>
      </c>
      <c r="HB308">
        <v>0</v>
      </c>
      <c r="HC308">
        <f t="shared" ref="HC308:HC317" si="347">GV308*GW308</f>
        <v>0</v>
      </c>
      <c r="IK308">
        <v>0</v>
      </c>
    </row>
    <row r="309" spans="1:245" x14ac:dyDescent="0.2">
      <c r="A309">
        <v>18</v>
      </c>
      <c r="B309">
        <v>1</v>
      </c>
      <c r="C309">
        <v>448</v>
      </c>
      <c r="E309" t="s">
        <v>690</v>
      </c>
      <c r="F309" t="s">
        <v>691</v>
      </c>
      <c r="G309" t="s">
        <v>692</v>
      </c>
      <c r="H309" t="s">
        <v>505</v>
      </c>
      <c r="I309">
        <f>I308*J309</f>
        <v>6</v>
      </c>
      <c r="J309">
        <v>10</v>
      </c>
      <c r="O309">
        <f t="shared" si="308"/>
        <v>3901.19</v>
      </c>
      <c r="P309">
        <f t="shared" si="309"/>
        <v>3901.19</v>
      </c>
      <c r="Q309">
        <f t="shared" si="310"/>
        <v>0</v>
      </c>
      <c r="R309">
        <f t="shared" si="311"/>
        <v>0</v>
      </c>
      <c r="S309">
        <f t="shared" si="312"/>
        <v>0</v>
      </c>
      <c r="T309">
        <f t="shared" si="313"/>
        <v>0</v>
      </c>
      <c r="U309">
        <f t="shared" si="314"/>
        <v>0</v>
      </c>
      <c r="V309">
        <f t="shared" si="315"/>
        <v>0</v>
      </c>
      <c r="W309">
        <f t="shared" si="316"/>
        <v>0</v>
      </c>
      <c r="X309">
        <f t="shared" si="317"/>
        <v>0</v>
      </c>
      <c r="Y309">
        <f t="shared" si="318"/>
        <v>0</v>
      </c>
      <c r="AA309">
        <v>16812721</v>
      </c>
      <c r="AB309">
        <f t="shared" si="319"/>
        <v>96.9</v>
      </c>
      <c r="AC309">
        <f t="shared" si="320"/>
        <v>96.9</v>
      </c>
      <c r="AD309">
        <f t="shared" si="321"/>
        <v>0</v>
      </c>
      <c r="AE309">
        <f t="shared" si="322"/>
        <v>0</v>
      </c>
      <c r="AF309">
        <f t="shared" si="323"/>
        <v>0</v>
      </c>
      <c r="AG309">
        <f t="shared" si="324"/>
        <v>0</v>
      </c>
      <c r="AH309">
        <f t="shared" si="325"/>
        <v>0</v>
      </c>
      <c r="AI309">
        <f t="shared" si="326"/>
        <v>0</v>
      </c>
      <c r="AJ309">
        <f t="shared" si="327"/>
        <v>0</v>
      </c>
      <c r="AK309">
        <v>96.9</v>
      </c>
      <c r="AL309">
        <v>96.9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95</v>
      </c>
      <c r="AU309">
        <v>65</v>
      </c>
      <c r="AV309">
        <v>1</v>
      </c>
      <c r="AW309">
        <v>1</v>
      </c>
      <c r="AZ309">
        <v>6.71</v>
      </c>
      <c r="BA309">
        <v>1</v>
      </c>
      <c r="BB309">
        <v>1</v>
      </c>
      <c r="BC309">
        <v>6.71</v>
      </c>
      <c r="BD309" t="s">
        <v>6</v>
      </c>
      <c r="BE309" t="s">
        <v>6</v>
      </c>
      <c r="BF309" t="s">
        <v>6</v>
      </c>
      <c r="BG309" t="s">
        <v>6</v>
      </c>
      <c r="BH309">
        <v>3</v>
      </c>
      <c r="BI309">
        <v>2</v>
      </c>
      <c r="BJ309" t="s">
        <v>693</v>
      </c>
      <c r="BM309">
        <v>108001</v>
      </c>
      <c r="BN309">
        <v>0</v>
      </c>
      <c r="BO309" t="s">
        <v>6</v>
      </c>
      <c r="BP309">
        <v>0</v>
      </c>
      <c r="BQ309">
        <v>3</v>
      </c>
      <c r="BR309">
        <v>0</v>
      </c>
      <c r="BS309">
        <v>1</v>
      </c>
      <c r="BT309">
        <v>1</v>
      </c>
      <c r="BU309">
        <v>1</v>
      </c>
      <c r="BV309">
        <v>1</v>
      </c>
      <c r="BW309">
        <v>1</v>
      </c>
      <c r="BX309">
        <v>1</v>
      </c>
      <c r="BY309" t="s">
        <v>6</v>
      </c>
      <c r="BZ309">
        <v>95</v>
      </c>
      <c r="CA309">
        <v>65</v>
      </c>
      <c r="CE309">
        <v>0</v>
      </c>
      <c r="CF309">
        <v>0</v>
      </c>
      <c r="CG309">
        <v>0</v>
      </c>
      <c r="CM309">
        <v>0</v>
      </c>
      <c r="CN309" t="s">
        <v>6</v>
      </c>
      <c r="CO309">
        <v>0</v>
      </c>
      <c r="CP309">
        <f t="shared" si="328"/>
        <v>3901.19</v>
      </c>
      <c r="CQ309">
        <f t="shared" si="329"/>
        <v>650.19900000000007</v>
      </c>
      <c r="CR309">
        <f t="shared" si="330"/>
        <v>0</v>
      </c>
      <c r="CS309">
        <f t="shared" si="331"/>
        <v>0</v>
      </c>
      <c r="CT309">
        <f t="shared" si="332"/>
        <v>0</v>
      </c>
      <c r="CU309">
        <f t="shared" si="333"/>
        <v>0</v>
      </c>
      <c r="CV309">
        <f t="shared" si="334"/>
        <v>0</v>
      </c>
      <c r="CW309">
        <f t="shared" si="335"/>
        <v>0</v>
      </c>
      <c r="CX309">
        <f t="shared" si="336"/>
        <v>0</v>
      </c>
      <c r="CY309">
        <f t="shared" si="337"/>
        <v>0</v>
      </c>
      <c r="CZ309">
        <f t="shared" si="338"/>
        <v>0</v>
      </c>
      <c r="DC309" t="s">
        <v>6</v>
      </c>
      <c r="DD309" t="s">
        <v>6</v>
      </c>
      <c r="DE309" t="s">
        <v>6</v>
      </c>
      <c r="DF309" t="s">
        <v>6</v>
      </c>
      <c r="DG309" t="s">
        <v>6</v>
      </c>
      <c r="DH309" t="s">
        <v>6</v>
      </c>
      <c r="DI309" t="s">
        <v>6</v>
      </c>
      <c r="DJ309" t="s">
        <v>6</v>
      </c>
      <c r="DK309" t="s">
        <v>6</v>
      </c>
      <c r="DL309" t="s">
        <v>6</v>
      </c>
      <c r="DM309" t="s">
        <v>6</v>
      </c>
      <c r="DN309">
        <v>0</v>
      </c>
      <c r="DO309">
        <v>0</v>
      </c>
      <c r="DP309">
        <v>1</v>
      </c>
      <c r="DQ309">
        <v>1</v>
      </c>
      <c r="DU309">
        <v>1003</v>
      </c>
      <c r="DV309" t="s">
        <v>505</v>
      </c>
      <c r="DW309" t="s">
        <v>505</v>
      </c>
      <c r="DX309">
        <v>10</v>
      </c>
      <c r="EE309">
        <v>16510370</v>
      </c>
      <c r="EF309">
        <v>3</v>
      </c>
      <c r="EG309" t="s">
        <v>472</v>
      </c>
      <c r="EH309">
        <v>0</v>
      </c>
      <c r="EI309" t="s">
        <v>6</v>
      </c>
      <c r="EJ309">
        <v>2</v>
      </c>
      <c r="EK309">
        <v>108001</v>
      </c>
      <c r="EL309" t="s">
        <v>473</v>
      </c>
      <c r="EM309" t="s">
        <v>474</v>
      </c>
      <c r="EO309" t="s">
        <v>6</v>
      </c>
      <c r="EQ309">
        <v>0</v>
      </c>
      <c r="ER309">
        <v>96.9</v>
      </c>
      <c r="ES309">
        <v>96.9</v>
      </c>
      <c r="ET309">
        <v>0</v>
      </c>
      <c r="EU309">
        <v>0</v>
      </c>
      <c r="EV309">
        <v>0</v>
      </c>
      <c r="EW309">
        <v>0</v>
      </c>
      <c r="EX309">
        <v>0</v>
      </c>
      <c r="FQ309">
        <v>0</v>
      </c>
      <c r="FR309">
        <f t="shared" si="339"/>
        <v>0</v>
      </c>
      <c r="FS309">
        <v>0</v>
      </c>
      <c r="FX309">
        <v>95</v>
      </c>
      <c r="FY309">
        <v>65</v>
      </c>
      <c r="GA309" t="s">
        <v>6</v>
      </c>
      <c r="GD309">
        <v>0</v>
      </c>
      <c r="GF309">
        <v>-899177495</v>
      </c>
      <c r="GG309">
        <v>1</v>
      </c>
      <c r="GH309">
        <v>1</v>
      </c>
      <c r="GI309">
        <v>4</v>
      </c>
      <c r="GJ309">
        <v>0</v>
      </c>
      <c r="GK309">
        <f>ROUND(R309*(R12)/100,2)</f>
        <v>0</v>
      </c>
      <c r="GL309">
        <f t="shared" si="340"/>
        <v>0</v>
      </c>
      <c r="GM309">
        <f t="shared" si="341"/>
        <v>3901.19</v>
      </c>
      <c r="GN309">
        <f t="shared" si="342"/>
        <v>0</v>
      </c>
      <c r="GO309">
        <f t="shared" si="343"/>
        <v>3901.19</v>
      </c>
      <c r="GP309">
        <f t="shared" si="344"/>
        <v>0</v>
      </c>
      <c r="GR309">
        <v>0</v>
      </c>
      <c r="GS309">
        <v>3</v>
      </c>
      <c r="GT309">
        <v>0</v>
      </c>
      <c r="GU309" t="s">
        <v>6</v>
      </c>
      <c r="GV309">
        <f t="shared" si="345"/>
        <v>0</v>
      </c>
      <c r="GW309">
        <v>1</v>
      </c>
      <c r="GX309">
        <f t="shared" si="346"/>
        <v>0</v>
      </c>
      <c r="HA309">
        <v>0</v>
      </c>
      <c r="HB309">
        <v>0</v>
      </c>
      <c r="HC309">
        <f t="shared" si="347"/>
        <v>0</v>
      </c>
      <c r="IK309">
        <v>0</v>
      </c>
    </row>
    <row r="310" spans="1:245" x14ac:dyDescent="0.2">
      <c r="A310">
        <v>17</v>
      </c>
      <c r="B310">
        <v>1</v>
      </c>
      <c r="C310">
        <f>ROW(SmtRes!A461)</f>
        <v>461</v>
      </c>
      <c r="D310">
        <f>ROW(EtalonRes!A431)</f>
        <v>431</v>
      </c>
      <c r="E310" t="s">
        <v>694</v>
      </c>
      <c r="F310" t="s">
        <v>677</v>
      </c>
      <c r="G310" t="s">
        <v>678</v>
      </c>
      <c r="H310" t="s">
        <v>39</v>
      </c>
      <c r="I310">
        <f>ROUND(1972/100,9)</f>
        <v>19.72</v>
      </c>
      <c r="J310">
        <v>0</v>
      </c>
      <c r="O310">
        <f t="shared" si="308"/>
        <v>9090.4699999999993</v>
      </c>
      <c r="P310">
        <f t="shared" si="309"/>
        <v>1916.01</v>
      </c>
      <c r="Q310">
        <f t="shared" si="310"/>
        <v>469.74</v>
      </c>
      <c r="R310">
        <f t="shared" si="311"/>
        <v>66.16</v>
      </c>
      <c r="S310">
        <f t="shared" si="312"/>
        <v>6704.72</v>
      </c>
      <c r="T310">
        <f t="shared" si="313"/>
        <v>0</v>
      </c>
      <c r="U310">
        <f t="shared" si="314"/>
        <v>106.29079999999999</v>
      </c>
      <c r="V310">
        <f t="shared" si="315"/>
        <v>0.78879999999999995</v>
      </c>
      <c r="W310">
        <f t="shared" si="316"/>
        <v>0</v>
      </c>
      <c r="X310">
        <f t="shared" si="317"/>
        <v>6432.34</v>
      </c>
      <c r="Y310">
        <f t="shared" si="318"/>
        <v>4401.07</v>
      </c>
      <c r="AA310">
        <v>16812721</v>
      </c>
      <c r="AB310">
        <f t="shared" si="319"/>
        <v>68.7</v>
      </c>
      <c r="AC310">
        <f t="shared" si="320"/>
        <v>14.48</v>
      </c>
      <c r="AD310">
        <f t="shared" si="321"/>
        <v>3.55</v>
      </c>
      <c r="AE310">
        <f t="shared" si="322"/>
        <v>0.5</v>
      </c>
      <c r="AF310">
        <f t="shared" si="323"/>
        <v>50.67</v>
      </c>
      <c r="AG310">
        <f t="shared" si="324"/>
        <v>0</v>
      </c>
      <c r="AH310">
        <f t="shared" si="325"/>
        <v>5.39</v>
      </c>
      <c r="AI310">
        <f t="shared" si="326"/>
        <v>0.04</v>
      </c>
      <c r="AJ310">
        <f t="shared" si="327"/>
        <v>0</v>
      </c>
      <c r="AK310">
        <v>68.7</v>
      </c>
      <c r="AL310">
        <v>14.48</v>
      </c>
      <c r="AM310">
        <v>3.55</v>
      </c>
      <c r="AN310">
        <v>0.5</v>
      </c>
      <c r="AO310">
        <v>50.67</v>
      </c>
      <c r="AP310">
        <v>0</v>
      </c>
      <c r="AQ310">
        <v>5.39</v>
      </c>
      <c r="AR310">
        <v>0.04</v>
      </c>
      <c r="AS310">
        <v>0</v>
      </c>
      <c r="AT310">
        <v>95</v>
      </c>
      <c r="AU310">
        <v>65</v>
      </c>
      <c r="AV310">
        <v>1</v>
      </c>
      <c r="AW310">
        <v>1</v>
      </c>
      <c r="AZ310">
        <v>6.71</v>
      </c>
      <c r="BA310">
        <v>6.71</v>
      </c>
      <c r="BB310">
        <v>6.71</v>
      </c>
      <c r="BC310">
        <v>6.71</v>
      </c>
      <c r="BD310" t="s">
        <v>6</v>
      </c>
      <c r="BE310" t="s">
        <v>6</v>
      </c>
      <c r="BF310" t="s">
        <v>6</v>
      </c>
      <c r="BG310" t="s">
        <v>6</v>
      </c>
      <c r="BH310">
        <v>0</v>
      </c>
      <c r="BI310">
        <v>2</v>
      </c>
      <c r="BJ310" t="s">
        <v>679</v>
      </c>
      <c r="BM310">
        <v>108001</v>
      </c>
      <c r="BN310">
        <v>0</v>
      </c>
      <c r="BO310" t="s">
        <v>6</v>
      </c>
      <c r="BP310">
        <v>0</v>
      </c>
      <c r="BQ310">
        <v>3</v>
      </c>
      <c r="BR310">
        <v>0</v>
      </c>
      <c r="BS310">
        <v>6.71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6</v>
      </c>
      <c r="BZ310">
        <v>95</v>
      </c>
      <c r="CA310">
        <v>65</v>
      </c>
      <c r="CE310">
        <v>0</v>
      </c>
      <c r="CF310">
        <v>0</v>
      </c>
      <c r="CG310">
        <v>0</v>
      </c>
      <c r="CM310">
        <v>0</v>
      </c>
      <c r="CN310" t="s">
        <v>6</v>
      </c>
      <c r="CO310">
        <v>0</v>
      </c>
      <c r="CP310">
        <f t="shared" si="328"/>
        <v>9090.4700000000012</v>
      </c>
      <c r="CQ310">
        <f t="shared" si="329"/>
        <v>97.160800000000009</v>
      </c>
      <c r="CR310">
        <f t="shared" si="330"/>
        <v>23.820499999999999</v>
      </c>
      <c r="CS310">
        <f t="shared" si="331"/>
        <v>3.355</v>
      </c>
      <c r="CT310">
        <f t="shared" si="332"/>
        <v>339.9957</v>
      </c>
      <c r="CU310">
        <f t="shared" si="333"/>
        <v>0</v>
      </c>
      <c r="CV310">
        <f t="shared" si="334"/>
        <v>5.39</v>
      </c>
      <c r="CW310">
        <f t="shared" si="335"/>
        <v>0.04</v>
      </c>
      <c r="CX310">
        <f t="shared" si="336"/>
        <v>0</v>
      </c>
      <c r="CY310">
        <f t="shared" si="337"/>
        <v>6432.3359999999993</v>
      </c>
      <c r="CZ310">
        <f t="shared" si="338"/>
        <v>4401.0720000000001</v>
      </c>
      <c r="DC310" t="s">
        <v>6</v>
      </c>
      <c r="DD310" t="s">
        <v>6</v>
      </c>
      <c r="DE310" t="s">
        <v>6</v>
      </c>
      <c r="DF310" t="s">
        <v>6</v>
      </c>
      <c r="DG310" t="s">
        <v>6</v>
      </c>
      <c r="DH310" t="s">
        <v>6</v>
      </c>
      <c r="DI310" t="s">
        <v>6</v>
      </c>
      <c r="DJ310" t="s">
        <v>6</v>
      </c>
      <c r="DK310" t="s">
        <v>6</v>
      </c>
      <c r="DL310" t="s">
        <v>6</v>
      </c>
      <c r="DM310" t="s">
        <v>6</v>
      </c>
      <c r="DN310">
        <v>0</v>
      </c>
      <c r="DO310">
        <v>0</v>
      </c>
      <c r="DP310">
        <v>1</v>
      </c>
      <c r="DQ310">
        <v>1</v>
      </c>
      <c r="DU310">
        <v>1003</v>
      </c>
      <c r="DV310" t="s">
        <v>39</v>
      </c>
      <c r="DW310" t="s">
        <v>39</v>
      </c>
      <c r="DX310">
        <v>100</v>
      </c>
      <c r="EE310">
        <v>16510370</v>
      </c>
      <c r="EF310">
        <v>3</v>
      </c>
      <c r="EG310" t="s">
        <v>472</v>
      </c>
      <c r="EH310">
        <v>0</v>
      </c>
      <c r="EI310" t="s">
        <v>6</v>
      </c>
      <c r="EJ310">
        <v>2</v>
      </c>
      <c r="EK310">
        <v>108001</v>
      </c>
      <c r="EL310" t="s">
        <v>473</v>
      </c>
      <c r="EM310" t="s">
        <v>474</v>
      </c>
      <c r="EO310" t="s">
        <v>6</v>
      </c>
      <c r="EQ310">
        <v>0</v>
      </c>
      <c r="ER310">
        <v>68.7</v>
      </c>
      <c r="ES310">
        <v>14.48</v>
      </c>
      <c r="ET310">
        <v>3.55</v>
      </c>
      <c r="EU310">
        <v>0.5</v>
      </c>
      <c r="EV310">
        <v>50.67</v>
      </c>
      <c r="EW310">
        <v>5.39</v>
      </c>
      <c r="EX310">
        <v>0.04</v>
      </c>
      <c r="EY310">
        <v>0</v>
      </c>
      <c r="FQ310">
        <v>0</v>
      </c>
      <c r="FR310">
        <f t="shared" si="339"/>
        <v>0</v>
      </c>
      <c r="FS310">
        <v>0</v>
      </c>
      <c r="FX310">
        <v>95</v>
      </c>
      <c r="FY310">
        <v>65</v>
      </c>
      <c r="GA310" t="s">
        <v>6</v>
      </c>
      <c r="GD310">
        <v>0</v>
      </c>
      <c r="GF310">
        <v>-1215790049</v>
      </c>
      <c r="GG310">
        <v>1</v>
      </c>
      <c r="GH310">
        <v>1</v>
      </c>
      <c r="GI310">
        <v>4</v>
      </c>
      <c r="GJ310">
        <v>0</v>
      </c>
      <c r="GK310">
        <f>ROUND(R310*(R12)/100,2)</f>
        <v>0</v>
      </c>
      <c r="GL310">
        <f t="shared" si="340"/>
        <v>0</v>
      </c>
      <c r="GM310">
        <f t="shared" si="341"/>
        <v>19923.88</v>
      </c>
      <c r="GN310">
        <f t="shared" si="342"/>
        <v>0</v>
      </c>
      <c r="GO310">
        <f t="shared" si="343"/>
        <v>19923.88</v>
      </c>
      <c r="GP310">
        <f t="shared" si="344"/>
        <v>0</v>
      </c>
      <c r="GR310">
        <v>0</v>
      </c>
      <c r="GS310">
        <v>3</v>
      </c>
      <c r="GT310">
        <v>0</v>
      </c>
      <c r="GU310" t="s">
        <v>6</v>
      </c>
      <c r="GV310">
        <f t="shared" si="345"/>
        <v>0</v>
      </c>
      <c r="GW310">
        <v>1</v>
      </c>
      <c r="GX310">
        <f t="shared" si="346"/>
        <v>0</v>
      </c>
      <c r="HA310">
        <v>0</v>
      </c>
      <c r="HB310">
        <v>0</v>
      </c>
      <c r="HC310">
        <f t="shared" si="347"/>
        <v>0</v>
      </c>
      <c r="IK310">
        <v>0</v>
      </c>
    </row>
    <row r="311" spans="1:245" x14ac:dyDescent="0.2">
      <c r="A311">
        <v>18</v>
      </c>
      <c r="B311">
        <v>1</v>
      </c>
      <c r="C311">
        <v>459</v>
      </c>
      <c r="E311" t="s">
        <v>695</v>
      </c>
      <c r="F311" t="s">
        <v>696</v>
      </c>
      <c r="G311" t="s">
        <v>697</v>
      </c>
      <c r="H311" t="s">
        <v>541</v>
      </c>
      <c r="I311">
        <f>I310*J311</f>
        <v>1.972</v>
      </c>
      <c r="J311">
        <v>0.1</v>
      </c>
      <c r="O311">
        <f t="shared" si="308"/>
        <v>15219.45</v>
      </c>
      <c r="P311">
        <f t="shared" si="309"/>
        <v>15219.45</v>
      </c>
      <c r="Q311">
        <f t="shared" si="310"/>
        <v>0</v>
      </c>
      <c r="R311">
        <f t="shared" si="311"/>
        <v>0</v>
      </c>
      <c r="S311">
        <f t="shared" si="312"/>
        <v>0</v>
      </c>
      <c r="T311">
        <f t="shared" si="313"/>
        <v>0</v>
      </c>
      <c r="U311">
        <f t="shared" si="314"/>
        <v>0</v>
      </c>
      <c r="V311">
        <f t="shared" si="315"/>
        <v>0</v>
      </c>
      <c r="W311">
        <f t="shared" si="316"/>
        <v>0</v>
      </c>
      <c r="X311">
        <f t="shared" si="317"/>
        <v>0</v>
      </c>
      <c r="Y311">
        <f t="shared" si="318"/>
        <v>0</v>
      </c>
      <c r="AA311">
        <v>16812721</v>
      </c>
      <c r="AB311">
        <f t="shared" si="319"/>
        <v>1150.19</v>
      </c>
      <c r="AC311">
        <f t="shared" si="320"/>
        <v>1150.19</v>
      </c>
      <c r="AD311">
        <f t="shared" si="321"/>
        <v>0</v>
      </c>
      <c r="AE311">
        <f t="shared" si="322"/>
        <v>0</v>
      </c>
      <c r="AF311">
        <f t="shared" si="323"/>
        <v>0</v>
      </c>
      <c r="AG311">
        <f t="shared" si="324"/>
        <v>0</v>
      </c>
      <c r="AH311">
        <f t="shared" si="325"/>
        <v>0</v>
      </c>
      <c r="AI311">
        <f t="shared" si="326"/>
        <v>0</v>
      </c>
      <c r="AJ311">
        <f t="shared" si="327"/>
        <v>0</v>
      </c>
      <c r="AK311">
        <v>1150.19</v>
      </c>
      <c r="AL311">
        <v>1150.19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95</v>
      </c>
      <c r="AU311">
        <v>65</v>
      </c>
      <c r="AV311">
        <v>1</v>
      </c>
      <c r="AW311">
        <v>1</v>
      </c>
      <c r="AZ311">
        <v>6.71</v>
      </c>
      <c r="BA311">
        <v>1</v>
      </c>
      <c r="BB311">
        <v>1</v>
      </c>
      <c r="BC311">
        <v>6.71</v>
      </c>
      <c r="BD311" t="s">
        <v>6</v>
      </c>
      <c r="BE311" t="s">
        <v>6</v>
      </c>
      <c r="BF311" t="s">
        <v>6</v>
      </c>
      <c r="BG311" t="s">
        <v>6</v>
      </c>
      <c r="BH311">
        <v>3</v>
      </c>
      <c r="BI311">
        <v>2</v>
      </c>
      <c r="BJ311" t="s">
        <v>698</v>
      </c>
      <c r="BM311">
        <v>108001</v>
      </c>
      <c r="BN311">
        <v>0</v>
      </c>
      <c r="BO311" t="s">
        <v>6</v>
      </c>
      <c r="BP311">
        <v>0</v>
      </c>
      <c r="BQ311">
        <v>3</v>
      </c>
      <c r="BR311">
        <v>0</v>
      </c>
      <c r="BS311">
        <v>1</v>
      </c>
      <c r="BT311">
        <v>1</v>
      </c>
      <c r="BU311">
        <v>1</v>
      </c>
      <c r="BV311">
        <v>1</v>
      </c>
      <c r="BW311">
        <v>1</v>
      </c>
      <c r="BX311">
        <v>1</v>
      </c>
      <c r="BY311" t="s">
        <v>6</v>
      </c>
      <c r="BZ311">
        <v>95</v>
      </c>
      <c r="CA311">
        <v>65</v>
      </c>
      <c r="CE311">
        <v>0</v>
      </c>
      <c r="CF311">
        <v>0</v>
      </c>
      <c r="CG311">
        <v>0</v>
      </c>
      <c r="CM311">
        <v>0</v>
      </c>
      <c r="CN311" t="s">
        <v>6</v>
      </c>
      <c r="CO311">
        <v>0</v>
      </c>
      <c r="CP311">
        <f t="shared" si="328"/>
        <v>15219.45</v>
      </c>
      <c r="CQ311">
        <f t="shared" si="329"/>
        <v>7717.7749000000003</v>
      </c>
      <c r="CR311">
        <f t="shared" si="330"/>
        <v>0</v>
      </c>
      <c r="CS311">
        <f t="shared" si="331"/>
        <v>0</v>
      </c>
      <c r="CT311">
        <f t="shared" si="332"/>
        <v>0</v>
      </c>
      <c r="CU311">
        <f t="shared" si="333"/>
        <v>0</v>
      </c>
      <c r="CV311">
        <f t="shared" si="334"/>
        <v>0</v>
      </c>
      <c r="CW311">
        <f t="shared" si="335"/>
        <v>0</v>
      </c>
      <c r="CX311">
        <f t="shared" si="336"/>
        <v>0</v>
      </c>
      <c r="CY311">
        <f t="shared" si="337"/>
        <v>0</v>
      </c>
      <c r="CZ311">
        <f t="shared" si="338"/>
        <v>0</v>
      </c>
      <c r="DC311" t="s">
        <v>6</v>
      </c>
      <c r="DD311" t="s">
        <v>6</v>
      </c>
      <c r="DE311" t="s">
        <v>6</v>
      </c>
      <c r="DF311" t="s">
        <v>6</v>
      </c>
      <c r="DG311" t="s">
        <v>6</v>
      </c>
      <c r="DH311" t="s">
        <v>6</v>
      </c>
      <c r="DI311" t="s">
        <v>6</v>
      </c>
      <c r="DJ311" t="s">
        <v>6</v>
      </c>
      <c r="DK311" t="s">
        <v>6</v>
      </c>
      <c r="DL311" t="s">
        <v>6</v>
      </c>
      <c r="DM311" t="s">
        <v>6</v>
      </c>
      <c r="DN311">
        <v>0</v>
      </c>
      <c r="DO311">
        <v>0</v>
      </c>
      <c r="DP311">
        <v>1</v>
      </c>
      <c r="DQ311">
        <v>1</v>
      </c>
      <c r="DU311">
        <v>1013</v>
      </c>
      <c r="DV311" t="s">
        <v>541</v>
      </c>
      <c r="DW311" t="s">
        <v>543</v>
      </c>
      <c r="DX311">
        <v>1</v>
      </c>
      <c r="EE311">
        <v>16510370</v>
      </c>
      <c r="EF311">
        <v>3</v>
      </c>
      <c r="EG311" t="s">
        <v>472</v>
      </c>
      <c r="EH311">
        <v>0</v>
      </c>
      <c r="EI311" t="s">
        <v>6</v>
      </c>
      <c r="EJ311">
        <v>2</v>
      </c>
      <c r="EK311">
        <v>108001</v>
      </c>
      <c r="EL311" t="s">
        <v>473</v>
      </c>
      <c r="EM311" t="s">
        <v>474</v>
      </c>
      <c r="EO311" t="s">
        <v>6</v>
      </c>
      <c r="EQ311">
        <v>0</v>
      </c>
      <c r="ER311">
        <v>1150.19</v>
      </c>
      <c r="ES311">
        <v>1150.19</v>
      </c>
      <c r="ET311">
        <v>0</v>
      </c>
      <c r="EU311">
        <v>0</v>
      </c>
      <c r="EV311">
        <v>0</v>
      </c>
      <c r="EW311">
        <v>0</v>
      </c>
      <c r="EX311">
        <v>0</v>
      </c>
      <c r="FQ311">
        <v>0</v>
      </c>
      <c r="FR311">
        <f t="shared" si="339"/>
        <v>0</v>
      </c>
      <c r="FS311">
        <v>0</v>
      </c>
      <c r="FX311">
        <v>95</v>
      </c>
      <c r="FY311">
        <v>65</v>
      </c>
      <c r="GA311" t="s">
        <v>6</v>
      </c>
      <c r="GD311">
        <v>0</v>
      </c>
      <c r="GF311">
        <v>1306444111</v>
      </c>
      <c r="GG311">
        <v>1</v>
      </c>
      <c r="GH311">
        <v>1</v>
      </c>
      <c r="GI311">
        <v>4</v>
      </c>
      <c r="GJ311">
        <v>0</v>
      </c>
      <c r="GK311">
        <f>ROUND(R311*(R12)/100,2)</f>
        <v>0</v>
      </c>
      <c r="GL311">
        <f t="shared" si="340"/>
        <v>0</v>
      </c>
      <c r="GM311">
        <f t="shared" si="341"/>
        <v>15219.45</v>
      </c>
      <c r="GN311">
        <f t="shared" si="342"/>
        <v>0</v>
      </c>
      <c r="GO311">
        <f t="shared" si="343"/>
        <v>15219.45</v>
      </c>
      <c r="GP311">
        <f t="shared" si="344"/>
        <v>0</v>
      </c>
      <c r="GR311">
        <v>0</v>
      </c>
      <c r="GS311">
        <v>3</v>
      </c>
      <c r="GT311">
        <v>0</v>
      </c>
      <c r="GU311" t="s">
        <v>6</v>
      </c>
      <c r="GV311">
        <f t="shared" si="345"/>
        <v>0</v>
      </c>
      <c r="GW311">
        <v>1</v>
      </c>
      <c r="GX311">
        <f t="shared" si="346"/>
        <v>0</v>
      </c>
      <c r="HA311">
        <v>0</v>
      </c>
      <c r="HB311">
        <v>0</v>
      </c>
      <c r="HC311">
        <f t="shared" si="347"/>
        <v>0</v>
      </c>
      <c r="IK311">
        <v>0</v>
      </c>
    </row>
    <row r="312" spans="1:245" x14ac:dyDescent="0.2">
      <c r="A312">
        <v>18</v>
      </c>
      <c r="B312">
        <v>1</v>
      </c>
      <c r="C312">
        <v>460</v>
      </c>
      <c r="E312" t="s">
        <v>699</v>
      </c>
      <c r="F312" t="s">
        <v>681</v>
      </c>
      <c r="G312" t="s">
        <v>1142</v>
      </c>
      <c r="H312" t="s">
        <v>541</v>
      </c>
      <c r="I312">
        <f>I310*J312</f>
        <v>1.972</v>
      </c>
      <c r="J312">
        <v>0.1</v>
      </c>
      <c r="O312">
        <f t="shared" si="308"/>
        <v>56686.67</v>
      </c>
      <c r="P312">
        <f t="shared" si="309"/>
        <v>56686.67</v>
      </c>
      <c r="Q312">
        <f t="shared" si="310"/>
        <v>0</v>
      </c>
      <c r="R312">
        <f t="shared" si="311"/>
        <v>0</v>
      </c>
      <c r="S312">
        <f t="shared" si="312"/>
        <v>0</v>
      </c>
      <c r="T312">
        <f t="shared" si="313"/>
        <v>0</v>
      </c>
      <c r="U312">
        <f t="shared" si="314"/>
        <v>0</v>
      </c>
      <c r="V312">
        <f t="shared" si="315"/>
        <v>0</v>
      </c>
      <c r="W312">
        <f t="shared" si="316"/>
        <v>0</v>
      </c>
      <c r="X312">
        <f t="shared" si="317"/>
        <v>0</v>
      </c>
      <c r="Y312">
        <f t="shared" si="318"/>
        <v>0</v>
      </c>
      <c r="AA312">
        <v>16812721</v>
      </c>
      <c r="AB312">
        <f t="shared" si="319"/>
        <v>4284.0200000000004</v>
      </c>
      <c r="AC312">
        <f t="shared" si="320"/>
        <v>4284.0200000000004</v>
      </c>
      <c r="AD312">
        <f t="shared" si="321"/>
        <v>0</v>
      </c>
      <c r="AE312">
        <f t="shared" si="322"/>
        <v>0</v>
      </c>
      <c r="AF312">
        <f t="shared" si="323"/>
        <v>0</v>
      </c>
      <c r="AG312">
        <f t="shared" si="324"/>
        <v>0</v>
      </c>
      <c r="AH312">
        <f t="shared" si="325"/>
        <v>0</v>
      </c>
      <c r="AI312">
        <f t="shared" si="326"/>
        <v>0</v>
      </c>
      <c r="AJ312">
        <f t="shared" si="327"/>
        <v>0</v>
      </c>
      <c r="AK312">
        <v>4284.0200000000004</v>
      </c>
      <c r="AL312">
        <v>4284.0200000000004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95</v>
      </c>
      <c r="AU312">
        <v>65</v>
      </c>
      <c r="AV312">
        <v>1</v>
      </c>
      <c r="AW312">
        <v>1</v>
      </c>
      <c r="AZ312">
        <v>6.71</v>
      </c>
      <c r="BA312">
        <v>1</v>
      </c>
      <c r="BB312">
        <v>1</v>
      </c>
      <c r="BC312">
        <v>6.71</v>
      </c>
      <c r="BD312" t="s">
        <v>6</v>
      </c>
      <c r="BE312" t="s">
        <v>6</v>
      </c>
      <c r="BF312" t="s">
        <v>6</v>
      </c>
      <c r="BG312" t="s">
        <v>6</v>
      </c>
      <c r="BH312">
        <v>3</v>
      </c>
      <c r="BI312">
        <v>2</v>
      </c>
      <c r="BJ312" t="s">
        <v>682</v>
      </c>
      <c r="BM312">
        <v>108001</v>
      </c>
      <c r="BN312">
        <v>0</v>
      </c>
      <c r="BO312" t="s">
        <v>6</v>
      </c>
      <c r="BP312">
        <v>0</v>
      </c>
      <c r="BQ312">
        <v>3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6</v>
      </c>
      <c r="BZ312">
        <v>95</v>
      </c>
      <c r="CA312">
        <v>65</v>
      </c>
      <c r="CE312">
        <v>0</v>
      </c>
      <c r="CF312">
        <v>0</v>
      </c>
      <c r="CG312">
        <v>0</v>
      </c>
      <c r="CM312">
        <v>0</v>
      </c>
      <c r="CN312" t="s">
        <v>6</v>
      </c>
      <c r="CO312">
        <v>0</v>
      </c>
      <c r="CP312">
        <f t="shared" si="328"/>
        <v>56686.67</v>
      </c>
      <c r="CQ312">
        <f t="shared" si="329"/>
        <v>28745.774200000003</v>
      </c>
      <c r="CR312">
        <f t="shared" si="330"/>
        <v>0</v>
      </c>
      <c r="CS312">
        <f t="shared" si="331"/>
        <v>0</v>
      </c>
      <c r="CT312">
        <f t="shared" si="332"/>
        <v>0</v>
      </c>
      <c r="CU312">
        <f t="shared" si="333"/>
        <v>0</v>
      </c>
      <c r="CV312">
        <f t="shared" si="334"/>
        <v>0</v>
      </c>
      <c r="CW312">
        <f t="shared" si="335"/>
        <v>0</v>
      </c>
      <c r="CX312">
        <f t="shared" si="336"/>
        <v>0</v>
      </c>
      <c r="CY312">
        <f t="shared" si="337"/>
        <v>0</v>
      </c>
      <c r="CZ312">
        <f t="shared" si="338"/>
        <v>0</v>
      </c>
      <c r="DC312" t="s">
        <v>6</v>
      </c>
      <c r="DD312" t="s">
        <v>6</v>
      </c>
      <c r="DE312" t="s">
        <v>6</v>
      </c>
      <c r="DF312" t="s">
        <v>6</v>
      </c>
      <c r="DG312" t="s">
        <v>6</v>
      </c>
      <c r="DH312" t="s">
        <v>6</v>
      </c>
      <c r="DI312" t="s">
        <v>6</v>
      </c>
      <c r="DJ312" t="s">
        <v>6</v>
      </c>
      <c r="DK312" t="s">
        <v>6</v>
      </c>
      <c r="DL312" t="s">
        <v>6</v>
      </c>
      <c r="DM312" t="s">
        <v>6</v>
      </c>
      <c r="DN312">
        <v>0</v>
      </c>
      <c r="DO312">
        <v>0</v>
      </c>
      <c r="DP312">
        <v>1</v>
      </c>
      <c r="DQ312">
        <v>1</v>
      </c>
      <c r="DU312">
        <v>1013</v>
      </c>
      <c r="DV312" t="s">
        <v>541</v>
      </c>
      <c r="DW312" t="s">
        <v>543</v>
      </c>
      <c r="DX312">
        <v>1</v>
      </c>
      <c r="EE312">
        <v>16510370</v>
      </c>
      <c r="EF312">
        <v>3</v>
      </c>
      <c r="EG312" t="s">
        <v>472</v>
      </c>
      <c r="EH312">
        <v>0</v>
      </c>
      <c r="EI312" t="s">
        <v>6</v>
      </c>
      <c r="EJ312">
        <v>2</v>
      </c>
      <c r="EK312">
        <v>108001</v>
      </c>
      <c r="EL312" t="s">
        <v>473</v>
      </c>
      <c r="EM312" t="s">
        <v>474</v>
      </c>
      <c r="EO312" t="s">
        <v>6</v>
      </c>
      <c r="EQ312">
        <v>0</v>
      </c>
      <c r="ER312">
        <v>4284.0200000000004</v>
      </c>
      <c r="ES312">
        <v>4284.0200000000004</v>
      </c>
      <c r="ET312">
        <v>0</v>
      </c>
      <c r="EU312">
        <v>0</v>
      </c>
      <c r="EV312">
        <v>0</v>
      </c>
      <c r="EW312">
        <v>0</v>
      </c>
      <c r="EX312">
        <v>0</v>
      </c>
      <c r="FQ312">
        <v>0</v>
      </c>
      <c r="FR312">
        <f t="shared" si="339"/>
        <v>0</v>
      </c>
      <c r="FS312">
        <v>0</v>
      </c>
      <c r="FX312">
        <v>95</v>
      </c>
      <c r="FY312">
        <v>65</v>
      </c>
      <c r="GA312" t="s">
        <v>6</v>
      </c>
      <c r="GD312">
        <v>0</v>
      </c>
      <c r="GF312">
        <v>1970573084</v>
      </c>
      <c r="GG312">
        <v>1</v>
      </c>
      <c r="GH312">
        <v>1</v>
      </c>
      <c r="GI312">
        <v>4</v>
      </c>
      <c r="GJ312">
        <v>0</v>
      </c>
      <c r="GK312">
        <f>ROUND(R312*(R12)/100,2)</f>
        <v>0</v>
      </c>
      <c r="GL312">
        <f t="shared" si="340"/>
        <v>0</v>
      </c>
      <c r="GM312">
        <f t="shared" si="341"/>
        <v>56686.67</v>
      </c>
      <c r="GN312">
        <f t="shared" si="342"/>
        <v>0</v>
      </c>
      <c r="GO312">
        <f t="shared" si="343"/>
        <v>56686.67</v>
      </c>
      <c r="GP312">
        <f t="shared" si="344"/>
        <v>0</v>
      </c>
      <c r="GR312">
        <v>0</v>
      </c>
      <c r="GS312">
        <v>3</v>
      </c>
      <c r="GT312">
        <v>0</v>
      </c>
      <c r="GU312" t="s">
        <v>6</v>
      </c>
      <c r="GV312">
        <f t="shared" si="345"/>
        <v>0</v>
      </c>
      <c r="GW312">
        <v>1</v>
      </c>
      <c r="GX312">
        <f t="shared" si="346"/>
        <v>0</v>
      </c>
      <c r="HA312">
        <v>0</v>
      </c>
      <c r="HB312">
        <v>0</v>
      </c>
      <c r="HC312">
        <f t="shared" si="347"/>
        <v>0</v>
      </c>
      <c r="IK312">
        <v>0</v>
      </c>
    </row>
    <row r="313" spans="1:245" x14ac:dyDescent="0.2">
      <c r="A313">
        <v>17</v>
      </c>
      <c r="B313">
        <v>1</v>
      </c>
      <c r="C313">
        <f>ROW(SmtRes!A462)</f>
        <v>462</v>
      </c>
      <c r="D313">
        <f>ROW(EtalonRes!A433)</f>
        <v>433</v>
      </c>
      <c r="E313" t="s">
        <v>700</v>
      </c>
      <c r="F313" t="s">
        <v>495</v>
      </c>
      <c r="G313" t="s">
        <v>496</v>
      </c>
      <c r="H313" t="s">
        <v>55</v>
      </c>
      <c r="I313">
        <f>ROUND(4/100,9)</f>
        <v>0.04</v>
      </c>
      <c r="J313">
        <v>0</v>
      </c>
      <c r="O313">
        <f t="shared" si="308"/>
        <v>179</v>
      </c>
      <c r="P313">
        <f t="shared" si="309"/>
        <v>0</v>
      </c>
      <c r="Q313">
        <f t="shared" si="310"/>
        <v>0</v>
      </c>
      <c r="R313">
        <f t="shared" si="311"/>
        <v>0</v>
      </c>
      <c r="S313">
        <f t="shared" si="312"/>
        <v>179</v>
      </c>
      <c r="T313">
        <f t="shared" si="313"/>
        <v>0</v>
      </c>
      <c r="U313">
        <f t="shared" si="314"/>
        <v>3.42</v>
      </c>
      <c r="V313">
        <f t="shared" si="315"/>
        <v>0</v>
      </c>
      <c r="W313">
        <f t="shared" si="316"/>
        <v>0</v>
      </c>
      <c r="X313">
        <f t="shared" si="317"/>
        <v>139.62</v>
      </c>
      <c r="Y313">
        <f t="shared" si="318"/>
        <v>89.5</v>
      </c>
      <c r="AA313">
        <v>16812721</v>
      </c>
      <c r="AB313">
        <f t="shared" si="319"/>
        <v>666.9</v>
      </c>
      <c r="AC313">
        <f t="shared" si="320"/>
        <v>0</v>
      </c>
      <c r="AD313">
        <f t="shared" si="321"/>
        <v>0</v>
      </c>
      <c r="AE313">
        <f t="shared" si="322"/>
        <v>0</v>
      </c>
      <c r="AF313">
        <f t="shared" si="323"/>
        <v>666.9</v>
      </c>
      <c r="AG313">
        <f t="shared" si="324"/>
        <v>0</v>
      </c>
      <c r="AH313">
        <f t="shared" si="325"/>
        <v>85.5</v>
      </c>
      <c r="AI313">
        <f t="shared" si="326"/>
        <v>0</v>
      </c>
      <c r="AJ313">
        <f t="shared" si="327"/>
        <v>0</v>
      </c>
      <c r="AK313">
        <v>666.9</v>
      </c>
      <c r="AL313">
        <v>0</v>
      </c>
      <c r="AM313">
        <v>0</v>
      </c>
      <c r="AN313">
        <v>0</v>
      </c>
      <c r="AO313">
        <v>666.9</v>
      </c>
      <c r="AP313">
        <v>0</v>
      </c>
      <c r="AQ313">
        <v>85.5</v>
      </c>
      <c r="AR313">
        <v>0</v>
      </c>
      <c r="AS313">
        <v>0</v>
      </c>
      <c r="AT313">
        <v>78</v>
      </c>
      <c r="AU313">
        <v>50</v>
      </c>
      <c r="AV313">
        <v>1</v>
      </c>
      <c r="AW313">
        <v>1</v>
      </c>
      <c r="AZ313">
        <v>6.71</v>
      </c>
      <c r="BA313">
        <v>6.71</v>
      </c>
      <c r="BB313">
        <v>6.71</v>
      </c>
      <c r="BC313">
        <v>6.71</v>
      </c>
      <c r="BD313" t="s">
        <v>6</v>
      </c>
      <c r="BE313" t="s">
        <v>6</v>
      </c>
      <c r="BF313" t="s">
        <v>6</v>
      </c>
      <c r="BG313" t="s">
        <v>6</v>
      </c>
      <c r="BH313">
        <v>0</v>
      </c>
      <c r="BI313">
        <v>1</v>
      </c>
      <c r="BJ313" t="s">
        <v>497</v>
      </c>
      <c r="BM313">
        <v>69001</v>
      </c>
      <c r="BN313">
        <v>0</v>
      </c>
      <c r="BO313" t="s">
        <v>6</v>
      </c>
      <c r="BP313">
        <v>0</v>
      </c>
      <c r="BQ313">
        <v>6</v>
      </c>
      <c r="BR313">
        <v>0</v>
      </c>
      <c r="BS313">
        <v>6.71</v>
      </c>
      <c r="BT313">
        <v>1</v>
      </c>
      <c r="BU313">
        <v>1</v>
      </c>
      <c r="BV313">
        <v>1</v>
      </c>
      <c r="BW313">
        <v>1</v>
      </c>
      <c r="BX313">
        <v>1</v>
      </c>
      <c r="BY313" t="s">
        <v>6</v>
      </c>
      <c r="BZ313">
        <v>78</v>
      </c>
      <c r="CA313">
        <v>50</v>
      </c>
      <c r="CE313">
        <v>0</v>
      </c>
      <c r="CF313">
        <v>0</v>
      </c>
      <c r="CG313">
        <v>0</v>
      </c>
      <c r="CM313">
        <v>0</v>
      </c>
      <c r="CN313" t="s">
        <v>6</v>
      </c>
      <c r="CO313">
        <v>0</v>
      </c>
      <c r="CP313">
        <f t="shared" si="328"/>
        <v>179</v>
      </c>
      <c r="CQ313">
        <f t="shared" si="329"/>
        <v>0</v>
      </c>
      <c r="CR313">
        <f t="shared" si="330"/>
        <v>0</v>
      </c>
      <c r="CS313">
        <f t="shared" si="331"/>
        <v>0</v>
      </c>
      <c r="CT313">
        <f t="shared" si="332"/>
        <v>4474.8989999999994</v>
      </c>
      <c r="CU313">
        <f t="shared" si="333"/>
        <v>0</v>
      </c>
      <c r="CV313">
        <f t="shared" si="334"/>
        <v>85.5</v>
      </c>
      <c r="CW313">
        <f t="shared" si="335"/>
        <v>0</v>
      </c>
      <c r="CX313">
        <f t="shared" si="336"/>
        <v>0</v>
      </c>
      <c r="CY313">
        <f t="shared" si="337"/>
        <v>139.62</v>
      </c>
      <c r="CZ313">
        <f t="shared" si="338"/>
        <v>89.5</v>
      </c>
      <c r="DC313" t="s">
        <v>6</v>
      </c>
      <c r="DD313" t="s">
        <v>6</v>
      </c>
      <c r="DE313" t="s">
        <v>6</v>
      </c>
      <c r="DF313" t="s">
        <v>6</v>
      </c>
      <c r="DG313" t="s">
        <v>6</v>
      </c>
      <c r="DH313" t="s">
        <v>6</v>
      </c>
      <c r="DI313" t="s">
        <v>6</v>
      </c>
      <c r="DJ313" t="s">
        <v>6</v>
      </c>
      <c r="DK313" t="s">
        <v>6</v>
      </c>
      <c r="DL313" t="s">
        <v>6</v>
      </c>
      <c r="DM313" t="s">
        <v>6</v>
      </c>
      <c r="DN313">
        <v>0</v>
      </c>
      <c r="DO313">
        <v>0</v>
      </c>
      <c r="DP313">
        <v>1</v>
      </c>
      <c r="DQ313">
        <v>1</v>
      </c>
      <c r="DU313">
        <v>1013</v>
      </c>
      <c r="DV313" t="s">
        <v>55</v>
      </c>
      <c r="DW313" t="s">
        <v>55</v>
      </c>
      <c r="DX313">
        <v>1</v>
      </c>
      <c r="EE313">
        <v>16510614</v>
      </c>
      <c r="EF313">
        <v>6</v>
      </c>
      <c r="EG313" t="s">
        <v>41</v>
      </c>
      <c r="EH313">
        <v>0</v>
      </c>
      <c r="EI313" t="s">
        <v>6</v>
      </c>
      <c r="EJ313">
        <v>1</v>
      </c>
      <c r="EK313">
        <v>69001</v>
      </c>
      <c r="EL313" t="s">
        <v>344</v>
      </c>
      <c r="EM313" t="s">
        <v>345</v>
      </c>
      <c r="EO313" t="s">
        <v>6</v>
      </c>
      <c r="EQ313">
        <v>0</v>
      </c>
      <c r="ER313">
        <v>666.9</v>
      </c>
      <c r="ES313">
        <v>0</v>
      </c>
      <c r="ET313">
        <v>0</v>
      </c>
      <c r="EU313">
        <v>0</v>
      </c>
      <c r="EV313">
        <v>666.9</v>
      </c>
      <c r="EW313">
        <v>85.5</v>
      </c>
      <c r="EX313">
        <v>0</v>
      </c>
      <c r="EY313">
        <v>0</v>
      </c>
      <c r="FQ313">
        <v>0</v>
      </c>
      <c r="FR313">
        <f t="shared" si="339"/>
        <v>0</v>
      </c>
      <c r="FS313">
        <v>0</v>
      </c>
      <c r="FX313">
        <v>78</v>
      </c>
      <c r="FY313">
        <v>50</v>
      </c>
      <c r="GA313" t="s">
        <v>6</v>
      </c>
      <c r="GD313">
        <v>0</v>
      </c>
      <c r="GF313">
        <v>-1582211729</v>
      </c>
      <c r="GG313">
        <v>1</v>
      </c>
      <c r="GH313">
        <v>1</v>
      </c>
      <c r="GI313">
        <v>4</v>
      </c>
      <c r="GJ313">
        <v>0</v>
      </c>
      <c r="GK313">
        <f>ROUND(R313*(R12)/100,2)</f>
        <v>0</v>
      </c>
      <c r="GL313">
        <f t="shared" si="340"/>
        <v>0</v>
      </c>
      <c r="GM313">
        <f t="shared" si="341"/>
        <v>408.12</v>
      </c>
      <c r="GN313">
        <f t="shared" si="342"/>
        <v>408.12</v>
      </c>
      <c r="GO313">
        <f t="shared" si="343"/>
        <v>0</v>
      </c>
      <c r="GP313">
        <f t="shared" si="344"/>
        <v>0</v>
      </c>
      <c r="GR313">
        <v>0</v>
      </c>
      <c r="GS313">
        <v>3</v>
      </c>
      <c r="GT313">
        <v>0</v>
      </c>
      <c r="GU313" t="s">
        <v>6</v>
      </c>
      <c r="GV313">
        <f t="shared" si="345"/>
        <v>0</v>
      </c>
      <c r="GW313">
        <v>1</v>
      </c>
      <c r="GX313">
        <f t="shared" si="346"/>
        <v>0</v>
      </c>
      <c r="HA313">
        <v>0</v>
      </c>
      <c r="HB313">
        <v>0</v>
      </c>
      <c r="HC313">
        <f t="shared" si="347"/>
        <v>0</v>
      </c>
      <c r="IK313">
        <v>0</v>
      </c>
    </row>
    <row r="314" spans="1:245" x14ac:dyDescent="0.2">
      <c r="A314">
        <v>17</v>
      </c>
      <c r="B314">
        <v>1</v>
      </c>
      <c r="C314">
        <f>ROW(SmtRes!A473)</f>
        <v>473</v>
      </c>
      <c r="D314">
        <f>ROW(EtalonRes!A443)</f>
        <v>443</v>
      </c>
      <c r="E314" t="s">
        <v>701</v>
      </c>
      <c r="F314" t="s">
        <v>499</v>
      </c>
      <c r="G314" t="s">
        <v>702</v>
      </c>
      <c r="H314" t="s">
        <v>39</v>
      </c>
      <c r="I314">
        <f>ROUND(4/100,9)</f>
        <v>0.04</v>
      </c>
      <c r="J314">
        <v>0</v>
      </c>
      <c r="O314">
        <f t="shared" si="308"/>
        <v>67.349999999999994</v>
      </c>
      <c r="P314">
        <f t="shared" si="309"/>
        <v>23.55</v>
      </c>
      <c r="Q314">
        <f t="shared" si="310"/>
        <v>5.25</v>
      </c>
      <c r="R314">
        <f t="shared" si="311"/>
        <v>0.74</v>
      </c>
      <c r="S314">
        <f t="shared" si="312"/>
        <v>38.549999999999997</v>
      </c>
      <c r="T314">
        <f t="shared" si="313"/>
        <v>0</v>
      </c>
      <c r="U314">
        <f t="shared" si="314"/>
        <v>0.61119999999999997</v>
      </c>
      <c r="V314">
        <f t="shared" si="315"/>
        <v>8.8000000000000005E-3</v>
      </c>
      <c r="W314">
        <f t="shared" si="316"/>
        <v>0</v>
      </c>
      <c r="X314">
        <f t="shared" si="317"/>
        <v>37.33</v>
      </c>
      <c r="Y314">
        <f t="shared" si="318"/>
        <v>25.54</v>
      </c>
      <c r="AA314">
        <v>16812721</v>
      </c>
      <c r="AB314">
        <f t="shared" si="319"/>
        <v>250.92</v>
      </c>
      <c r="AC314">
        <f t="shared" si="320"/>
        <v>87.74</v>
      </c>
      <c r="AD314">
        <f t="shared" si="321"/>
        <v>19.55</v>
      </c>
      <c r="AE314">
        <f t="shared" si="322"/>
        <v>2.77</v>
      </c>
      <c r="AF314">
        <f t="shared" si="323"/>
        <v>143.63</v>
      </c>
      <c r="AG314">
        <f t="shared" si="324"/>
        <v>0</v>
      </c>
      <c r="AH314">
        <f t="shared" si="325"/>
        <v>15.28</v>
      </c>
      <c r="AI314">
        <f t="shared" si="326"/>
        <v>0.22</v>
      </c>
      <c r="AJ314">
        <f t="shared" si="327"/>
        <v>0</v>
      </c>
      <c r="AK314">
        <v>250.92</v>
      </c>
      <c r="AL314">
        <v>87.74</v>
      </c>
      <c r="AM314">
        <v>19.55</v>
      </c>
      <c r="AN314">
        <v>2.77</v>
      </c>
      <c r="AO314">
        <v>143.63</v>
      </c>
      <c r="AP314">
        <v>0</v>
      </c>
      <c r="AQ314">
        <v>15.28</v>
      </c>
      <c r="AR314">
        <v>0.22</v>
      </c>
      <c r="AS314">
        <v>0</v>
      </c>
      <c r="AT314">
        <v>95</v>
      </c>
      <c r="AU314">
        <v>65</v>
      </c>
      <c r="AV314">
        <v>1</v>
      </c>
      <c r="AW314">
        <v>1</v>
      </c>
      <c r="AZ314">
        <v>6.71</v>
      </c>
      <c r="BA314">
        <v>6.71</v>
      </c>
      <c r="BB314">
        <v>6.71</v>
      </c>
      <c r="BC314">
        <v>6.71</v>
      </c>
      <c r="BD314" t="s">
        <v>6</v>
      </c>
      <c r="BE314" t="s">
        <v>6</v>
      </c>
      <c r="BF314" t="s">
        <v>6</v>
      </c>
      <c r="BG314" t="s">
        <v>6</v>
      </c>
      <c r="BH314">
        <v>0</v>
      </c>
      <c r="BI314">
        <v>2</v>
      </c>
      <c r="BJ314" t="s">
        <v>501</v>
      </c>
      <c r="BM314">
        <v>108001</v>
      </c>
      <c r="BN314">
        <v>0</v>
      </c>
      <c r="BO314" t="s">
        <v>6</v>
      </c>
      <c r="BP314">
        <v>0</v>
      </c>
      <c r="BQ314">
        <v>3</v>
      </c>
      <c r="BR314">
        <v>0</v>
      </c>
      <c r="BS314">
        <v>6.71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6</v>
      </c>
      <c r="BZ314">
        <v>95</v>
      </c>
      <c r="CA314">
        <v>65</v>
      </c>
      <c r="CE314">
        <v>0</v>
      </c>
      <c r="CF314">
        <v>0</v>
      </c>
      <c r="CG314">
        <v>0</v>
      </c>
      <c r="CM314">
        <v>0</v>
      </c>
      <c r="CN314" t="s">
        <v>6</v>
      </c>
      <c r="CO314">
        <v>0</v>
      </c>
      <c r="CP314">
        <f t="shared" si="328"/>
        <v>67.349999999999994</v>
      </c>
      <c r="CQ314">
        <f t="shared" si="329"/>
        <v>588.73539999999991</v>
      </c>
      <c r="CR314">
        <f t="shared" si="330"/>
        <v>131.18049999999999</v>
      </c>
      <c r="CS314">
        <f t="shared" si="331"/>
        <v>18.5867</v>
      </c>
      <c r="CT314">
        <f t="shared" si="332"/>
        <v>963.75729999999999</v>
      </c>
      <c r="CU314">
        <f t="shared" si="333"/>
        <v>0</v>
      </c>
      <c r="CV314">
        <f t="shared" si="334"/>
        <v>15.28</v>
      </c>
      <c r="CW314">
        <f t="shared" si="335"/>
        <v>0.22</v>
      </c>
      <c r="CX314">
        <f t="shared" si="336"/>
        <v>0</v>
      </c>
      <c r="CY314">
        <f t="shared" si="337"/>
        <v>37.325499999999998</v>
      </c>
      <c r="CZ314">
        <f t="shared" si="338"/>
        <v>25.538499999999999</v>
      </c>
      <c r="DC314" t="s">
        <v>6</v>
      </c>
      <c r="DD314" t="s">
        <v>6</v>
      </c>
      <c r="DE314" t="s">
        <v>6</v>
      </c>
      <c r="DF314" t="s">
        <v>6</v>
      </c>
      <c r="DG314" t="s">
        <v>6</v>
      </c>
      <c r="DH314" t="s">
        <v>6</v>
      </c>
      <c r="DI314" t="s">
        <v>6</v>
      </c>
      <c r="DJ314" t="s">
        <v>6</v>
      </c>
      <c r="DK314" t="s">
        <v>6</v>
      </c>
      <c r="DL314" t="s">
        <v>6</v>
      </c>
      <c r="DM314" t="s">
        <v>6</v>
      </c>
      <c r="DN314">
        <v>0</v>
      </c>
      <c r="DO314">
        <v>0</v>
      </c>
      <c r="DP314">
        <v>1</v>
      </c>
      <c r="DQ314">
        <v>1</v>
      </c>
      <c r="DU314">
        <v>1003</v>
      </c>
      <c r="DV314" t="s">
        <v>39</v>
      </c>
      <c r="DW314" t="s">
        <v>39</v>
      </c>
      <c r="DX314">
        <v>100</v>
      </c>
      <c r="EE314">
        <v>16510370</v>
      </c>
      <c r="EF314">
        <v>3</v>
      </c>
      <c r="EG314" t="s">
        <v>472</v>
      </c>
      <c r="EH314">
        <v>0</v>
      </c>
      <c r="EI314" t="s">
        <v>6</v>
      </c>
      <c r="EJ314">
        <v>2</v>
      </c>
      <c r="EK314">
        <v>108001</v>
      </c>
      <c r="EL314" t="s">
        <v>473</v>
      </c>
      <c r="EM314" t="s">
        <v>474</v>
      </c>
      <c r="EO314" t="s">
        <v>6</v>
      </c>
      <c r="EQ314">
        <v>0</v>
      </c>
      <c r="ER314">
        <v>250.92</v>
      </c>
      <c r="ES314">
        <v>87.74</v>
      </c>
      <c r="ET314">
        <v>19.55</v>
      </c>
      <c r="EU314">
        <v>2.77</v>
      </c>
      <c r="EV314">
        <v>143.63</v>
      </c>
      <c r="EW314">
        <v>15.28</v>
      </c>
      <c r="EX314">
        <v>0.22</v>
      </c>
      <c r="EY314">
        <v>0</v>
      </c>
      <c r="FQ314">
        <v>0</v>
      </c>
      <c r="FR314">
        <f t="shared" si="339"/>
        <v>0</v>
      </c>
      <c r="FS314">
        <v>0</v>
      </c>
      <c r="FX314">
        <v>95</v>
      </c>
      <c r="FY314">
        <v>65</v>
      </c>
      <c r="GA314" t="s">
        <v>6</v>
      </c>
      <c r="GD314">
        <v>0</v>
      </c>
      <c r="GF314">
        <v>-1911495036</v>
      </c>
      <c r="GG314">
        <v>1</v>
      </c>
      <c r="GH314">
        <v>1</v>
      </c>
      <c r="GI314">
        <v>4</v>
      </c>
      <c r="GJ314">
        <v>0</v>
      </c>
      <c r="GK314">
        <f>ROUND(R314*(R12)/100,2)</f>
        <v>0</v>
      </c>
      <c r="GL314">
        <f t="shared" si="340"/>
        <v>0</v>
      </c>
      <c r="GM314">
        <f t="shared" si="341"/>
        <v>130.22</v>
      </c>
      <c r="GN314">
        <f t="shared" si="342"/>
        <v>0</v>
      </c>
      <c r="GO314">
        <f t="shared" si="343"/>
        <v>130.22</v>
      </c>
      <c r="GP314">
        <f t="shared" si="344"/>
        <v>0</v>
      </c>
      <c r="GR314">
        <v>0</v>
      </c>
      <c r="GS314">
        <v>3</v>
      </c>
      <c r="GT314">
        <v>0</v>
      </c>
      <c r="GU314" t="s">
        <v>6</v>
      </c>
      <c r="GV314">
        <f t="shared" si="345"/>
        <v>0</v>
      </c>
      <c r="GW314">
        <v>1</v>
      </c>
      <c r="GX314">
        <f t="shared" si="346"/>
        <v>0</v>
      </c>
      <c r="HA314">
        <v>0</v>
      </c>
      <c r="HB314">
        <v>0</v>
      </c>
      <c r="HC314">
        <f t="shared" si="347"/>
        <v>0</v>
      </c>
      <c r="IK314">
        <v>0</v>
      </c>
    </row>
    <row r="315" spans="1:245" x14ac:dyDescent="0.2">
      <c r="A315">
        <v>18</v>
      </c>
      <c r="B315">
        <v>1</v>
      </c>
      <c r="C315">
        <v>472</v>
      </c>
      <c r="E315" t="s">
        <v>703</v>
      </c>
      <c r="F315" t="s">
        <v>503</v>
      </c>
      <c r="G315" t="s">
        <v>504</v>
      </c>
      <c r="H315" t="s">
        <v>505</v>
      </c>
      <c r="I315">
        <f>I314*J315</f>
        <v>0.4</v>
      </c>
      <c r="J315">
        <v>10</v>
      </c>
      <c r="O315">
        <f t="shared" si="308"/>
        <v>266.83999999999997</v>
      </c>
      <c r="P315">
        <f t="shared" si="309"/>
        <v>266.83999999999997</v>
      </c>
      <c r="Q315">
        <f t="shared" si="310"/>
        <v>0</v>
      </c>
      <c r="R315">
        <f t="shared" si="311"/>
        <v>0</v>
      </c>
      <c r="S315">
        <f t="shared" si="312"/>
        <v>0</v>
      </c>
      <c r="T315">
        <f t="shared" si="313"/>
        <v>0</v>
      </c>
      <c r="U315">
        <f t="shared" si="314"/>
        <v>0</v>
      </c>
      <c r="V315">
        <f t="shared" si="315"/>
        <v>0</v>
      </c>
      <c r="W315">
        <f t="shared" si="316"/>
        <v>0</v>
      </c>
      <c r="X315">
        <f t="shared" si="317"/>
        <v>0</v>
      </c>
      <c r="Y315">
        <f t="shared" si="318"/>
        <v>0</v>
      </c>
      <c r="AA315">
        <v>16812721</v>
      </c>
      <c r="AB315">
        <f t="shared" si="319"/>
        <v>99.42</v>
      </c>
      <c r="AC315">
        <f t="shared" si="320"/>
        <v>99.42</v>
      </c>
      <c r="AD315">
        <f t="shared" si="321"/>
        <v>0</v>
      </c>
      <c r="AE315">
        <f t="shared" si="322"/>
        <v>0</v>
      </c>
      <c r="AF315">
        <f t="shared" si="323"/>
        <v>0</v>
      </c>
      <c r="AG315">
        <f t="shared" si="324"/>
        <v>0</v>
      </c>
      <c r="AH315">
        <f t="shared" si="325"/>
        <v>0</v>
      </c>
      <c r="AI315">
        <f t="shared" si="326"/>
        <v>0</v>
      </c>
      <c r="AJ315">
        <f t="shared" si="327"/>
        <v>0</v>
      </c>
      <c r="AK315">
        <v>99.42</v>
      </c>
      <c r="AL315">
        <v>99.42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95</v>
      </c>
      <c r="AU315">
        <v>65</v>
      </c>
      <c r="AV315">
        <v>1</v>
      </c>
      <c r="AW315">
        <v>1</v>
      </c>
      <c r="AZ315">
        <v>6.71</v>
      </c>
      <c r="BA315">
        <v>1</v>
      </c>
      <c r="BB315">
        <v>1</v>
      </c>
      <c r="BC315">
        <v>6.71</v>
      </c>
      <c r="BD315" t="s">
        <v>6</v>
      </c>
      <c r="BE315" t="s">
        <v>6</v>
      </c>
      <c r="BF315" t="s">
        <v>6</v>
      </c>
      <c r="BG315" t="s">
        <v>6</v>
      </c>
      <c r="BH315">
        <v>3</v>
      </c>
      <c r="BI315">
        <v>2</v>
      </c>
      <c r="BJ315" t="s">
        <v>506</v>
      </c>
      <c r="BM315">
        <v>108001</v>
      </c>
      <c r="BN315">
        <v>0</v>
      </c>
      <c r="BO315" t="s">
        <v>6</v>
      </c>
      <c r="BP315">
        <v>0</v>
      </c>
      <c r="BQ315">
        <v>3</v>
      </c>
      <c r="BR315">
        <v>0</v>
      </c>
      <c r="BS315">
        <v>1</v>
      </c>
      <c r="BT315">
        <v>1</v>
      </c>
      <c r="BU315">
        <v>1</v>
      </c>
      <c r="BV315">
        <v>1</v>
      </c>
      <c r="BW315">
        <v>1</v>
      </c>
      <c r="BX315">
        <v>1</v>
      </c>
      <c r="BY315" t="s">
        <v>6</v>
      </c>
      <c r="BZ315">
        <v>95</v>
      </c>
      <c r="CA315">
        <v>65</v>
      </c>
      <c r="CE315">
        <v>0</v>
      </c>
      <c r="CF315">
        <v>0</v>
      </c>
      <c r="CG315">
        <v>0</v>
      </c>
      <c r="CM315">
        <v>0</v>
      </c>
      <c r="CN315" t="s">
        <v>6</v>
      </c>
      <c r="CO315">
        <v>0</v>
      </c>
      <c r="CP315">
        <f t="shared" si="328"/>
        <v>266.83999999999997</v>
      </c>
      <c r="CQ315">
        <f t="shared" si="329"/>
        <v>667.10820000000001</v>
      </c>
      <c r="CR315">
        <f t="shared" si="330"/>
        <v>0</v>
      </c>
      <c r="CS315">
        <f t="shared" si="331"/>
        <v>0</v>
      </c>
      <c r="CT315">
        <f t="shared" si="332"/>
        <v>0</v>
      </c>
      <c r="CU315">
        <f t="shared" si="333"/>
        <v>0</v>
      </c>
      <c r="CV315">
        <f t="shared" si="334"/>
        <v>0</v>
      </c>
      <c r="CW315">
        <f t="shared" si="335"/>
        <v>0</v>
      </c>
      <c r="CX315">
        <f t="shared" si="336"/>
        <v>0</v>
      </c>
      <c r="CY315">
        <f t="shared" si="337"/>
        <v>0</v>
      </c>
      <c r="CZ315">
        <f t="shared" si="338"/>
        <v>0</v>
      </c>
      <c r="DC315" t="s">
        <v>6</v>
      </c>
      <c r="DD315" t="s">
        <v>6</v>
      </c>
      <c r="DE315" t="s">
        <v>6</v>
      </c>
      <c r="DF315" t="s">
        <v>6</v>
      </c>
      <c r="DG315" t="s">
        <v>6</v>
      </c>
      <c r="DH315" t="s">
        <v>6</v>
      </c>
      <c r="DI315" t="s">
        <v>6</v>
      </c>
      <c r="DJ315" t="s">
        <v>6</v>
      </c>
      <c r="DK315" t="s">
        <v>6</v>
      </c>
      <c r="DL315" t="s">
        <v>6</v>
      </c>
      <c r="DM315" t="s">
        <v>6</v>
      </c>
      <c r="DN315">
        <v>0</v>
      </c>
      <c r="DO315">
        <v>0</v>
      </c>
      <c r="DP315">
        <v>1</v>
      </c>
      <c r="DQ315">
        <v>1</v>
      </c>
      <c r="DU315">
        <v>1003</v>
      </c>
      <c r="DV315" t="s">
        <v>505</v>
      </c>
      <c r="DW315" t="s">
        <v>505</v>
      </c>
      <c r="DX315">
        <v>10</v>
      </c>
      <c r="EE315">
        <v>16510370</v>
      </c>
      <c r="EF315">
        <v>3</v>
      </c>
      <c r="EG315" t="s">
        <v>472</v>
      </c>
      <c r="EH315">
        <v>0</v>
      </c>
      <c r="EI315" t="s">
        <v>6</v>
      </c>
      <c r="EJ315">
        <v>2</v>
      </c>
      <c r="EK315">
        <v>108001</v>
      </c>
      <c r="EL315" t="s">
        <v>473</v>
      </c>
      <c r="EM315" t="s">
        <v>474</v>
      </c>
      <c r="EO315" t="s">
        <v>6</v>
      </c>
      <c r="EQ315">
        <v>0</v>
      </c>
      <c r="ER315">
        <v>99.42</v>
      </c>
      <c r="ES315">
        <v>99.42</v>
      </c>
      <c r="ET315">
        <v>0</v>
      </c>
      <c r="EU315">
        <v>0</v>
      </c>
      <c r="EV315">
        <v>0</v>
      </c>
      <c r="EW315">
        <v>0</v>
      </c>
      <c r="EX315">
        <v>0</v>
      </c>
      <c r="FQ315">
        <v>0</v>
      </c>
      <c r="FR315">
        <f t="shared" si="339"/>
        <v>0</v>
      </c>
      <c r="FS315">
        <v>0</v>
      </c>
      <c r="FX315">
        <v>95</v>
      </c>
      <c r="FY315">
        <v>65</v>
      </c>
      <c r="GA315" t="s">
        <v>6</v>
      </c>
      <c r="GD315">
        <v>0</v>
      </c>
      <c r="GF315">
        <v>-835976676</v>
      </c>
      <c r="GG315">
        <v>1</v>
      </c>
      <c r="GH315">
        <v>1</v>
      </c>
      <c r="GI315">
        <v>4</v>
      </c>
      <c r="GJ315">
        <v>0</v>
      </c>
      <c r="GK315">
        <f>ROUND(R315*(R12)/100,2)</f>
        <v>0</v>
      </c>
      <c r="GL315">
        <f t="shared" si="340"/>
        <v>0</v>
      </c>
      <c r="GM315">
        <f t="shared" si="341"/>
        <v>266.83999999999997</v>
      </c>
      <c r="GN315">
        <f t="shared" si="342"/>
        <v>0</v>
      </c>
      <c r="GO315">
        <f t="shared" si="343"/>
        <v>266.83999999999997</v>
      </c>
      <c r="GP315">
        <f t="shared" si="344"/>
        <v>0</v>
      </c>
      <c r="GR315">
        <v>0</v>
      </c>
      <c r="GS315">
        <v>3</v>
      </c>
      <c r="GT315">
        <v>0</v>
      </c>
      <c r="GU315" t="s">
        <v>6</v>
      </c>
      <c r="GV315">
        <f t="shared" si="345"/>
        <v>0</v>
      </c>
      <c r="GW315">
        <v>1</v>
      </c>
      <c r="GX315">
        <f t="shared" si="346"/>
        <v>0</v>
      </c>
      <c r="HA315">
        <v>0</v>
      </c>
      <c r="HB315">
        <v>0</v>
      </c>
      <c r="HC315">
        <f t="shared" si="347"/>
        <v>0</v>
      </c>
      <c r="IK315">
        <v>0</v>
      </c>
    </row>
    <row r="316" spans="1:245" x14ac:dyDescent="0.2">
      <c r="A316">
        <v>17</v>
      </c>
      <c r="B316">
        <v>1</v>
      </c>
      <c r="C316">
        <f>ROW(SmtRes!A483)</f>
        <v>483</v>
      </c>
      <c r="D316">
        <f>ROW(EtalonRes!A452)</f>
        <v>452</v>
      </c>
      <c r="E316" t="s">
        <v>704</v>
      </c>
      <c r="F316" t="s">
        <v>566</v>
      </c>
      <c r="G316" t="s">
        <v>567</v>
      </c>
      <c r="H316" t="s">
        <v>55</v>
      </c>
      <c r="I316">
        <f>ROUND(40/100,9)</f>
        <v>0.4</v>
      </c>
      <c r="J316">
        <v>0</v>
      </c>
      <c r="O316">
        <f t="shared" si="308"/>
        <v>1218.3399999999999</v>
      </c>
      <c r="P316">
        <f t="shared" si="309"/>
        <v>285.63</v>
      </c>
      <c r="Q316">
        <f t="shared" si="310"/>
        <v>12.53</v>
      </c>
      <c r="R316">
        <f t="shared" si="311"/>
        <v>1.72</v>
      </c>
      <c r="S316">
        <f t="shared" si="312"/>
        <v>920.18</v>
      </c>
      <c r="T316">
        <f t="shared" si="313"/>
        <v>0</v>
      </c>
      <c r="U316">
        <f t="shared" si="314"/>
        <v>13.824000000000002</v>
      </c>
      <c r="V316">
        <f t="shared" si="315"/>
        <v>2.0000000000000004E-2</v>
      </c>
      <c r="W316">
        <f t="shared" si="316"/>
        <v>0</v>
      </c>
      <c r="X316">
        <f t="shared" si="317"/>
        <v>875.81</v>
      </c>
      <c r="Y316">
        <f t="shared" si="318"/>
        <v>599.24</v>
      </c>
      <c r="AA316">
        <v>16812721</v>
      </c>
      <c r="AB316">
        <f t="shared" si="319"/>
        <v>453.93</v>
      </c>
      <c r="AC316">
        <f t="shared" si="320"/>
        <v>106.42</v>
      </c>
      <c r="AD316">
        <f t="shared" si="321"/>
        <v>4.67</v>
      </c>
      <c r="AE316">
        <f t="shared" si="322"/>
        <v>0.64</v>
      </c>
      <c r="AF316">
        <f t="shared" si="323"/>
        <v>342.84</v>
      </c>
      <c r="AG316">
        <f t="shared" si="324"/>
        <v>0</v>
      </c>
      <c r="AH316">
        <f t="shared" si="325"/>
        <v>34.56</v>
      </c>
      <c r="AI316">
        <f t="shared" si="326"/>
        <v>0.05</v>
      </c>
      <c r="AJ316">
        <f t="shared" si="327"/>
        <v>0</v>
      </c>
      <c r="AK316">
        <v>453.93</v>
      </c>
      <c r="AL316">
        <v>106.42</v>
      </c>
      <c r="AM316">
        <v>4.67</v>
      </c>
      <c r="AN316">
        <v>0.64</v>
      </c>
      <c r="AO316">
        <v>342.84</v>
      </c>
      <c r="AP316">
        <v>0</v>
      </c>
      <c r="AQ316">
        <v>34.56</v>
      </c>
      <c r="AR316">
        <v>0.05</v>
      </c>
      <c r="AS316">
        <v>0</v>
      </c>
      <c r="AT316">
        <v>95</v>
      </c>
      <c r="AU316">
        <v>65</v>
      </c>
      <c r="AV316">
        <v>1</v>
      </c>
      <c r="AW316">
        <v>1</v>
      </c>
      <c r="AZ316">
        <v>6.71</v>
      </c>
      <c r="BA316">
        <v>6.71</v>
      </c>
      <c r="BB316">
        <v>6.71</v>
      </c>
      <c r="BC316">
        <v>6.71</v>
      </c>
      <c r="BD316" t="s">
        <v>6</v>
      </c>
      <c r="BE316" t="s">
        <v>6</v>
      </c>
      <c r="BF316" t="s">
        <v>6</v>
      </c>
      <c r="BG316" t="s">
        <v>6</v>
      </c>
      <c r="BH316">
        <v>0</v>
      </c>
      <c r="BI316">
        <v>2</v>
      </c>
      <c r="BJ316" t="s">
        <v>568</v>
      </c>
      <c r="BM316">
        <v>108001</v>
      </c>
      <c r="BN316">
        <v>0</v>
      </c>
      <c r="BO316" t="s">
        <v>6</v>
      </c>
      <c r="BP316">
        <v>0</v>
      </c>
      <c r="BQ316">
        <v>3</v>
      </c>
      <c r="BR316">
        <v>0</v>
      </c>
      <c r="BS316">
        <v>6.71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6</v>
      </c>
      <c r="BZ316">
        <v>95</v>
      </c>
      <c r="CA316">
        <v>65</v>
      </c>
      <c r="CE316">
        <v>0</v>
      </c>
      <c r="CF316">
        <v>0</v>
      </c>
      <c r="CG316">
        <v>0</v>
      </c>
      <c r="CM316">
        <v>0</v>
      </c>
      <c r="CN316" t="s">
        <v>6</v>
      </c>
      <c r="CO316">
        <v>0</v>
      </c>
      <c r="CP316">
        <f t="shared" si="328"/>
        <v>1218.3399999999999</v>
      </c>
      <c r="CQ316">
        <f t="shared" si="329"/>
        <v>714.07820000000004</v>
      </c>
      <c r="CR316">
        <f t="shared" si="330"/>
        <v>31.335699999999999</v>
      </c>
      <c r="CS316">
        <f t="shared" si="331"/>
        <v>4.2944000000000004</v>
      </c>
      <c r="CT316">
        <f t="shared" si="332"/>
        <v>2300.4564</v>
      </c>
      <c r="CU316">
        <f t="shared" si="333"/>
        <v>0</v>
      </c>
      <c r="CV316">
        <f t="shared" si="334"/>
        <v>34.56</v>
      </c>
      <c r="CW316">
        <f t="shared" si="335"/>
        <v>0.05</v>
      </c>
      <c r="CX316">
        <f t="shared" si="336"/>
        <v>0</v>
      </c>
      <c r="CY316">
        <f t="shared" si="337"/>
        <v>875.80499999999995</v>
      </c>
      <c r="CZ316">
        <f t="shared" si="338"/>
        <v>599.23500000000001</v>
      </c>
      <c r="DC316" t="s">
        <v>6</v>
      </c>
      <c r="DD316" t="s">
        <v>6</v>
      </c>
      <c r="DE316" t="s">
        <v>6</v>
      </c>
      <c r="DF316" t="s">
        <v>6</v>
      </c>
      <c r="DG316" t="s">
        <v>6</v>
      </c>
      <c r="DH316" t="s">
        <v>6</v>
      </c>
      <c r="DI316" t="s">
        <v>6</v>
      </c>
      <c r="DJ316" t="s">
        <v>6</v>
      </c>
      <c r="DK316" t="s">
        <v>6</v>
      </c>
      <c r="DL316" t="s">
        <v>6</v>
      </c>
      <c r="DM316" t="s">
        <v>6</v>
      </c>
      <c r="DN316">
        <v>0</v>
      </c>
      <c r="DO316">
        <v>0</v>
      </c>
      <c r="DP316">
        <v>1</v>
      </c>
      <c r="DQ316">
        <v>1</v>
      </c>
      <c r="DU316">
        <v>1013</v>
      </c>
      <c r="DV316" t="s">
        <v>55</v>
      </c>
      <c r="DW316" t="s">
        <v>55</v>
      </c>
      <c r="DX316">
        <v>1</v>
      </c>
      <c r="EE316">
        <v>16510370</v>
      </c>
      <c r="EF316">
        <v>3</v>
      </c>
      <c r="EG316" t="s">
        <v>472</v>
      </c>
      <c r="EH316">
        <v>0</v>
      </c>
      <c r="EI316" t="s">
        <v>6</v>
      </c>
      <c r="EJ316">
        <v>2</v>
      </c>
      <c r="EK316">
        <v>108001</v>
      </c>
      <c r="EL316" t="s">
        <v>473</v>
      </c>
      <c r="EM316" t="s">
        <v>474</v>
      </c>
      <c r="EO316" t="s">
        <v>6</v>
      </c>
      <c r="EQ316">
        <v>0</v>
      </c>
      <c r="ER316">
        <v>453.93</v>
      </c>
      <c r="ES316">
        <v>106.42</v>
      </c>
      <c r="ET316">
        <v>4.67</v>
      </c>
      <c r="EU316">
        <v>0.64</v>
      </c>
      <c r="EV316">
        <v>342.84</v>
      </c>
      <c r="EW316">
        <v>34.56</v>
      </c>
      <c r="EX316">
        <v>0.05</v>
      </c>
      <c r="EY316">
        <v>0</v>
      </c>
      <c r="FQ316">
        <v>0</v>
      </c>
      <c r="FR316">
        <f t="shared" si="339"/>
        <v>0</v>
      </c>
      <c r="FS316">
        <v>0</v>
      </c>
      <c r="FX316">
        <v>95</v>
      </c>
      <c r="FY316">
        <v>65</v>
      </c>
      <c r="GA316" t="s">
        <v>6</v>
      </c>
      <c r="GD316">
        <v>0</v>
      </c>
      <c r="GF316">
        <v>1188648583</v>
      </c>
      <c r="GG316">
        <v>1</v>
      </c>
      <c r="GH316">
        <v>1</v>
      </c>
      <c r="GI316">
        <v>4</v>
      </c>
      <c r="GJ316">
        <v>0</v>
      </c>
      <c r="GK316">
        <f>ROUND(R316*(R12)/100,2)</f>
        <v>0</v>
      </c>
      <c r="GL316">
        <f t="shared" si="340"/>
        <v>0</v>
      </c>
      <c r="GM316">
        <f t="shared" si="341"/>
        <v>2693.39</v>
      </c>
      <c r="GN316">
        <f t="shared" si="342"/>
        <v>0</v>
      </c>
      <c r="GO316">
        <f t="shared" si="343"/>
        <v>2693.39</v>
      </c>
      <c r="GP316">
        <f t="shared" si="344"/>
        <v>0</v>
      </c>
      <c r="GR316">
        <v>0</v>
      </c>
      <c r="GS316">
        <v>3</v>
      </c>
      <c r="GT316">
        <v>0</v>
      </c>
      <c r="GU316" t="s">
        <v>6</v>
      </c>
      <c r="GV316">
        <f t="shared" si="345"/>
        <v>0</v>
      </c>
      <c r="GW316">
        <v>1</v>
      </c>
      <c r="GX316">
        <f t="shared" si="346"/>
        <v>0</v>
      </c>
      <c r="HA316">
        <v>0</v>
      </c>
      <c r="HB316">
        <v>0</v>
      </c>
      <c r="HC316">
        <f t="shared" si="347"/>
        <v>0</v>
      </c>
      <c r="IK316">
        <v>0</v>
      </c>
    </row>
    <row r="317" spans="1:245" x14ac:dyDescent="0.2">
      <c r="A317">
        <v>18</v>
      </c>
      <c r="B317">
        <v>1</v>
      </c>
      <c r="C317">
        <v>482</v>
      </c>
      <c r="E317" t="s">
        <v>705</v>
      </c>
      <c r="F317" t="s">
        <v>574</v>
      </c>
      <c r="G317" t="s">
        <v>706</v>
      </c>
      <c r="H317" t="s">
        <v>188</v>
      </c>
      <c r="I317">
        <f>I316*J317</f>
        <v>0.4</v>
      </c>
      <c r="J317">
        <v>1</v>
      </c>
      <c r="O317">
        <f t="shared" si="308"/>
        <v>1970.06</v>
      </c>
      <c r="P317">
        <f t="shared" si="309"/>
        <v>1970.06</v>
      </c>
      <c r="Q317">
        <f t="shared" si="310"/>
        <v>0</v>
      </c>
      <c r="R317">
        <f t="shared" si="311"/>
        <v>0</v>
      </c>
      <c r="S317">
        <f t="shared" si="312"/>
        <v>0</v>
      </c>
      <c r="T317">
        <f t="shared" si="313"/>
        <v>0</v>
      </c>
      <c r="U317">
        <f t="shared" si="314"/>
        <v>0</v>
      </c>
      <c r="V317">
        <f t="shared" si="315"/>
        <v>0</v>
      </c>
      <c r="W317">
        <f t="shared" si="316"/>
        <v>0</v>
      </c>
      <c r="X317">
        <f t="shared" si="317"/>
        <v>0</v>
      </c>
      <c r="Y317">
        <f t="shared" si="318"/>
        <v>0</v>
      </c>
      <c r="AA317">
        <v>16812721</v>
      </c>
      <c r="AB317">
        <f t="shared" si="319"/>
        <v>734</v>
      </c>
      <c r="AC317">
        <f t="shared" si="320"/>
        <v>734</v>
      </c>
      <c r="AD317">
        <f t="shared" si="321"/>
        <v>0</v>
      </c>
      <c r="AE317">
        <f t="shared" si="322"/>
        <v>0</v>
      </c>
      <c r="AF317">
        <f t="shared" si="323"/>
        <v>0</v>
      </c>
      <c r="AG317">
        <f t="shared" si="324"/>
        <v>0</v>
      </c>
      <c r="AH317">
        <f t="shared" si="325"/>
        <v>0</v>
      </c>
      <c r="AI317">
        <f t="shared" si="326"/>
        <v>0</v>
      </c>
      <c r="AJ317">
        <f t="shared" si="327"/>
        <v>0</v>
      </c>
      <c r="AK317">
        <v>734</v>
      </c>
      <c r="AL317">
        <v>734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95</v>
      </c>
      <c r="AU317">
        <v>65</v>
      </c>
      <c r="AV317">
        <v>1</v>
      </c>
      <c r="AW317">
        <v>1</v>
      </c>
      <c r="AZ317">
        <v>6.71</v>
      </c>
      <c r="BA317">
        <v>1</v>
      </c>
      <c r="BB317">
        <v>1</v>
      </c>
      <c r="BC317">
        <v>6.71</v>
      </c>
      <c r="BD317" t="s">
        <v>6</v>
      </c>
      <c r="BE317" t="s">
        <v>6</v>
      </c>
      <c r="BF317" t="s">
        <v>6</v>
      </c>
      <c r="BG317" t="s">
        <v>6</v>
      </c>
      <c r="BH317">
        <v>3</v>
      </c>
      <c r="BI317">
        <v>2</v>
      </c>
      <c r="BJ317" t="s">
        <v>576</v>
      </c>
      <c r="BM317">
        <v>108001</v>
      </c>
      <c r="BN317">
        <v>0</v>
      </c>
      <c r="BO317" t="s">
        <v>6</v>
      </c>
      <c r="BP317">
        <v>0</v>
      </c>
      <c r="BQ317">
        <v>3</v>
      </c>
      <c r="BR317">
        <v>0</v>
      </c>
      <c r="BS317">
        <v>1</v>
      </c>
      <c r="BT317">
        <v>1</v>
      </c>
      <c r="BU317">
        <v>1</v>
      </c>
      <c r="BV317">
        <v>1</v>
      </c>
      <c r="BW317">
        <v>1</v>
      </c>
      <c r="BX317">
        <v>1</v>
      </c>
      <c r="BY317" t="s">
        <v>6</v>
      </c>
      <c r="BZ317">
        <v>95</v>
      </c>
      <c r="CA317">
        <v>65</v>
      </c>
      <c r="CE317">
        <v>0</v>
      </c>
      <c r="CF317">
        <v>0</v>
      </c>
      <c r="CG317">
        <v>0</v>
      </c>
      <c r="CM317">
        <v>0</v>
      </c>
      <c r="CN317" t="s">
        <v>6</v>
      </c>
      <c r="CO317">
        <v>0</v>
      </c>
      <c r="CP317">
        <f t="shared" si="328"/>
        <v>1970.06</v>
      </c>
      <c r="CQ317">
        <f t="shared" si="329"/>
        <v>4925.1400000000003</v>
      </c>
      <c r="CR317">
        <f t="shared" si="330"/>
        <v>0</v>
      </c>
      <c r="CS317">
        <f t="shared" si="331"/>
        <v>0</v>
      </c>
      <c r="CT317">
        <f t="shared" si="332"/>
        <v>0</v>
      </c>
      <c r="CU317">
        <f t="shared" si="333"/>
        <v>0</v>
      </c>
      <c r="CV317">
        <f t="shared" si="334"/>
        <v>0</v>
      </c>
      <c r="CW317">
        <f t="shared" si="335"/>
        <v>0</v>
      </c>
      <c r="CX317">
        <f t="shared" si="336"/>
        <v>0</v>
      </c>
      <c r="CY317">
        <f t="shared" si="337"/>
        <v>0</v>
      </c>
      <c r="CZ317">
        <f t="shared" si="338"/>
        <v>0</v>
      </c>
      <c r="DC317" t="s">
        <v>6</v>
      </c>
      <c r="DD317" t="s">
        <v>6</v>
      </c>
      <c r="DE317" t="s">
        <v>6</v>
      </c>
      <c r="DF317" t="s">
        <v>6</v>
      </c>
      <c r="DG317" t="s">
        <v>6</v>
      </c>
      <c r="DH317" t="s">
        <v>6</v>
      </c>
      <c r="DI317" t="s">
        <v>6</v>
      </c>
      <c r="DJ317" t="s">
        <v>6</v>
      </c>
      <c r="DK317" t="s">
        <v>6</v>
      </c>
      <c r="DL317" t="s">
        <v>6</v>
      </c>
      <c r="DM317" t="s">
        <v>6</v>
      </c>
      <c r="DN317">
        <v>0</v>
      </c>
      <c r="DO317">
        <v>0</v>
      </c>
      <c r="DP317">
        <v>1</v>
      </c>
      <c r="DQ317">
        <v>1</v>
      </c>
      <c r="DU317">
        <v>1010</v>
      </c>
      <c r="DV317" t="s">
        <v>188</v>
      </c>
      <c r="DW317" t="s">
        <v>188</v>
      </c>
      <c r="DX317">
        <v>100</v>
      </c>
      <c r="EE317">
        <v>16510370</v>
      </c>
      <c r="EF317">
        <v>3</v>
      </c>
      <c r="EG317" t="s">
        <v>472</v>
      </c>
      <c r="EH317">
        <v>0</v>
      </c>
      <c r="EI317" t="s">
        <v>6</v>
      </c>
      <c r="EJ317">
        <v>2</v>
      </c>
      <c r="EK317">
        <v>108001</v>
      </c>
      <c r="EL317" t="s">
        <v>473</v>
      </c>
      <c r="EM317" t="s">
        <v>474</v>
      </c>
      <c r="EO317" t="s">
        <v>6</v>
      </c>
      <c r="EQ317">
        <v>0</v>
      </c>
      <c r="ER317">
        <v>734</v>
      </c>
      <c r="ES317">
        <v>734</v>
      </c>
      <c r="ET317">
        <v>0</v>
      </c>
      <c r="EU317">
        <v>0</v>
      </c>
      <c r="EV317">
        <v>0</v>
      </c>
      <c r="EW317">
        <v>0</v>
      </c>
      <c r="EX317">
        <v>0</v>
      </c>
      <c r="FQ317">
        <v>0</v>
      </c>
      <c r="FR317">
        <f t="shared" si="339"/>
        <v>0</v>
      </c>
      <c r="FS317">
        <v>0</v>
      </c>
      <c r="FX317">
        <v>95</v>
      </c>
      <c r="FY317">
        <v>65</v>
      </c>
      <c r="GA317" t="s">
        <v>6</v>
      </c>
      <c r="GD317">
        <v>0</v>
      </c>
      <c r="GF317">
        <v>375004976</v>
      </c>
      <c r="GG317">
        <v>1</v>
      </c>
      <c r="GH317">
        <v>1</v>
      </c>
      <c r="GI317">
        <v>4</v>
      </c>
      <c r="GJ317">
        <v>0</v>
      </c>
      <c r="GK317">
        <f>ROUND(R317*(R12)/100,2)</f>
        <v>0</v>
      </c>
      <c r="GL317">
        <f t="shared" si="340"/>
        <v>0</v>
      </c>
      <c r="GM317">
        <f t="shared" si="341"/>
        <v>1970.06</v>
      </c>
      <c r="GN317">
        <f t="shared" si="342"/>
        <v>0</v>
      </c>
      <c r="GO317">
        <f t="shared" si="343"/>
        <v>1970.06</v>
      </c>
      <c r="GP317">
        <f t="shared" si="344"/>
        <v>0</v>
      </c>
      <c r="GR317">
        <v>0</v>
      </c>
      <c r="GS317">
        <v>3</v>
      </c>
      <c r="GT317">
        <v>0</v>
      </c>
      <c r="GU317" t="s">
        <v>6</v>
      </c>
      <c r="GV317">
        <f t="shared" si="345"/>
        <v>0</v>
      </c>
      <c r="GW317">
        <v>1</v>
      </c>
      <c r="GX317">
        <f t="shared" si="346"/>
        <v>0</v>
      </c>
      <c r="HA317">
        <v>0</v>
      </c>
      <c r="HB317">
        <v>0</v>
      </c>
      <c r="HC317">
        <f t="shared" si="347"/>
        <v>0</v>
      </c>
      <c r="IK317">
        <v>0</v>
      </c>
    </row>
    <row r="319" spans="1:245" x14ac:dyDescent="0.2">
      <c r="A319" s="2">
        <v>51</v>
      </c>
      <c r="B319" s="2">
        <f>B304</f>
        <v>1</v>
      </c>
      <c r="C319" s="2">
        <f>A304</f>
        <v>4</v>
      </c>
      <c r="D319" s="2">
        <f>ROW(A304)</f>
        <v>304</v>
      </c>
      <c r="E319" s="2"/>
      <c r="F319" s="2" t="str">
        <f>IF(F304&lt;&gt;"",F304,"")</f>
        <v>Новый раздел</v>
      </c>
      <c r="G319" s="2" t="str">
        <f>IF(G304&lt;&gt;"",G304,"")</f>
        <v>Сети СКС</v>
      </c>
      <c r="H319" s="2">
        <v>0</v>
      </c>
      <c r="I319" s="2"/>
      <c r="J319" s="2"/>
      <c r="K319" s="2"/>
      <c r="L319" s="2"/>
      <c r="M319" s="2"/>
      <c r="N319" s="2"/>
      <c r="O319" s="2">
        <f t="shared" ref="O319:T319" si="348">ROUND(AB319,2)</f>
        <v>89228.76</v>
      </c>
      <c r="P319" s="2">
        <f t="shared" si="348"/>
        <v>80337</v>
      </c>
      <c r="Q319" s="2">
        <f t="shared" si="348"/>
        <v>487.52</v>
      </c>
      <c r="R319" s="2">
        <f t="shared" si="348"/>
        <v>68.62</v>
      </c>
      <c r="S319" s="2">
        <f t="shared" si="348"/>
        <v>8404.24</v>
      </c>
      <c r="T319" s="2">
        <f t="shared" si="348"/>
        <v>0</v>
      </c>
      <c r="U319" s="2">
        <f>AH319</f>
        <v>133.26599999999999</v>
      </c>
      <c r="V319" s="2">
        <f>AI319</f>
        <v>0.81759999999999999</v>
      </c>
      <c r="W319" s="2">
        <f>ROUND(AJ319,2)</f>
        <v>0</v>
      </c>
      <c r="X319" s="2">
        <f>ROUND(AK319,2)</f>
        <v>8018.8</v>
      </c>
      <c r="Y319" s="2">
        <f>ROUND(AL319,2)</f>
        <v>5480.51</v>
      </c>
      <c r="Z319" s="2"/>
      <c r="AA319" s="2"/>
      <c r="AB319" s="2">
        <f>ROUND(SUMIF(AA308:AA317,"=16812721",O308:O317),2)</f>
        <v>89228.76</v>
      </c>
      <c r="AC319" s="2">
        <f>ROUND(SUMIF(AA308:AA317,"=16812721",P308:P317),2)</f>
        <v>80337</v>
      </c>
      <c r="AD319" s="2">
        <f>ROUND(SUMIF(AA308:AA317,"=16812721",Q308:Q317),2)</f>
        <v>487.52</v>
      </c>
      <c r="AE319" s="2">
        <f>ROUND(SUMIF(AA308:AA317,"=16812721",R308:R317),2)</f>
        <v>68.62</v>
      </c>
      <c r="AF319" s="2">
        <f>ROUND(SUMIF(AA308:AA317,"=16812721",S308:S317),2)</f>
        <v>8404.24</v>
      </c>
      <c r="AG319" s="2">
        <f>ROUND(SUMIF(AA308:AA317,"=16812721",T308:T317),2)</f>
        <v>0</v>
      </c>
      <c r="AH319" s="2">
        <f>SUMIF(AA308:AA317,"=16812721",U308:U317)</f>
        <v>133.26599999999999</v>
      </c>
      <c r="AI319" s="2">
        <f>SUMIF(AA308:AA317,"=16812721",V308:V317)</f>
        <v>0.81759999999999999</v>
      </c>
      <c r="AJ319" s="2">
        <f>ROUND(SUMIF(AA308:AA317,"=16812721",W308:W317),2)</f>
        <v>0</v>
      </c>
      <c r="AK319" s="2">
        <f>ROUND(SUMIF(AA308:AA317,"=16812721",X308:X317),2)</f>
        <v>8018.8</v>
      </c>
      <c r="AL319" s="2">
        <f>ROUND(SUMIF(AA308:AA317,"=16812721",Y308:Y317),2)</f>
        <v>5480.51</v>
      </c>
      <c r="AM319" s="2"/>
      <c r="AN319" s="2"/>
      <c r="AO319" s="2">
        <f t="shared" ref="AO319:BC319" si="349">ROUND(BX319,2)</f>
        <v>0</v>
      </c>
      <c r="AP319" s="2">
        <f t="shared" si="349"/>
        <v>0</v>
      </c>
      <c r="AQ319" s="2">
        <f t="shared" si="349"/>
        <v>0</v>
      </c>
      <c r="AR319" s="2">
        <f t="shared" si="349"/>
        <v>102728.07</v>
      </c>
      <c r="AS319" s="2">
        <f t="shared" si="349"/>
        <v>408.12</v>
      </c>
      <c r="AT319" s="2">
        <f t="shared" si="349"/>
        <v>102319.95</v>
      </c>
      <c r="AU319" s="2">
        <f t="shared" si="349"/>
        <v>0</v>
      </c>
      <c r="AV319" s="2">
        <f t="shared" si="349"/>
        <v>80337</v>
      </c>
      <c r="AW319" s="2">
        <f t="shared" si="349"/>
        <v>80337</v>
      </c>
      <c r="AX319" s="2">
        <f t="shared" si="349"/>
        <v>0</v>
      </c>
      <c r="AY319" s="2">
        <f t="shared" si="349"/>
        <v>80337</v>
      </c>
      <c r="AZ319" s="2">
        <f t="shared" si="349"/>
        <v>0</v>
      </c>
      <c r="BA319" s="2">
        <f t="shared" si="349"/>
        <v>0</v>
      </c>
      <c r="BB319" s="2">
        <f t="shared" si="349"/>
        <v>0</v>
      </c>
      <c r="BC319" s="2">
        <f t="shared" si="349"/>
        <v>0</v>
      </c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>
        <f>ROUND(SUMIF(AA308:AA317,"=16812721",FQ308:FQ317),2)</f>
        <v>0</v>
      </c>
      <c r="BY319" s="2">
        <f>ROUND(SUMIF(AA308:AA317,"=16812721",FR308:FR317),2)</f>
        <v>0</v>
      </c>
      <c r="BZ319" s="2">
        <f>ROUND(SUMIF(AA308:AA317,"=16812721",GL308:GL317),2)</f>
        <v>0</v>
      </c>
      <c r="CA319" s="2">
        <f>ROUND(SUMIF(AA308:AA317,"=16812721",GM308:GM317),2)</f>
        <v>102728.07</v>
      </c>
      <c r="CB319" s="2">
        <f>ROUND(SUMIF(AA308:AA317,"=16812721",GN308:GN317),2)</f>
        <v>408.12</v>
      </c>
      <c r="CC319" s="2">
        <f>ROUND(SUMIF(AA308:AA317,"=16812721",GO308:GO317),2)</f>
        <v>102319.95</v>
      </c>
      <c r="CD319" s="2">
        <f>ROUND(SUMIF(AA308:AA317,"=16812721",GP308:GP317),2)</f>
        <v>0</v>
      </c>
      <c r="CE319" s="2">
        <f>AC319-BX319</f>
        <v>80337</v>
      </c>
      <c r="CF319" s="2">
        <f>AC319-BY319</f>
        <v>80337</v>
      </c>
      <c r="CG319" s="2">
        <f>BX319-BZ319</f>
        <v>0</v>
      </c>
      <c r="CH319" s="2">
        <f>AC319-BX319-BY319+BZ319</f>
        <v>80337</v>
      </c>
      <c r="CI319" s="2">
        <f>BY319-BZ319</f>
        <v>0</v>
      </c>
      <c r="CJ319" s="2">
        <f>ROUND(SUMIF(AA308:AA317,"=16812721",GX308:GX317),2)</f>
        <v>0</v>
      </c>
      <c r="CK319" s="2">
        <f>ROUND(SUMIF(AA308:AA317,"=16812721",GY308:GY317),2)</f>
        <v>0</v>
      </c>
      <c r="CL319" s="2">
        <f>ROUND(SUMIF(AA308:AA317,"=16812721",GZ308:GZ317),2)</f>
        <v>0</v>
      </c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3"/>
      <c r="EF319" s="3"/>
      <c r="EG319" s="3"/>
      <c r="EH319" s="3"/>
      <c r="EI319" s="3"/>
      <c r="EJ319" s="3"/>
      <c r="EK319" s="3"/>
      <c r="EL319" s="3"/>
      <c r="EM319" s="3"/>
      <c r="EN319" s="3"/>
      <c r="EO319" s="3"/>
      <c r="EP319" s="3"/>
      <c r="EQ319" s="3"/>
      <c r="ER319" s="3"/>
      <c r="ES319" s="3"/>
      <c r="ET319" s="3"/>
      <c r="EU319" s="3"/>
      <c r="EV319" s="3"/>
      <c r="EW319" s="3"/>
      <c r="EX319" s="3"/>
      <c r="EY319" s="3"/>
      <c r="EZ319" s="3"/>
      <c r="FA319" s="3"/>
      <c r="FB319" s="3"/>
      <c r="FC319" s="3"/>
      <c r="FD319" s="3"/>
      <c r="FE319" s="3"/>
      <c r="FF319" s="3"/>
      <c r="FG319" s="3"/>
      <c r="FH319" s="3"/>
      <c r="FI319" s="3"/>
      <c r="FJ319" s="3"/>
      <c r="FK319" s="3"/>
      <c r="FL319" s="3"/>
      <c r="FM319" s="3"/>
      <c r="FN319" s="3"/>
      <c r="FO319" s="3"/>
      <c r="FP319" s="3"/>
      <c r="FQ319" s="3"/>
      <c r="FR319" s="3"/>
      <c r="FS319" s="3"/>
      <c r="FT319" s="3"/>
      <c r="FU319" s="3"/>
      <c r="FV319" s="3"/>
      <c r="FW319" s="3"/>
      <c r="FX319" s="3"/>
      <c r="FY319" s="3"/>
      <c r="FZ319" s="3"/>
      <c r="GA319" s="3"/>
      <c r="GB319" s="3"/>
      <c r="GC319" s="3"/>
      <c r="GD319" s="3"/>
      <c r="GE319" s="3"/>
      <c r="GF319" s="3"/>
      <c r="GG319" s="3"/>
      <c r="GH319" s="3"/>
      <c r="GI319" s="3"/>
      <c r="GJ319" s="3"/>
      <c r="GK319" s="3"/>
      <c r="GL319" s="3"/>
      <c r="GM319" s="3"/>
      <c r="GN319" s="3"/>
      <c r="GO319" s="3"/>
      <c r="GP319" s="3"/>
      <c r="GQ319" s="3"/>
      <c r="GR319" s="3"/>
      <c r="GS319" s="3"/>
      <c r="GT319" s="3"/>
      <c r="GU319" s="3"/>
      <c r="GV319" s="3"/>
      <c r="GW319" s="3"/>
      <c r="GX319" s="3">
        <v>0</v>
      </c>
    </row>
    <row r="321" spans="1:23" x14ac:dyDescent="0.2">
      <c r="A321" s="4">
        <v>50</v>
      </c>
      <c r="B321" s="4">
        <v>0</v>
      </c>
      <c r="C321" s="4">
        <v>0</v>
      </c>
      <c r="D321" s="4">
        <v>1</v>
      </c>
      <c r="E321" s="4">
        <v>201</v>
      </c>
      <c r="F321" s="4">
        <f>ROUND(Source!O319,O321)</f>
        <v>89228.76</v>
      </c>
      <c r="G321" s="4" t="s">
        <v>361</v>
      </c>
      <c r="H321" s="4" t="s">
        <v>362</v>
      </c>
      <c r="I321" s="4"/>
      <c r="J321" s="4"/>
      <c r="K321" s="4">
        <v>201</v>
      </c>
      <c r="L321" s="4">
        <v>1</v>
      </c>
      <c r="M321" s="4">
        <v>3</v>
      </c>
      <c r="N321" s="4" t="s">
        <v>6</v>
      </c>
      <c r="O321" s="4">
        <v>2</v>
      </c>
      <c r="P321" s="4"/>
      <c r="Q321" s="4"/>
      <c r="R321" s="4"/>
      <c r="S321" s="4"/>
      <c r="T321" s="4"/>
      <c r="U321" s="4"/>
      <c r="V321" s="4"/>
      <c r="W321" s="4"/>
    </row>
    <row r="322" spans="1:23" x14ac:dyDescent="0.2">
      <c r="A322" s="4">
        <v>50</v>
      </c>
      <c r="B322" s="4">
        <v>0</v>
      </c>
      <c r="C322" s="4">
        <v>0</v>
      </c>
      <c r="D322" s="4">
        <v>1</v>
      </c>
      <c r="E322" s="4">
        <v>202</v>
      </c>
      <c r="F322" s="4">
        <f>ROUND(Source!P319,O322)</f>
        <v>80337</v>
      </c>
      <c r="G322" s="4" t="s">
        <v>363</v>
      </c>
      <c r="H322" s="4" t="s">
        <v>364</v>
      </c>
      <c r="I322" s="4"/>
      <c r="J322" s="4"/>
      <c r="K322" s="4">
        <v>202</v>
      </c>
      <c r="L322" s="4">
        <v>2</v>
      </c>
      <c r="M322" s="4">
        <v>3</v>
      </c>
      <c r="N322" s="4" t="s">
        <v>6</v>
      </c>
      <c r="O322" s="4">
        <v>2</v>
      </c>
      <c r="P322" s="4"/>
      <c r="Q322" s="4"/>
      <c r="R322" s="4"/>
      <c r="S322" s="4"/>
      <c r="T322" s="4"/>
      <c r="U322" s="4"/>
      <c r="V322" s="4"/>
      <c r="W322" s="4"/>
    </row>
    <row r="323" spans="1:23" x14ac:dyDescent="0.2">
      <c r="A323" s="4">
        <v>50</v>
      </c>
      <c r="B323" s="4">
        <v>0</v>
      </c>
      <c r="C323" s="4">
        <v>0</v>
      </c>
      <c r="D323" s="4">
        <v>1</v>
      </c>
      <c r="E323" s="4">
        <v>222</v>
      </c>
      <c r="F323" s="4">
        <f>ROUND(Source!AO319,O323)</f>
        <v>0</v>
      </c>
      <c r="G323" s="4" t="s">
        <v>365</v>
      </c>
      <c r="H323" s="4" t="s">
        <v>366</v>
      </c>
      <c r="I323" s="4"/>
      <c r="J323" s="4"/>
      <c r="K323" s="4">
        <v>222</v>
      </c>
      <c r="L323" s="4">
        <v>3</v>
      </c>
      <c r="M323" s="4">
        <v>3</v>
      </c>
      <c r="N323" s="4" t="s">
        <v>6</v>
      </c>
      <c r="O323" s="4">
        <v>2</v>
      </c>
      <c r="P323" s="4"/>
      <c r="Q323" s="4"/>
      <c r="R323" s="4"/>
      <c r="S323" s="4"/>
      <c r="T323" s="4"/>
      <c r="U323" s="4"/>
      <c r="V323" s="4"/>
      <c r="W323" s="4"/>
    </row>
    <row r="324" spans="1:23" x14ac:dyDescent="0.2">
      <c r="A324" s="4">
        <v>50</v>
      </c>
      <c r="B324" s="4">
        <v>0</v>
      </c>
      <c r="C324" s="4">
        <v>0</v>
      </c>
      <c r="D324" s="4">
        <v>1</v>
      </c>
      <c r="E324" s="4">
        <v>225</v>
      </c>
      <c r="F324" s="4">
        <f>ROUND(Source!AV319,O324)</f>
        <v>80337</v>
      </c>
      <c r="G324" s="4" t="s">
        <v>367</v>
      </c>
      <c r="H324" s="4" t="s">
        <v>368</v>
      </c>
      <c r="I324" s="4"/>
      <c r="J324" s="4"/>
      <c r="K324" s="4">
        <v>225</v>
      </c>
      <c r="L324" s="4">
        <v>4</v>
      </c>
      <c r="M324" s="4">
        <v>3</v>
      </c>
      <c r="N324" s="4" t="s">
        <v>6</v>
      </c>
      <c r="O324" s="4">
        <v>2</v>
      </c>
      <c r="P324" s="4"/>
      <c r="Q324" s="4"/>
      <c r="R324" s="4"/>
      <c r="S324" s="4"/>
      <c r="T324" s="4"/>
      <c r="U324" s="4"/>
      <c r="V324" s="4"/>
      <c r="W324" s="4"/>
    </row>
    <row r="325" spans="1:23" x14ac:dyDescent="0.2">
      <c r="A325" s="4">
        <v>50</v>
      </c>
      <c r="B325" s="4">
        <v>0</v>
      </c>
      <c r="C325" s="4">
        <v>0</v>
      </c>
      <c r="D325" s="4">
        <v>1</v>
      </c>
      <c r="E325" s="4">
        <v>226</v>
      </c>
      <c r="F325" s="4">
        <f>ROUND(Source!AW319,O325)</f>
        <v>80337</v>
      </c>
      <c r="G325" s="4" t="s">
        <v>369</v>
      </c>
      <c r="H325" s="4" t="s">
        <v>370</v>
      </c>
      <c r="I325" s="4"/>
      <c r="J325" s="4"/>
      <c r="K325" s="4">
        <v>226</v>
      </c>
      <c r="L325" s="4">
        <v>5</v>
      </c>
      <c r="M325" s="4">
        <v>3</v>
      </c>
      <c r="N325" s="4" t="s">
        <v>6</v>
      </c>
      <c r="O325" s="4">
        <v>2</v>
      </c>
      <c r="P325" s="4"/>
      <c r="Q325" s="4"/>
      <c r="R325" s="4"/>
      <c r="S325" s="4"/>
      <c r="T325" s="4"/>
      <c r="U325" s="4"/>
      <c r="V325" s="4"/>
      <c r="W325" s="4"/>
    </row>
    <row r="326" spans="1:23" x14ac:dyDescent="0.2">
      <c r="A326" s="4">
        <v>50</v>
      </c>
      <c r="B326" s="4">
        <v>0</v>
      </c>
      <c r="C326" s="4">
        <v>0</v>
      </c>
      <c r="D326" s="4">
        <v>1</v>
      </c>
      <c r="E326" s="4">
        <v>227</v>
      </c>
      <c r="F326" s="4">
        <f>ROUND(Source!AX319,O326)</f>
        <v>0</v>
      </c>
      <c r="G326" s="4" t="s">
        <v>371</v>
      </c>
      <c r="H326" s="4" t="s">
        <v>372</v>
      </c>
      <c r="I326" s="4"/>
      <c r="J326" s="4"/>
      <c r="K326" s="4">
        <v>227</v>
      </c>
      <c r="L326" s="4">
        <v>6</v>
      </c>
      <c r="M326" s="4">
        <v>3</v>
      </c>
      <c r="N326" s="4" t="s">
        <v>6</v>
      </c>
      <c r="O326" s="4">
        <v>2</v>
      </c>
      <c r="P326" s="4"/>
      <c r="Q326" s="4"/>
      <c r="R326" s="4"/>
      <c r="S326" s="4"/>
      <c r="T326" s="4"/>
      <c r="U326" s="4"/>
      <c r="V326" s="4"/>
      <c r="W326" s="4"/>
    </row>
    <row r="327" spans="1:23" x14ac:dyDescent="0.2">
      <c r="A327" s="4">
        <v>50</v>
      </c>
      <c r="B327" s="4">
        <v>0</v>
      </c>
      <c r="C327" s="4">
        <v>0</v>
      </c>
      <c r="D327" s="4">
        <v>1</v>
      </c>
      <c r="E327" s="4">
        <v>228</v>
      </c>
      <c r="F327" s="4">
        <f>ROUND(Source!AY319,O327)</f>
        <v>80337</v>
      </c>
      <c r="G327" s="4" t="s">
        <v>373</v>
      </c>
      <c r="H327" s="4" t="s">
        <v>374</v>
      </c>
      <c r="I327" s="4"/>
      <c r="J327" s="4"/>
      <c r="K327" s="4">
        <v>228</v>
      </c>
      <c r="L327" s="4">
        <v>7</v>
      </c>
      <c r="M327" s="4">
        <v>3</v>
      </c>
      <c r="N327" s="4" t="s">
        <v>6</v>
      </c>
      <c r="O327" s="4">
        <v>2</v>
      </c>
      <c r="P327" s="4"/>
      <c r="Q327" s="4"/>
      <c r="R327" s="4"/>
      <c r="S327" s="4"/>
      <c r="T327" s="4"/>
      <c r="U327" s="4"/>
      <c r="V327" s="4"/>
      <c r="W327" s="4"/>
    </row>
    <row r="328" spans="1:23" x14ac:dyDescent="0.2">
      <c r="A328" s="4">
        <v>50</v>
      </c>
      <c r="B328" s="4">
        <v>0</v>
      </c>
      <c r="C328" s="4">
        <v>0</v>
      </c>
      <c r="D328" s="4">
        <v>1</v>
      </c>
      <c r="E328" s="4">
        <v>216</v>
      </c>
      <c r="F328" s="4">
        <f>ROUND(Source!AP319,O328)</f>
        <v>0</v>
      </c>
      <c r="G328" s="4" t="s">
        <v>375</v>
      </c>
      <c r="H328" s="4" t="s">
        <v>376</v>
      </c>
      <c r="I328" s="4"/>
      <c r="J328" s="4"/>
      <c r="K328" s="4">
        <v>216</v>
      </c>
      <c r="L328" s="4">
        <v>8</v>
      </c>
      <c r="M328" s="4">
        <v>3</v>
      </c>
      <c r="N328" s="4" t="s">
        <v>6</v>
      </c>
      <c r="O328" s="4">
        <v>2</v>
      </c>
      <c r="P328" s="4"/>
      <c r="Q328" s="4"/>
      <c r="R328" s="4"/>
      <c r="S328" s="4"/>
      <c r="T328" s="4"/>
      <c r="U328" s="4"/>
      <c r="V328" s="4"/>
      <c r="W328" s="4"/>
    </row>
    <row r="329" spans="1:23" x14ac:dyDescent="0.2">
      <c r="A329" s="4">
        <v>50</v>
      </c>
      <c r="B329" s="4">
        <v>0</v>
      </c>
      <c r="C329" s="4">
        <v>0</v>
      </c>
      <c r="D329" s="4">
        <v>1</v>
      </c>
      <c r="E329" s="4">
        <v>223</v>
      </c>
      <c r="F329" s="4">
        <f>ROUND(Source!AQ319,O329)</f>
        <v>0</v>
      </c>
      <c r="G329" s="4" t="s">
        <v>377</v>
      </c>
      <c r="H329" s="4" t="s">
        <v>378</v>
      </c>
      <c r="I329" s="4"/>
      <c r="J329" s="4"/>
      <c r="K329" s="4">
        <v>223</v>
      </c>
      <c r="L329" s="4">
        <v>9</v>
      </c>
      <c r="M329" s="4">
        <v>3</v>
      </c>
      <c r="N329" s="4" t="s">
        <v>6</v>
      </c>
      <c r="O329" s="4">
        <v>2</v>
      </c>
      <c r="P329" s="4"/>
      <c r="Q329" s="4"/>
      <c r="R329" s="4"/>
      <c r="S329" s="4"/>
      <c r="T329" s="4"/>
      <c r="U329" s="4"/>
      <c r="V329" s="4"/>
      <c r="W329" s="4"/>
    </row>
    <row r="330" spans="1:23" x14ac:dyDescent="0.2">
      <c r="A330" s="4">
        <v>50</v>
      </c>
      <c r="B330" s="4">
        <v>0</v>
      </c>
      <c r="C330" s="4">
        <v>0</v>
      </c>
      <c r="D330" s="4">
        <v>1</v>
      </c>
      <c r="E330" s="4">
        <v>229</v>
      </c>
      <c r="F330" s="4">
        <f>ROUND(Source!AZ319,O330)</f>
        <v>0</v>
      </c>
      <c r="G330" s="4" t="s">
        <v>379</v>
      </c>
      <c r="H330" s="4" t="s">
        <v>380</v>
      </c>
      <c r="I330" s="4"/>
      <c r="J330" s="4"/>
      <c r="K330" s="4">
        <v>229</v>
      </c>
      <c r="L330" s="4">
        <v>10</v>
      </c>
      <c r="M330" s="4">
        <v>3</v>
      </c>
      <c r="N330" s="4" t="s">
        <v>6</v>
      </c>
      <c r="O330" s="4">
        <v>2</v>
      </c>
      <c r="P330" s="4"/>
      <c r="Q330" s="4"/>
      <c r="R330" s="4"/>
      <c r="S330" s="4"/>
      <c r="T330" s="4"/>
      <c r="U330" s="4"/>
      <c r="V330" s="4"/>
      <c r="W330" s="4"/>
    </row>
    <row r="331" spans="1:23" x14ac:dyDescent="0.2">
      <c r="A331" s="4">
        <v>50</v>
      </c>
      <c r="B331" s="4">
        <v>0</v>
      </c>
      <c r="C331" s="4">
        <v>0</v>
      </c>
      <c r="D331" s="4">
        <v>1</v>
      </c>
      <c r="E331" s="4">
        <v>203</v>
      </c>
      <c r="F331" s="4">
        <f>ROUND(Source!Q319,O331)</f>
        <v>487.52</v>
      </c>
      <c r="G331" s="4" t="s">
        <v>381</v>
      </c>
      <c r="H331" s="4" t="s">
        <v>382</v>
      </c>
      <c r="I331" s="4"/>
      <c r="J331" s="4"/>
      <c r="K331" s="4">
        <v>203</v>
      </c>
      <c r="L331" s="4">
        <v>11</v>
      </c>
      <c r="M331" s="4">
        <v>3</v>
      </c>
      <c r="N331" s="4" t="s">
        <v>6</v>
      </c>
      <c r="O331" s="4">
        <v>2</v>
      </c>
      <c r="P331" s="4"/>
      <c r="Q331" s="4"/>
      <c r="R331" s="4"/>
      <c r="S331" s="4"/>
      <c r="T331" s="4"/>
      <c r="U331" s="4"/>
      <c r="V331" s="4"/>
      <c r="W331" s="4"/>
    </row>
    <row r="332" spans="1:23" x14ac:dyDescent="0.2">
      <c r="A332" s="4">
        <v>50</v>
      </c>
      <c r="B332" s="4">
        <v>0</v>
      </c>
      <c r="C332" s="4">
        <v>0</v>
      </c>
      <c r="D332" s="4">
        <v>1</v>
      </c>
      <c r="E332" s="4">
        <v>231</v>
      </c>
      <c r="F332" s="4">
        <f>ROUND(Source!BB319,O332)</f>
        <v>0</v>
      </c>
      <c r="G332" s="4" t="s">
        <v>383</v>
      </c>
      <c r="H332" s="4" t="s">
        <v>384</v>
      </c>
      <c r="I332" s="4"/>
      <c r="J332" s="4"/>
      <c r="K332" s="4">
        <v>231</v>
      </c>
      <c r="L332" s="4">
        <v>12</v>
      </c>
      <c r="M332" s="4">
        <v>3</v>
      </c>
      <c r="N332" s="4" t="s">
        <v>6</v>
      </c>
      <c r="O332" s="4">
        <v>2</v>
      </c>
      <c r="P332" s="4"/>
      <c r="Q332" s="4"/>
      <c r="R332" s="4"/>
      <c r="S332" s="4"/>
      <c r="T332" s="4"/>
      <c r="U332" s="4"/>
      <c r="V332" s="4"/>
      <c r="W332" s="4"/>
    </row>
    <row r="333" spans="1:23" x14ac:dyDescent="0.2">
      <c r="A333" s="4">
        <v>50</v>
      </c>
      <c r="B333" s="4">
        <v>0</v>
      </c>
      <c r="C333" s="4">
        <v>0</v>
      </c>
      <c r="D333" s="4">
        <v>1</v>
      </c>
      <c r="E333" s="4">
        <v>204</v>
      </c>
      <c r="F333" s="4">
        <f>ROUND(Source!R319,O333)</f>
        <v>68.62</v>
      </c>
      <c r="G333" s="4" t="s">
        <v>385</v>
      </c>
      <c r="H333" s="4" t="s">
        <v>386</v>
      </c>
      <c r="I333" s="4"/>
      <c r="J333" s="4"/>
      <c r="K333" s="4">
        <v>204</v>
      </c>
      <c r="L333" s="4">
        <v>13</v>
      </c>
      <c r="M333" s="4">
        <v>3</v>
      </c>
      <c r="N333" s="4" t="s">
        <v>6</v>
      </c>
      <c r="O333" s="4">
        <v>2</v>
      </c>
      <c r="P333" s="4"/>
      <c r="Q333" s="4"/>
      <c r="R333" s="4"/>
      <c r="S333" s="4"/>
      <c r="T333" s="4"/>
      <c r="U333" s="4"/>
      <c r="V333" s="4"/>
      <c r="W333" s="4"/>
    </row>
    <row r="334" spans="1:23" x14ac:dyDescent="0.2">
      <c r="A334" s="4">
        <v>50</v>
      </c>
      <c r="B334" s="4">
        <v>0</v>
      </c>
      <c r="C334" s="4">
        <v>0</v>
      </c>
      <c r="D334" s="4">
        <v>1</v>
      </c>
      <c r="E334" s="4">
        <v>205</v>
      </c>
      <c r="F334" s="4">
        <f>ROUND(Source!S319,O334)</f>
        <v>8404.24</v>
      </c>
      <c r="G334" s="4" t="s">
        <v>387</v>
      </c>
      <c r="H334" s="4" t="s">
        <v>388</v>
      </c>
      <c r="I334" s="4"/>
      <c r="J334" s="4"/>
      <c r="K334" s="4">
        <v>205</v>
      </c>
      <c r="L334" s="4">
        <v>14</v>
      </c>
      <c r="M334" s="4">
        <v>3</v>
      </c>
      <c r="N334" s="4" t="s">
        <v>6</v>
      </c>
      <c r="O334" s="4">
        <v>2</v>
      </c>
      <c r="P334" s="4"/>
      <c r="Q334" s="4"/>
      <c r="R334" s="4"/>
      <c r="S334" s="4"/>
      <c r="T334" s="4"/>
      <c r="U334" s="4"/>
      <c r="V334" s="4"/>
      <c r="W334" s="4"/>
    </row>
    <row r="335" spans="1:23" x14ac:dyDescent="0.2">
      <c r="A335" s="4">
        <v>50</v>
      </c>
      <c r="B335" s="4">
        <v>0</v>
      </c>
      <c r="C335" s="4">
        <v>0</v>
      </c>
      <c r="D335" s="4">
        <v>1</v>
      </c>
      <c r="E335" s="4">
        <v>232</v>
      </c>
      <c r="F335" s="4">
        <f>ROUND(Source!BC319,O335)</f>
        <v>0</v>
      </c>
      <c r="G335" s="4" t="s">
        <v>389</v>
      </c>
      <c r="H335" s="4" t="s">
        <v>390</v>
      </c>
      <c r="I335" s="4"/>
      <c r="J335" s="4"/>
      <c r="K335" s="4">
        <v>232</v>
      </c>
      <c r="L335" s="4">
        <v>15</v>
      </c>
      <c r="M335" s="4">
        <v>3</v>
      </c>
      <c r="N335" s="4" t="s">
        <v>6</v>
      </c>
      <c r="O335" s="4">
        <v>2</v>
      </c>
      <c r="P335" s="4"/>
      <c r="Q335" s="4"/>
      <c r="R335" s="4"/>
      <c r="S335" s="4"/>
      <c r="T335" s="4"/>
      <c r="U335" s="4"/>
      <c r="V335" s="4"/>
      <c r="W335" s="4"/>
    </row>
    <row r="336" spans="1:23" x14ac:dyDescent="0.2">
      <c r="A336" s="4">
        <v>50</v>
      </c>
      <c r="B336" s="4">
        <v>0</v>
      </c>
      <c r="C336" s="4">
        <v>0</v>
      </c>
      <c r="D336" s="4">
        <v>1</v>
      </c>
      <c r="E336" s="4">
        <v>214</v>
      </c>
      <c r="F336" s="4">
        <f>ROUND(Source!AS319,O336)</f>
        <v>408.12</v>
      </c>
      <c r="G336" s="4" t="s">
        <v>391</v>
      </c>
      <c r="H336" s="4" t="s">
        <v>392</v>
      </c>
      <c r="I336" s="4"/>
      <c r="J336" s="4"/>
      <c r="K336" s="4">
        <v>214</v>
      </c>
      <c r="L336" s="4">
        <v>16</v>
      </c>
      <c r="M336" s="4">
        <v>3</v>
      </c>
      <c r="N336" s="4" t="s">
        <v>6</v>
      </c>
      <c r="O336" s="4">
        <v>2</v>
      </c>
      <c r="P336" s="4"/>
      <c r="Q336" s="4"/>
      <c r="R336" s="4"/>
      <c r="S336" s="4"/>
      <c r="T336" s="4"/>
      <c r="U336" s="4"/>
      <c r="V336" s="4"/>
      <c r="W336" s="4"/>
    </row>
    <row r="337" spans="1:206" x14ac:dyDescent="0.2">
      <c r="A337" s="4">
        <v>50</v>
      </c>
      <c r="B337" s="4">
        <v>0</v>
      </c>
      <c r="C337" s="4">
        <v>0</v>
      </c>
      <c r="D337" s="4">
        <v>1</v>
      </c>
      <c r="E337" s="4">
        <v>215</v>
      </c>
      <c r="F337" s="4">
        <f>ROUND(Source!AT319,O337)</f>
        <v>102319.95</v>
      </c>
      <c r="G337" s="4" t="s">
        <v>393</v>
      </c>
      <c r="H337" s="4" t="s">
        <v>394</v>
      </c>
      <c r="I337" s="4"/>
      <c r="J337" s="4"/>
      <c r="K337" s="4">
        <v>215</v>
      </c>
      <c r="L337" s="4">
        <v>17</v>
      </c>
      <c r="M337" s="4">
        <v>3</v>
      </c>
      <c r="N337" s="4" t="s">
        <v>6</v>
      </c>
      <c r="O337" s="4">
        <v>2</v>
      </c>
      <c r="P337" s="4"/>
      <c r="Q337" s="4"/>
      <c r="R337" s="4"/>
      <c r="S337" s="4"/>
      <c r="T337" s="4"/>
      <c r="U337" s="4"/>
      <c r="V337" s="4"/>
      <c r="W337" s="4"/>
    </row>
    <row r="338" spans="1:206" x14ac:dyDescent="0.2">
      <c r="A338" s="4">
        <v>50</v>
      </c>
      <c r="B338" s="4">
        <v>0</v>
      </c>
      <c r="C338" s="4">
        <v>0</v>
      </c>
      <c r="D338" s="4">
        <v>1</v>
      </c>
      <c r="E338" s="4">
        <v>217</v>
      </c>
      <c r="F338" s="4">
        <f>ROUND(Source!AU319,O338)</f>
        <v>0</v>
      </c>
      <c r="G338" s="4" t="s">
        <v>395</v>
      </c>
      <c r="H338" s="4" t="s">
        <v>396</v>
      </c>
      <c r="I338" s="4"/>
      <c r="J338" s="4"/>
      <c r="K338" s="4">
        <v>217</v>
      </c>
      <c r="L338" s="4">
        <v>18</v>
      </c>
      <c r="M338" s="4">
        <v>3</v>
      </c>
      <c r="N338" s="4" t="s">
        <v>6</v>
      </c>
      <c r="O338" s="4">
        <v>2</v>
      </c>
      <c r="P338" s="4"/>
      <c r="Q338" s="4"/>
      <c r="R338" s="4"/>
      <c r="S338" s="4"/>
      <c r="T338" s="4"/>
      <c r="U338" s="4"/>
      <c r="V338" s="4"/>
      <c r="W338" s="4"/>
    </row>
    <row r="339" spans="1:206" x14ac:dyDescent="0.2">
      <c r="A339" s="4">
        <v>50</v>
      </c>
      <c r="B339" s="4">
        <v>0</v>
      </c>
      <c r="C339" s="4">
        <v>0</v>
      </c>
      <c r="D339" s="4">
        <v>1</v>
      </c>
      <c r="E339" s="4">
        <v>230</v>
      </c>
      <c r="F339" s="4">
        <f>ROUND(Source!BA319,O339)</f>
        <v>0</v>
      </c>
      <c r="G339" s="4" t="s">
        <v>397</v>
      </c>
      <c r="H339" s="4" t="s">
        <v>398</v>
      </c>
      <c r="I339" s="4"/>
      <c r="J339" s="4"/>
      <c r="K339" s="4">
        <v>230</v>
      </c>
      <c r="L339" s="4">
        <v>19</v>
      </c>
      <c r="M339" s="4">
        <v>3</v>
      </c>
      <c r="N339" s="4" t="s">
        <v>6</v>
      </c>
      <c r="O339" s="4">
        <v>2</v>
      </c>
      <c r="P339" s="4"/>
      <c r="Q339" s="4"/>
      <c r="R339" s="4"/>
      <c r="S339" s="4"/>
      <c r="T339" s="4"/>
      <c r="U339" s="4"/>
      <c r="V339" s="4"/>
      <c r="W339" s="4"/>
    </row>
    <row r="340" spans="1:206" x14ac:dyDescent="0.2">
      <c r="A340" s="4">
        <v>50</v>
      </c>
      <c r="B340" s="4">
        <v>0</v>
      </c>
      <c r="C340" s="4">
        <v>0</v>
      </c>
      <c r="D340" s="4">
        <v>1</v>
      </c>
      <c r="E340" s="4">
        <v>206</v>
      </c>
      <c r="F340" s="4">
        <f>ROUND(Source!T319,O340)</f>
        <v>0</v>
      </c>
      <c r="G340" s="4" t="s">
        <v>399</v>
      </c>
      <c r="H340" s="4" t="s">
        <v>400</v>
      </c>
      <c r="I340" s="4"/>
      <c r="J340" s="4"/>
      <c r="K340" s="4">
        <v>206</v>
      </c>
      <c r="L340" s="4">
        <v>20</v>
      </c>
      <c r="M340" s="4">
        <v>3</v>
      </c>
      <c r="N340" s="4" t="s">
        <v>6</v>
      </c>
      <c r="O340" s="4">
        <v>2</v>
      </c>
      <c r="P340" s="4"/>
      <c r="Q340" s="4"/>
      <c r="R340" s="4"/>
      <c r="S340" s="4"/>
      <c r="T340" s="4"/>
      <c r="U340" s="4"/>
      <c r="V340" s="4"/>
      <c r="W340" s="4"/>
    </row>
    <row r="341" spans="1:206" x14ac:dyDescent="0.2">
      <c r="A341" s="4">
        <v>50</v>
      </c>
      <c r="B341" s="4">
        <v>0</v>
      </c>
      <c r="C341" s="4">
        <v>0</v>
      </c>
      <c r="D341" s="4">
        <v>1</v>
      </c>
      <c r="E341" s="4">
        <v>207</v>
      </c>
      <c r="F341" s="4">
        <f>Source!U319</f>
        <v>133.26599999999999</v>
      </c>
      <c r="G341" s="4" t="s">
        <v>401</v>
      </c>
      <c r="H341" s="4" t="s">
        <v>402</v>
      </c>
      <c r="I341" s="4"/>
      <c r="J341" s="4"/>
      <c r="K341" s="4">
        <v>207</v>
      </c>
      <c r="L341" s="4">
        <v>21</v>
      </c>
      <c r="M341" s="4">
        <v>3</v>
      </c>
      <c r="N341" s="4" t="s">
        <v>6</v>
      </c>
      <c r="O341" s="4">
        <v>-1</v>
      </c>
      <c r="P341" s="4"/>
      <c r="Q341" s="4"/>
      <c r="R341" s="4"/>
      <c r="S341" s="4"/>
      <c r="T341" s="4"/>
      <c r="U341" s="4"/>
      <c r="V341" s="4"/>
      <c r="W341" s="4"/>
    </row>
    <row r="342" spans="1:206" x14ac:dyDescent="0.2">
      <c r="A342" s="4">
        <v>50</v>
      </c>
      <c r="B342" s="4">
        <v>0</v>
      </c>
      <c r="C342" s="4">
        <v>0</v>
      </c>
      <c r="D342" s="4">
        <v>1</v>
      </c>
      <c r="E342" s="4">
        <v>208</v>
      </c>
      <c r="F342" s="4">
        <f>Source!V319</f>
        <v>0.81759999999999999</v>
      </c>
      <c r="G342" s="4" t="s">
        <v>403</v>
      </c>
      <c r="H342" s="4" t="s">
        <v>404</v>
      </c>
      <c r="I342" s="4"/>
      <c r="J342" s="4"/>
      <c r="K342" s="4">
        <v>208</v>
      </c>
      <c r="L342" s="4">
        <v>22</v>
      </c>
      <c r="M342" s="4">
        <v>3</v>
      </c>
      <c r="N342" s="4" t="s">
        <v>6</v>
      </c>
      <c r="O342" s="4">
        <v>-1</v>
      </c>
      <c r="P342" s="4"/>
      <c r="Q342" s="4"/>
      <c r="R342" s="4"/>
      <c r="S342" s="4"/>
      <c r="T342" s="4"/>
      <c r="U342" s="4"/>
      <c r="V342" s="4"/>
      <c r="W342" s="4"/>
    </row>
    <row r="343" spans="1:206" x14ac:dyDescent="0.2">
      <c r="A343" s="4">
        <v>50</v>
      </c>
      <c r="B343" s="4">
        <v>0</v>
      </c>
      <c r="C343" s="4">
        <v>0</v>
      </c>
      <c r="D343" s="4">
        <v>1</v>
      </c>
      <c r="E343" s="4">
        <v>209</v>
      </c>
      <c r="F343" s="4">
        <f>ROUND(Source!W319,O343)</f>
        <v>0</v>
      </c>
      <c r="G343" s="4" t="s">
        <v>405</v>
      </c>
      <c r="H343" s="4" t="s">
        <v>406</v>
      </c>
      <c r="I343" s="4"/>
      <c r="J343" s="4"/>
      <c r="K343" s="4">
        <v>209</v>
      </c>
      <c r="L343" s="4">
        <v>23</v>
      </c>
      <c r="M343" s="4">
        <v>3</v>
      </c>
      <c r="N343" s="4" t="s">
        <v>6</v>
      </c>
      <c r="O343" s="4">
        <v>2</v>
      </c>
      <c r="P343" s="4"/>
      <c r="Q343" s="4"/>
      <c r="R343" s="4"/>
      <c r="S343" s="4"/>
      <c r="T343" s="4"/>
      <c r="U343" s="4"/>
      <c r="V343" s="4"/>
      <c r="W343" s="4"/>
    </row>
    <row r="344" spans="1:206" x14ac:dyDescent="0.2">
      <c r="A344" s="4">
        <v>50</v>
      </c>
      <c r="B344" s="4">
        <v>0</v>
      </c>
      <c r="C344" s="4">
        <v>0</v>
      </c>
      <c r="D344" s="4">
        <v>1</v>
      </c>
      <c r="E344" s="4">
        <v>210</v>
      </c>
      <c r="F344" s="4">
        <f>ROUND(Source!X319,O344)</f>
        <v>8018.8</v>
      </c>
      <c r="G344" s="4" t="s">
        <v>407</v>
      </c>
      <c r="H344" s="4" t="s">
        <v>408</v>
      </c>
      <c r="I344" s="4"/>
      <c r="J344" s="4"/>
      <c r="K344" s="4">
        <v>210</v>
      </c>
      <c r="L344" s="4">
        <v>24</v>
      </c>
      <c r="M344" s="4">
        <v>3</v>
      </c>
      <c r="N344" s="4" t="s">
        <v>6</v>
      </c>
      <c r="O344" s="4">
        <v>2</v>
      </c>
      <c r="P344" s="4"/>
      <c r="Q344" s="4"/>
      <c r="R344" s="4"/>
      <c r="S344" s="4"/>
      <c r="T344" s="4"/>
      <c r="U344" s="4"/>
      <c r="V344" s="4"/>
      <c r="W344" s="4"/>
    </row>
    <row r="345" spans="1:206" x14ac:dyDescent="0.2">
      <c r="A345" s="4">
        <v>50</v>
      </c>
      <c r="B345" s="4">
        <v>0</v>
      </c>
      <c r="C345" s="4">
        <v>0</v>
      </c>
      <c r="D345" s="4">
        <v>1</v>
      </c>
      <c r="E345" s="4">
        <v>211</v>
      </c>
      <c r="F345" s="4">
        <f>ROUND(Source!Y319,O345)</f>
        <v>5480.51</v>
      </c>
      <c r="G345" s="4" t="s">
        <v>409</v>
      </c>
      <c r="H345" s="4" t="s">
        <v>410</v>
      </c>
      <c r="I345" s="4"/>
      <c r="J345" s="4"/>
      <c r="K345" s="4">
        <v>211</v>
      </c>
      <c r="L345" s="4">
        <v>25</v>
      </c>
      <c r="M345" s="4">
        <v>3</v>
      </c>
      <c r="N345" s="4" t="s">
        <v>6</v>
      </c>
      <c r="O345" s="4">
        <v>2</v>
      </c>
      <c r="P345" s="4"/>
      <c r="Q345" s="4"/>
      <c r="R345" s="4"/>
      <c r="S345" s="4"/>
      <c r="T345" s="4"/>
      <c r="U345" s="4"/>
      <c r="V345" s="4"/>
      <c r="W345" s="4"/>
    </row>
    <row r="346" spans="1:206" x14ac:dyDescent="0.2">
      <c r="A346" s="4">
        <v>50</v>
      </c>
      <c r="B346" s="4">
        <v>0</v>
      </c>
      <c r="C346" s="4">
        <v>0</v>
      </c>
      <c r="D346" s="4">
        <v>1</v>
      </c>
      <c r="E346" s="4">
        <v>224</v>
      </c>
      <c r="F346" s="4">
        <f>ROUND(Source!AR319,O346)</f>
        <v>102728.07</v>
      </c>
      <c r="G346" s="4" t="s">
        <v>411</v>
      </c>
      <c r="H346" s="4" t="s">
        <v>412</v>
      </c>
      <c r="I346" s="4"/>
      <c r="J346" s="4"/>
      <c r="K346" s="4">
        <v>224</v>
      </c>
      <c r="L346" s="4">
        <v>26</v>
      </c>
      <c r="M346" s="4">
        <v>3</v>
      </c>
      <c r="N346" s="4" t="s">
        <v>6</v>
      </c>
      <c r="O346" s="4">
        <v>2</v>
      </c>
      <c r="P346" s="4"/>
      <c r="Q346" s="4"/>
      <c r="R346" s="4"/>
      <c r="S346" s="4"/>
      <c r="T346" s="4"/>
      <c r="U346" s="4"/>
      <c r="V346" s="4"/>
      <c r="W346" s="4"/>
    </row>
    <row r="348" spans="1:206" x14ac:dyDescent="0.2">
      <c r="A348" s="2">
        <v>51</v>
      </c>
      <c r="B348" s="2">
        <f>B20</f>
        <v>1</v>
      </c>
      <c r="C348" s="2">
        <f>A20</f>
        <v>3</v>
      </c>
      <c r="D348" s="2">
        <f>ROW(A20)</f>
        <v>20</v>
      </c>
      <c r="E348" s="2"/>
      <c r="F348" s="2" t="str">
        <f>IF(F20&lt;&gt;"",F20,"")</f>
        <v>Новая локальная смета</v>
      </c>
      <c r="G348" s="2" t="str">
        <f>IF(G20&lt;&gt;"",G20,"")</f>
        <v>Новая локальная смета</v>
      </c>
      <c r="H348" s="2">
        <v>0</v>
      </c>
      <c r="I348" s="2"/>
      <c r="J348" s="2"/>
      <c r="K348" s="2"/>
      <c r="L348" s="2"/>
      <c r="M348" s="2"/>
      <c r="N348" s="2"/>
      <c r="O348" s="2">
        <f t="shared" ref="O348:T348" si="350">ROUND(O108+O152+O228+O275+O319+AB348,2)</f>
        <v>1719506.63</v>
      </c>
      <c r="P348" s="2">
        <f t="shared" si="350"/>
        <v>1586245.79</v>
      </c>
      <c r="Q348" s="2">
        <f t="shared" si="350"/>
        <v>10602.66</v>
      </c>
      <c r="R348" s="2">
        <f t="shared" si="350"/>
        <v>1816.96</v>
      </c>
      <c r="S348" s="2">
        <f t="shared" si="350"/>
        <v>122658.18</v>
      </c>
      <c r="T348" s="2">
        <f t="shared" si="350"/>
        <v>0</v>
      </c>
      <c r="U348" s="2">
        <f>U108+U152+U228+U275+U319+AH348</f>
        <v>1678.3632344</v>
      </c>
      <c r="V348" s="2">
        <f>V108+V152+V228+V275+V319+AI348</f>
        <v>22.156505374999995</v>
      </c>
      <c r="W348" s="2">
        <f>ROUND(W108+W152+W228+W275+W319+AJ348,2)</f>
        <v>0</v>
      </c>
      <c r="X348" s="2">
        <f>ROUND(X108+X152+X228+X275+X319+AK348,2)</f>
        <v>108957.56</v>
      </c>
      <c r="Y348" s="2">
        <f>ROUND(Y108+Y152+Y228+Y275+Y319+AL348,2)</f>
        <v>67933.929999999993</v>
      </c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>
        <f t="shared" ref="AO348:BC348" si="351">ROUND(AO108+AO152+AO228+AO275+AO319+BX348,2)</f>
        <v>0</v>
      </c>
      <c r="AP348" s="2">
        <f t="shared" si="351"/>
        <v>0</v>
      </c>
      <c r="AQ348" s="2">
        <f t="shared" si="351"/>
        <v>0</v>
      </c>
      <c r="AR348" s="2">
        <f t="shared" si="351"/>
        <v>1901641.99</v>
      </c>
      <c r="AS348" s="2">
        <f t="shared" si="351"/>
        <v>1223103.4099999999</v>
      </c>
      <c r="AT348" s="2">
        <f t="shared" si="351"/>
        <v>624299.68000000005</v>
      </c>
      <c r="AU348" s="2">
        <f t="shared" si="351"/>
        <v>54238.9</v>
      </c>
      <c r="AV348" s="2">
        <f t="shared" si="351"/>
        <v>1586245.79</v>
      </c>
      <c r="AW348" s="2">
        <f t="shared" si="351"/>
        <v>1586245.79</v>
      </c>
      <c r="AX348" s="2">
        <f t="shared" si="351"/>
        <v>0</v>
      </c>
      <c r="AY348" s="2">
        <f t="shared" si="351"/>
        <v>1586245.79</v>
      </c>
      <c r="AZ348" s="2">
        <f t="shared" si="351"/>
        <v>0</v>
      </c>
      <c r="BA348" s="2">
        <f t="shared" si="351"/>
        <v>0</v>
      </c>
      <c r="BB348" s="2">
        <f t="shared" si="351"/>
        <v>0</v>
      </c>
      <c r="BC348" s="2">
        <f t="shared" si="351"/>
        <v>0</v>
      </c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3"/>
      <c r="EF348" s="3"/>
      <c r="EG348" s="3"/>
      <c r="EH348" s="3"/>
      <c r="EI348" s="3"/>
      <c r="EJ348" s="3"/>
      <c r="EK348" s="3"/>
      <c r="EL348" s="3"/>
      <c r="EM348" s="3"/>
      <c r="EN348" s="3"/>
      <c r="EO348" s="3"/>
      <c r="EP348" s="3"/>
      <c r="EQ348" s="3"/>
      <c r="ER348" s="3"/>
      <c r="ES348" s="3"/>
      <c r="ET348" s="3"/>
      <c r="EU348" s="3"/>
      <c r="EV348" s="3"/>
      <c r="EW348" s="3"/>
      <c r="EX348" s="3"/>
      <c r="EY348" s="3"/>
      <c r="EZ348" s="3"/>
      <c r="FA348" s="3"/>
      <c r="FB348" s="3"/>
      <c r="FC348" s="3"/>
      <c r="FD348" s="3"/>
      <c r="FE348" s="3"/>
      <c r="FF348" s="3"/>
      <c r="FG348" s="3"/>
      <c r="FH348" s="3"/>
      <c r="FI348" s="3"/>
      <c r="FJ348" s="3"/>
      <c r="FK348" s="3"/>
      <c r="FL348" s="3"/>
      <c r="FM348" s="3"/>
      <c r="FN348" s="3"/>
      <c r="FO348" s="3"/>
      <c r="FP348" s="3"/>
      <c r="FQ348" s="3"/>
      <c r="FR348" s="3"/>
      <c r="FS348" s="3"/>
      <c r="FT348" s="3"/>
      <c r="FU348" s="3"/>
      <c r="FV348" s="3"/>
      <c r="FW348" s="3"/>
      <c r="FX348" s="3"/>
      <c r="FY348" s="3"/>
      <c r="FZ348" s="3"/>
      <c r="GA348" s="3"/>
      <c r="GB348" s="3"/>
      <c r="GC348" s="3"/>
      <c r="GD348" s="3"/>
      <c r="GE348" s="3"/>
      <c r="GF348" s="3"/>
      <c r="GG348" s="3"/>
      <c r="GH348" s="3"/>
      <c r="GI348" s="3"/>
      <c r="GJ348" s="3"/>
      <c r="GK348" s="3"/>
      <c r="GL348" s="3"/>
      <c r="GM348" s="3"/>
      <c r="GN348" s="3"/>
      <c r="GO348" s="3"/>
      <c r="GP348" s="3"/>
      <c r="GQ348" s="3"/>
      <c r="GR348" s="3"/>
      <c r="GS348" s="3"/>
      <c r="GT348" s="3"/>
      <c r="GU348" s="3"/>
      <c r="GV348" s="3"/>
      <c r="GW348" s="3"/>
      <c r="GX348" s="3">
        <v>0</v>
      </c>
    </row>
    <row r="350" spans="1:206" x14ac:dyDescent="0.2">
      <c r="A350" s="4">
        <v>50</v>
      </c>
      <c r="B350" s="4">
        <v>0</v>
      </c>
      <c r="C350" s="4">
        <v>0</v>
      </c>
      <c r="D350" s="4">
        <v>1</v>
      </c>
      <c r="E350" s="4">
        <v>201</v>
      </c>
      <c r="F350" s="4">
        <f>ROUND(Source!O348,O350)</f>
        <v>1719506.63</v>
      </c>
      <c r="G350" s="4" t="s">
        <v>361</v>
      </c>
      <c r="H350" s="4" t="s">
        <v>362</v>
      </c>
      <c r="I350" s="4"/>
      <c r="J350" s="4"/>
      <c r="K350" s="4">
        <v>201</v>
      </c>
      <c r="L350" s="4">
        <v>1</v>
      </c>
      <c r="M350" s="4">
        <v>3</v>
      </c>
      <c r="N350" s="4" t="s">
        <v>6</v>
      </c>
      <c r="O350" s="4">
        <v>2</v>
      </c>
      <c r="P350" s="4"/>
      <c r="Q350" s="4"/>
      <c r="R350" s="4"/>
      <c r="S350" s="4"/>
      <c r="T350" s="4"/>
      <c r="U350" s="4"/>
      <c r="V350" s="4"/>
      <c r="W350" s="4"/>
    </row>
    <row r="351" spans="1:206" x14ac:dyDescent="0.2">
      <c r="A351" s="4">
        <v>50</v>
      </c>
      <c r="B351" s="4">
        <v>0</v>
      </c>
      <c r="C351" s="4">
        <v>0</v>
      </c>
      <c r="D351" s="4">
        <v>1</v>
      </c>
      <c r="E351" s="4">
        <v>202</v>
      </c>
      <c r="F351" s="4">
        <f>ROUND(Source!P348,O351)</f>
        <v>1586245.79</v>
      </c>
      <c r="G351" s="4" t="s">
        <v>363</v>
      </c>
      <c r="H351" s="4" t="s">
        <v>364</v>
      </c>
      <c r="I351" s="4"/>
      <c r="J351" s="4"/>
      <c r="K351" s="4">
        <v>202</v>
      </c>
      <c r="L351" s="4">
        <v>2</v>
      </c>
      <c r="M351" s="4">
        <v>3</v>
      </c>
      <c r="N351" s="4" t="s">
        <v>6</v>
      </c>
      <c r="O351" s="4">
        <v>2</v>
      </c>
      <c r="P351" s="4"/>
      <c r="Q351" s="4"/>
      <c r="R351" s="4"/>
      <c r="S351" s="4"/>
      <c r="T351" s="4"/>
      <c r="U351" s="4"/>
      <c r="V351" s="4"/>
      <c r="W351" s="4"/>
    </row>
    <row r="352" spans="1:206" x14ac:dyDescent="0.2">
      <c r="A352" s="4">
        <v>50</v>
      </c>
      <c r="B352" s="4">
        <v>0</v>
      </c>
      <c r="C352" s="4">
        <v>0</v>
      </c>
      <c r="D352" s="4">
        <v>1</v>
      </c>
      <c r="E352" s="4">
        <v>222</v>
      </c>
      <c r="F352" s="4">
        <f>ROUND(Source!AO348,O352)</f>
        <v>0</v>
      </c>
      <c r="G352" s="4" t="s">
        <v>365</v>
      </c>
      <c r="H352" s="4" t="s">
        <v>366</v>
      </c>
      <c r="I352" s="4"/>
      <c r="J352" s="4"/>
      <c r="K352" s="4">
        <v>222</v>
      </c>
      <c r="L352" s="4">
        <v>3</v>
      </c>
      <c r="M352" s="4">
        <v>3</v>
      </c>
      <c r="N352" s="4" t="s">
        <v>6</v>
      </c>
      <c r="O352" s="4">
        <v>2</v>
      </c>
      <c r="P352" s="4"/>
      <c r="Q352" s="4"/>
      <c r="R352" s="4"/>
      <c r="S352" s="4"/>
      <c r="T352" s="4"/>
      <c r="U352" s="4"/>
      <c r="V352" s="4"/>
      <c r="W352" s="4"/>
    </row>
    <row r="353" spans="1:23" x14ac:dyDescent="0.2">
      <c r="A353" s="4">
        <v>50</v>
      </c>
      <c r="B353" s="4">
        <v>0</v>
      </c>
      <c r="C353" s="4">
        <v>0</v>
      </c>
      <c r="D353" s="4">
        <v>1</v>
      </c>
      <c r="E353" s="4">
        <v>225</v>
      </c>
      <c r="F353" s="4">
        <f>ROUND(Source!AV348,O353)</f>
        <v>1586245.79</v>
      </c>
      <c r="G353" s="4" t="s">
        <v>367</v>
      </c>
      <c r="H353" s="4" t="s">
        <v>368</v>
      </c>
      <c r="I353" s="4"/>
      <c r="J353" s="4"/>
      <c r="K353" s="4">
        <v>225</v>
      </c>
      <c r="L353" s="4">
        <v>4</v>
      </c>
      <c r="M353" s="4">
        <v>3</v>
      </c>
      <c r="N353" s="4" t="s">
        <v>6</v>
      </c>
      <c r="O353" s="4">
        <v>2</v>
      </c>
      <c r="P353" s="4"/>
      <c r="Q353" s="4"/>
      <c r="R353" s="4"/>
      <c r="S353" s="4"/>
      <c r="T353" s="4"/>
      <c r="U353" s="4"/>
      <c r="V353" s="4"/>
      <c r="W353" s="4"/>
    </row>
    <row r="354" spans="1:23" x14ac:dyDescent="0.2">
      <c r="A354" s="4">
        <v>50</v>
      </c>
      <c r="B354" s="4">
        <v>0</v>
      </c>
      <c r="C354" s="4">
        <v>0</v>
      </c>
      <c r="D354" s="4">
        <v>1</v>
      </c>
      <c r="E354" s="4">
        <v>226</v>
      </c>
      <c r="F354" s="4">
        <f>ROUND(Source!AW348,O354)</f>
        <v>1586245.79</v>
      </c>
      <c r="G354" s="4" t="s">
        <v>369</v>
      </c>
      <c r="H354" s="4" t="s">
        <v>370</v>
      </c>
      <c r="I354" s="4"/>
      <c r="J354" s="4"/>
      <c r="K354" s="4">
        <v>226</v>
      </c>
      <c r="L354" s="4">
        <v>5</v>
      </c>
      <c r="M354" s="4">
        <v>3</v>
      </c>
      <c r="N354" s="4" t="s">
        <v>6</v>
      </c>
      <c r="O354" s="4">
        <v>2</v>
      </c>
      <c r="P354" s="4"/>
      <c r="Q354" s="4"/>
      <c r="R354" s="4"/>
      <c r="S354" s="4"/>
      <c r="T354" s="4"/>
      <c r="U354" s="4"/>
      <c r="V354" s="4"/>
      <c r="W354" s="4"/>
    </row>
    <row r="355" spans="1:23" x14ac:dyDescent="0.2">
      <c r="A355" s="4">
        <v>50</v>
      </c>
      <c r="B355" s="4">
        <v>0</v>
      </c>
      <c r="C355" s="4">
        <v>0</v>
      </c>
      <c r="D355" s="4">
        <v>1</v>
      </c>
      <c r="E355" s="4">
        <v>227</v>
      </c>
      <c r="F355" s="4">
        <f>ROUND(Source!AX348,O355)</f>
        <v>0</v>
      </c>
      <c r="G355" s="4" t="s">
        <v>371</v>
      </c>
      <c r="H355" s="4" t="s">
        <v>372</v>
      </c>
      <c r="I355" s="4"/>
      <c r="J355" s="4"/>
      <c r="K355" s="4">
        <v>227</v>
      </c>
      <c r="L355" s="4">
        <v>6</v>
      </c>
      <c r="M355" s="4">
        <v>3</v>
      </c>
      <c r="N355" s="4" t="s">
        <v>6</v>
      </c>
      <c r="O355" s="4">
        <v>2</v>
      </c>
      <c r="P355" s="4"/>
      <c r="Q355" s="4"/>
      <c r="R355" s="4"/>
      <c r="S355" s="4"/>
      <c r="T355" s="4"/>
      <c r="U355" s="4"/>
      <c r="V355" s="4"/>
      <c r="W355" s="4"/>
    </row>
    <row r="356" spans="1:23" x14ac:dyDescent="0.2">
      <c r="A356" s="4">
        <v>50</v>
      </c>
      <c r="B356" s="4">
        <v>0</v>
      </c>
      <c r="C356" s="4">
        <v>0</v>
      </c>
      <c r="D356" s="4">
        <v>1</v>
      </c>
      <c r="E356" s="4">
        <v>228</v>
      </c>
      <c r="F356" s="4">
        <f>ROUND(Source!AY348,O356)</f>
        <v>1586245.79</v>
      </c>
      <c r="G356" s="4" t="s">
        <v>373</v>
      </c>
      <c r="H356" s="4" t="s">
        <v>374</v>
      </c>
      <c r="I356" s="4"/>
      <c r="J356" s="4"/>
      <c r="K356" s="4">
        <v>228</v>
      </c>
      <c r="L356" s="4">
        <v>7</v>
      </c>
      <c r="M356" s="4">
        <v>3</v>
      </c>
      <c r="N356" s="4" t="s">
        <v>6</v>
      </c>
      <c r="O356" s="4">
        <v>2</v>
      </c>
      <c r="P356" s="4"/>
      <c r="Q356" s="4"/>
      <c r="R356" s="4"/>
      <c r="S356" s="4"/>
      <c r="T356" s="4"/>
      <c r="U356" s="4"/>
      <c r="V356" s="4"/>
      <c r="W356" s="4"/>
    </row>
    <row r="357" spans="1:23" x14ac:dyDescent="0.2">
      <c r="A357" s="4">
        <v>50</v>
      </c>
      <c r="B357" s="4">
        <v>0</v>
      </c>
      <c r="C357" s="4">
        <v>0</v>
      </c>
      <c r="D357" s="4">
        <v>1</v>
      </c>
      <c r="E357" s="4">
        <v>216</v>
      </c>
      <c r="F357" s="4">
        <f>ROUND(Source!AP348,O357)</f>
        <v>0</v>
      </c>
      <c r="G357" s="4" t="s">
        <v>375</v>
      </c>
      <c r="H357" s="4" t="s">
        <v>376</v>
      </c>
      <c r="I357" s="4"/>
      <c r="J357" s="4"/>
      <c r="K357" s="4">
        <v>216</v>
      </c>
      <c r="L357" s="4">
        <v>8</v>
      </c>
      <c r="M357" s="4">
        <v>3</v>
      </c>
      <c r="N357" s="4" t="s">
        <v>6</v>
      </c>
      <c r="O357" s="4">
        <v>2</v>
      </c>
      <c r="P357" s="4"/>
      <c r="Q357" s="4"/>
      <c r="R357" s="4"/>
      <c r="S357" s="4"/>
      <c r="T357" s="4"/>
      <c r="U357" s="4"/>
      <c r="V357" s="4"/>
      <c r="W357" s="4"/>
    </row>
    <row r="358" spans="1:23" x14ac:dyDescent="0.2">
      <c r="A358" s="4">
        <v>50</v>
      </c>
      <c r="B358" s="4">
        <v>0</v>
      </c>
      <c r="C358" s="4">
        <v>0</v>
      </c>
      <c r="D358" s="4">
        <v>1</v>
      </c>
      <c r="E358" s="4">
        <v>223</v>
      </c>
      <c r="F358" s="4">
        <f>ROUND(Source!AQ348,O358)</f>
        <v>0</v>
      </c>
      <c r="G358" s="4" t="s">
        <v>377</v>
      </c>
      <c r="H358" s="4" t="s">
        <v>378</v>
      </c>
      <c r="I358" s="4"/>
      <c r="J358" s="4"/>
      <c r="K358" s="4">
        <v>223</v>
      </c>
      <c r="L358" s="4">
        <v>9</v>
      </c>
      <c r="M358" s="4">
        <v>3</v>
      </c>
      <c r="N358" s="4" t="s">
        <v>6</v>
      </c>
      <c r="O358" s="4">
        <v>2</v>
      </c>
      <c r="P358" s="4"/>
      <c r="Q358" s="4"/>
      <c r="R358" s="4"/>
      <c r="S358" s="4"/>
      <c r="T358" s="4"/>
      <c r="U358" s="4"/>
      <c r="V358" s="4"/>
      <c r="W358" s="4"/>
    </row>
    <row r="359" spans="1:23" x14ac:dyDescent="0.2">
      <c r="A359" s="4">
        <v>50</v>
      </c>
      <c r="B359" s="4">
        <v>0</v>
      </c>
      <c r="C359" s="4">
        <v>0</v>
      </c>
      <c r="D359" s="4">
        <v>1</v>
      </c>
      <c r="E359" s="4">
        <v>229</v>
      </c>
      <c r="F359" s="4">
        <f>ROUND(Source!AZ348,O359)</f>
        <v>0</v>
      </c>
      <c r="G359" s="4" t="s">
        <v>379</v>
      </c>
      <c r="H359" s="4" t="s">
        <v>380</v>
      </c>
      <c r="I359" s="4"/>
      <c r="J359" s="4"/>
      <c r="K359" s="4">
        <v>229</v>
      </c>
      <c r="L359" s="4">
        <v>10</v>
      </c>
      <c r="M359" s="4">
        <v>3</v>
      </c>
      <c r="N359" s="4" t="s">
        <v>6</v>
      </c>
      <c r="O359" s="4">
        <v>2</v>
      </c>
      <c r="P359" s="4"/>
      <c r="Q359" s="4"/>
      <c r="R359" s="4"/>
      <c r="S359" s="4"/>
      <c r="T359" s="4"/>
      <c r="U359" s="4"/>
      <c r="V359" s="4"/>
      <c r="W359" s="4"/>
    </row>
    <row r="360" spans="1:23" x14ac:dyDescent="0.2">
      <c r="A360" s="4">
        <v>50</v>
      </c>
      <c r="B360" s="4">
        <v>0</v>
      </c>
      <c r="C360" s="4">
        <v>0</v>
      </c>
      <c r="D360" s="4">
        <v>1</v>
      </c>
      <c r="E360" s="4">
        <v>203</v>
      </c>
      <c r="F360" s="4">
        <f>ROUND(Source!Q348,O360)</f>
        <v>10602.66</v>
      </c>
      <c r="G360" s="4" t="s">
        <v>381</v>
      </c>
      <c r="H360" s="4" t="s">
        <v>382</v>
      </c>
      <c r="I360" s="4"/>
      <c r="J360" s="4"/>
      <c r="K360" s="4">
        <v>203</v>
      </c>
      <c r="L360" s="4">
        <v>11</v>
      </c>
      <c r="M360" s="4">
        <v>3</v>
      </c>
      <c r="N360" s="4" t="s">
        <v>6</v>
      </c>
      <c r="O360" s="4">
        <v>2</v>
      </c>
      <c r="P360" s="4"/>
      <c r="Q360" s="4"/>
      <c r="R360" s="4"/>
      <c r="S360" s="4"/>
      <c r="T360" s="4"/>
      <c r="U360" s="4"/>
      <c r="V360" s="4"/>
      <c r="W360" s="4"/>
    </row>
    <row r="361" spans="1:23" x14ac:dyDescent="0.2">
      <c r="A361" s="4">
        <v>50</v>
      </c>
      <c r="B361" s="4">
        <v>0</v>
      </c>
      <c r="C361" s="4">
        <v>0</v>
      </c>
      <c r="D361" s="4">
        <v>1</v>
      </c>
      <c r="E361" s="4">
        <v>231</v>
      </c>
      <c r="F361" s="4">
        <f>ROUND(Source!BB348,O361)</f>
        <v>0</v>
      </c>
      <c r="G361" s="4" t="s">
        <v>383</v>
      </c>
      <c r="H361" s="4" t="s">
        <v>384</v>
      </c>
      <c r="I361" s="4"/>
      <c r="J361" s="4"/>
      <c r="K361" s="4">
        <v>231</v>
      </c>
      <c r="L361" s="4">
        <v>12</v>
      </c>
      <c r="M361" s="4">
        <v>3</v>
      </c>
      <c r="N361" s="4" t="s">
        <v>6</v>
      </c>
      <c r="O361" s="4">
        <v>2</v>
      </c>
      <c r="P361" s="4"/>
      <c r="Q361" s="4"/>
      <c r="R361" s="4"/>
      <c r="S361" s="4"/>
      <c r="T361" s="4"/>
      <c r="U361" s="4"/>
      <c r="V361" s="4"/>
      <c r="W361" s="4"/>
    </row>
    <row r="362" spans="1:23" x14ac:dyDescent="0.2">
      <c r="A362" s="4">
        <v>50</v>
      </c>
      <c r="B362" s="4">
        <v>0</v>
      </c>
      <c r="C362" s="4">
        <v>0</v>
      </c>
      <c r="D362" s="4">
        <v>1</v>
      </c>
      <c r="E362" s="4">
        <v>204</v>
      </c>
      <c r="F362" s="4">
        <f>ROUND(Source!R348,O362)</f>
        <v>1816.96</v>
      </c>
      <c r="G362" s="4" t="s">
        <v>385</v>
      </c>
      <c r="H362" s="4" t="s">
        <v>386</v>
      </c>
      <c r="I362" s="4"/>
      <c r="J362" s="4"/>
      <c r="K362" s="4">
        <v>204</v>
      </c>
      <c r="L362" s="4">
        <v>13</v>
      </c>
      <c r="M362" s="4">
        <v>3</v>
      </c>
      <c r="N362" s="4" t="s">
        <v>6</v>
      </c>
      <c r="O362" s="4">
        <v>2</v>
      </c>
      <c r="P362" s="4"/>
      <c r="Q362" s="4"/>
      <c r="R362" s="4"/>
      <c r="S362" s="4"/>
      <c r="T362" s="4"/>
      <c r="U362" s="4"/>
      <c r="V362" s="4"/>
      <c r="W362" s="4"/>
    </row>
    <row r="363" spans="1:23" x14ac:dyDescent="0.2">
      <c r="A363" s="4">
        <v>50</v>
      </c>
      <c r="B363" s="4">
        <v>0</v>
      </c>
      <c r="C363" s="4">
        <v>0</v>
      </c>
      <c r="D363" s="4">
        <v>1</v>
      </c>
      <c r="E363" s="4">
        <v>205</v>
      </c>
      <c r="F363" s="4">
        <f>ROUND(Source!S348,O363)</f>
        <v>122658.18</v>
      </c>
      <c r="G363" s="4" t="s">
        <v>387</v>
      </c>
      <c r="H363" s="4" t="s">
        <v>388</v>
      </c>
      <c r="I363" s="4"/>
      <c r="J363" s="4"/>
      <c r="K363" s="4">
        <v>205</v>
      </c>
      <c r="L363" s="4">
        <v>14</v>
      </c>
      <c r="M363" s="4">
        <v>3</v>
      </c>
      <c r="N363" s="4" t="s">
        <v>6</v>
      </c>
      <c r="O363" s="4">
        <v>2</v>
      </c>
      <c r="P363" s="4"/>
      <c r="Q363" s="4"/>
      <c r="R363" s="4"/>
      <c r="S363" s="4"/>
      <c r="T363" s="4"/>
      <c r="U363" s="4"/>
      <c r="V363" s="4"/>
      <c r="W363" s="4"/>
    </row>
    <row r="364" spans="1:23" x14ac:dyDescent="0.2">
      <c r="A364" s="4">
        <v>50</v>
      </c>
      <c r="B364" s="4">
        <v>0</v>
      </c>
      <c r="C364" s="4">
        <v>0</v>
      </c>
      <c r="D364" s="4">
        <v>1</v>
      </c>
      <c r="E364" s="4">
        <v>232</v>
      </c>
      <c r="F364" s="4">
        <f>ROUND(Source!BC348,O364)</f>
        <v>0</v>
      </c>
      <c r="G364" s="4" t="s">
        <v>389</v>
      </c>
      <c r="H364" s="4" t="s">
        <v>390</v>
      </c>
      <c r="I364" s="4"/>
      <c r="J364" s="4"/>
      <c r="K364" s="4">
        <v>232</v>
      </c>
      <c r="L364" s="4">
        <v>15</v>
      </c>
      <c r="M364" s="4">
        <v>3</v>
      </c>
      <c r="N364" s="4" t="s">
        <v>6</v>
      </c>
      <c r="O364" s="4">
        <v>2</v>
      </c>
      <c r="P364" s="4"/>
      <c r="Q364" s="4"/>
      <c r="R364" s="4"/>
      <c r="S364" s="4"/>
      <c r="T364" s="4"/>
      <c r="U364" s="4"/>
      <c r="V364" s="4"/>
      <c r="W364" s="4"/>
    </row>
    <row r="365" spans="1:23" x14ac:dyDescent="0.2">
      <c r="A365" s="4">
        <v>50</v>
      </c>
      <c r="B365" s="4">
        <v>0</v>
      </c>
      <c r="C365" s="4">
        <v>0</v>
      </c>
      <c r="D365" s="4">
        <v>1</v>
      </c>
      <c r="E365" s="4">
        <v>214</v>
      </c>
      <c r="F365" s="4">
        <f>ROUND(Source!AS348,O365)</f>
        <v>1223103.4099999999</v>
      </c>
      <c r="G365" s="4" t="s">
        <v>391</v>
      </c>
      <c r="H365" s="4" t="s">
        <v>392</v>
      </c>
      <c r="I365" s="4"/>
      <c r="J365" s="4"/>
      <c r="K365" s="4">
        <v>214</v>
      </c>
      <c r="L365" s="4">
        <v>16</v>
      </c>
      <c r="M365" s="4">
        <v>3</v>
      </c>
      <c r="N365" s="4" t="s">
        <v>6</v>
      </c>
      <c r="O365" s="4">
        <v>2</v>
      </c>
      <c r="P365" s="4"/>
      <c r="Q365" s="4"/>
      <c r="R365" s="4"/>
      <c r="S365" s="4"/>
      <c r="T365" s="4"/>
      <c r="U365" s="4"/>
      <c r="V365" s="4"/>
      <c r="W365" s="4"/>
    </row>
    <row r="366" spans="1:23" x14ac:dyDescent="0.2">
      <c r="A366" s="4">
        <v>50</v>
      </c>
      <c r="B366" s="4">
        <v>0</v>
      </c>
      <c r="C366" s="4">
        <v>0</v>
      </c>
      <c r="D366" s="4">
        <v>1</v>
      </c>
      <c r="E366" s="4">
        <v>215</v>
      </c>
      <c r="F366" s="4">
        <f>ROUND(Source!AT348,O366)</f>
        <v>624299.68000000005</v>
      </c>
      <c r="G366" s="4" t="s">
        <v>393</v>
      </c>
      <c r="H366" s="4" t="s">
        <v>394</v>
      </c>
      <c r="I366" s="4"/>
      <c r="J366" s="4"/>
      <c r="K366" s="4">
        <v>215</v>
      </c>
      <c r="L366" s="4">
        <v>17</v>
      </c>
      <c r="M366" s="4">
        <v>3</v>
      </c>
      <c r="N366" s="4" t="s">
        <v>6</v>
      </c>
      <c r="O366" s="4">
        <v>2</v>
      </c>
      <c r="P366" s="4"/>
      <c r="Q366" s="4"/>
      <c r="R366" s="4"/>
      <c r="S366" s="4"/>
      <c r="T366" s="4"/>
      <c r="U366" s="4"/>
      <c r="V366" s="4"/>
      <c r="W366" s="4"/>
    </row>
    <row r="367" spans="1:23" x14ac:dyDescent="0.2">
      <c r="A367" s="4">
        <v>50</v>
      </c>
      <c r="B367" s="4">
        <v>0</v>
      </c>
      <c r="C367" s="4">
        <v>0</v>
      </c>
      <c r="D367" s="4">
        <v>1</v>
      </c>
      <c r="E367" s="4">
        <v>217</v>
      </c>
      <c r="F367" s="4">
        <f>ROUND(Source!AU348,O367)</f>
        <v>54238.9</v>
      </c>
      <c r="G367" s="4" t="s">
        <v>395</v>
      </c>
      <c r="H367" s="4" t="s">
        <v>396</v>
      </c>
      <c r="I367" s="4"/>
      <c r="J367" s="4"/>
      <c r="K367" s="4">
        <v>217</v>
      </c>
      <c r="L367" s="4">
        <v>18</v>
      </c>
      <c r="M367" s="4">
        <v>3</v>
      </c>
      <c r="N367" s="4" t="s">
        <v>6</v>
      </c>
      <c r="O367" s="4">
        <v>2</v>
      </c>
      <c r="P367" s="4"/>
      <c r="Q367" s="4"/>
      <c r="R367" s="4"/>
      <c r="S367" s="4"/>
      <c r="T367" s="4"/>
      <c r="U367" s="4"/>
      <c r="V367" s="4"/>
      <c r="W367" s="4"/>
    </row>
    <row r="368" spans="1:23" x14ac:dyDescent="0.2">
      <c r="A368" s="4">
        <v>50</v>
      </c>
      <c r="B368" s="4">
        <v>0</v>
      </c>
      <c r="C368" s="4">
        <v>0</v>
      </c>
      <c r="D368" s="4">
        <v>1</v>
      </c>
      <c r="E368" s="4">
        <v>230</v>
      </c>
      <c r="F368" s="4">
        <f>ROUND(Source!BA348,O368)</f>
        <v>0</v>
      </c>
      <c r="G368" s="4" t="s">
        <v>397</v>
      </c>
      <c r="H368" s="4" t="s">
        <v>398</v>
      </c>
      <c r="I368" s="4"/>
      <c r="J368" s="4"/>
      <c r="K368" s="4">
        <v>230</v>
      </c>
      <c r="L368" s="4">
        <v>19</v>
      </c>
      <c r="M368" s="4">
        <v>3</v>
      </c>
      <c r="N368" s="4" t="s">
        <v>6</v>
      </c>
      <c r="O368" s="4">
        <v>2</v>
      </c>
      <c r="P368" s="4"/>
      <c r="Q368" s="4"/>
      <c r="R368" s="4"/>
      <c r="S368" s="4"/>
      <c r="T368" s="4"/>
      <c r="U368" s="4"/>
      <c r="V368" s="4"/>
      <c r="W368" s="4"/>
    </row>
    <row r="369" spans="1:206" x14ac:dyDescent="0.2">
      <c r="A369" s="4">
        <v>50</v>
      </c>
      <c r="B369" s="4">
        <v>0</v>
      </c>
      <c r="C369" s="4">
        <v>0</v>
      </c>
      <c r="D369" s="4">
        <v>1</v>
      </c>
      <c r="E369" s="4">
        <v>206</v>
      </c>
      <c r="F369" s="4">
        <f>ROUND(Source!T348,O369)</f>
        <v>0</v>
      </c>
      <c r="G369" s="4" t="s">
        <v>399</v>
      </c>
      <c r="H369" s="4" t="s">
        <v>400</v>
      </c>
      <c r="I369" s="4"/>
      <c r="J369" s="4"/>
      <c r="K369" s="4">
        <v>206</v>
      </c>
      <c r="L369" s="4">
        <v>20</v>
      </c>
      <c r="M369" s="4">
        <v>3</v>
      </c>
      <c r="N369" s="4" t="s">
        <v>6</v>
      </c>
      <c r="O369" s="4">
        <v>2</v>
      </c>
      <c r="P369" s="4"/>
      <c r="Q369" s="4"/>
      <c r="R369" s="4"/>
      <c r="S369" s="4"/>
      <c r="T369" s="4"/>
      <c r="U369" s="4"/>
      <c r="V369" s="4"/>
      <c r="W369" s="4"/>
    </row>
    <row r="370" spans="1:206" x14ac:dyDescent="0.2">
      <c r="A370" s="4">
        <v>50</v>
      </c>
      <c r="B370" s="4">
        <v>0</v>
      </c>
      <c r="C370" s="4">
        <v>0</v>
      </c>
      <c r="D370" s="4">
        <v>1</v>
      </c>
      <c r="E370" s="4">
        <v>207</v>
      </c>
      <c r="F370" s="4">
        <f>Source!U348</f>
        <v>1678.3632344</v>
      </c>
      <c r="G370" s="4" t="s">
        <v>401</v>
      </c>
      <c r="H370" s="4" t="s">
        <v>402</v>
      </c>
      <c r="I370" s="4"/>
      <c r="J370" s="4"/>
      <c r="K370" s="4">
        <v>207</v>
      </c>
      <c r="L370" s="4">
        <v>21</v>
      </c>
      <c r="M370" s="4">
        <v>3</v>
      </c>
      <c r="N370" s="4" t="s">
        <v>6</v>
      </c>
      <c r="O370" s="4">
        <v>-1</v>
      </c>
      <c r="P370" s="4"/>
      <c r="Q370" s="4"/>
      <c r="R370" s="4"/>
      <c r="S370" s="4"/>
      <c r="T370" s="4"/>
      <c r="U370" s="4"/>
      <c r="V370" s="4"/>
      <c r="W370" s="4"/>
    </row>
    <row r="371" spans="1:206" x14ac:dyDescent="0.2">
      <c r="A371" s="4">
        <v>50</v>
      </c>
      <c r="B371" s="4">
        <v>0</v>
      </c>
      <c r="C371" s="4">
        <v>0</v>
      </c>
      <c r="D371" s="4">
        <v>1</v>
      </c>
      <c r="E371" s="4">
        <v>208</v>
      </c>
      <c r="F371" s="4">
        <f>Source!V348</f>
        <v>22.156505374999995</v>
      </c>
      <c r="G371" s="4" t="s">
        <v>403</v>
      </c>
      <c r="H371" s="4" t="s">
        <v>404</v>
      </c>
      <c r="I371" s="4"/>
      <c r="J371" s="4"/>
      <c r="K371" s="4">
        <v>208</v>
      </c>
      <c r="L371" s="4">
        <v>22</v>
      </c>
      <c r="M371" s="4">
        <v>3</v>
      </c>
      <c r="N371" s="4" t="s">
        <v>6</v>
      </c>
      <c r="O371" s="4">
        <v>-1</v>
      </c>
      <c r="P371" s="4"/>
      <c r="Q371" s="4"/>
      <c r="R371" s="4"/>
      <c r="S371" s="4"/>
      <c r="T371" s="4"/>
      <c r="U371" s="4"/>
      <c r="V371" s="4"/>
      <c r="W371" s="4"/>
    </row>
    <row r="372" spans="1:206" x14ac:dyDescent="0.2">
      <c r="A372" s="4">
        <v>50</v>
      </c>
      <c r="B372" s="4">
        <v>0</v>
      </c>
      <c r="C372" s="4">
        <v>0</v>
      </c>
      <c r="D372" s="4">
        <v>1</v>
      </c>
      <c r="E372" s="4">
        <v>209</v>
      </c>
      <c r="F372" s="4">
        <f>ROUND(Source!W348,O372)</f>
        <v>0</v>
      </c>
      <c r="G372" s="4" t="s">
        <v>405</v>
      </c>
      <c r="H372" s="4" t="s">
        <v>406</v>
      </c>
      <c r="I372" s="4"/>
      <c r="J372" s="4"/>
      <c r="K372" s="4">
        <v>209</v>
      </c>
      <c r="L372" s="4">
        <v>23</v>
      </c>
      <c r="M372" s="4">
        <v>3</v>
      </c>
      <c r="N372" s="4" t="s">
        <v>6</v>
      </c>
      <c r="O372" s="4">
        <v>2</v>
      </c>
      <c r="P372" s="4"/>
      <c r="Q372" s="4"/>
      <c r="R372" s="4"/>
      <c r="S372" s="4"/>
      <c r="T372" s="4"/>
      <c r="U372" s="4"/>
      <c r="V372" s="4"/>
      <c r="W372" s="4"/>
    </row>
    <row r="373" spans="1:206" x14ac:dyDescent="0.2">
      <c r="A373" s="4">
        <v>50</v>
      </c>
      <c r="B373" s="4">
        <v>0</v>
      </c>
      <c r="C373" s="4">
        <v>0</v>
      </c>
      <c r="D373" s="4">
        <v>1</v>
      </c>
      <c r="E373" s="4">
        <v>210</v>
      </c>
      <c r="F373" s="4">
        <f>ROUND(Source!X348,O373)</f>
        <v>108957.56</v>
      </c>
      <c r="G373" s="4" t="s">
        <v>407</v>
      </c>
      <c r="H373" s="4" t="s">
        <v>408</v>
      </c>
      <c r="I373" s="4"/>
      <c r="J373" s="4"/>
      <c r="K373" s="4">
        <v>210</v>
      </c>
      <c r="L373" s="4">
        <v>24</v>
      </c>
      <c r="M373" s="4">
        <v>3</v>
      </c>
      <c r="N373" s="4" t="s">
        <v>6</v>
      </c>
      <c r="O373" s="4">
        <v>2</v>
      </c>
      <c r="P373" s="4"/>
      <c r="Q373" s="4"/>
      <c r="R373" s="4"/>
      <c r="S373" s="4"/>
      <c r="T373" s="4"/>
      <c r="U373" s="4"/>
      <c r="V373" s="4"/>
      <c r="W373" s="4"/>
    </row>
    <row r="374" spans="1:206" x14ac:dyDescent="0.2">
      <c r="A374" s="4">
        <v>50</v>
      </c>
      <c r="B374" s="4">
        <v>0</v>
      </c>
      <c r="C374" s="4">
        <v>0</v>
      </c>
      <c r="D374" s="4">
        <v>1</v>
      </c>
      <c r="E374" s="4">
        <v>211</v>
      </c>
      <c r="F374" s="4">
        <f>ROUND(Source!Y348,O374)</f>
        <v>67933.929999999993</v>
      </c>
      <c r="G374" s="4" t="s">
        <v>409</v>
      </c>
      <c r="H374" s="4" t="s">
        <v>410</v>
      </c>
      <c r="I374" s="4"/>
      <c r="J374" s="4"/>
      <c r="K374" s="4">
        <v>211</v>
      </c>
      <c r="L374" s="4">
        <v>25</v>
      </c>
      <c r="M374" s="4">
        <v>3</v>
      </c>
      <c r="N374" s="4" t="s">
        <v>6</v>
      </c>
      <c r="O374" s="4">
        <v>2</v>
      </c>
      <c r="P374" s="4"/>
      <c r="Q374" s="4"/>
      <c r="R374" s="4"/>
      <c r="S374" s="4"/>
      <c r="T374" s="4"/>
      <c r="U374" s="4"/>
      <c r="V374" s="4"/>
      <c r="W374" s="4"/>
    </row>
    <row r="375" spans="1:206" x14ac:dyDescent="0.2">
      <c r="A375" s="4">
        <v>50</v>
      </c>
      <c r="B375" s="4">
        <v>0</v>
      </c>
      <c r="C375" s="4">
        <v>0</v>
      </c>
      <c r="D375" s="4">
        <v>1</v>
      </c>
      <c r="E375" s="4">
        <v>224</v>
      </c>
      <c r="F375" s="4">
        <f>ROUND(Source!AR348,O375)</f>
        <v>1901641.99</v>
      </c>
      <c r="G375" s="4" t="s">
        <v>411</v>
      </c>
      <c r="H375" s="4" t="s">
        <v>412</v>
      </c>
      <c r="I375" s="4"/>
      <c r="J375" s="4"/>
      <c r="K375" s="4">
        <v>224</v>
      </c>
      <c r="L375" s="4">
        <v>26</v>
      </c>
      <c r="M375" s="4">
        <v>3</v>
      </c>
      <c r="N375" s="4" t="s">
        <v>6</v>
      </c>
      <c r="O375" s="4">
        <v>2</v>
      </c>
      <c r="P375" s="4"/>
      <c r="Q375" s="4"/>
      <c r="R375" s="4"/>
      <c r="S375" s="4"/>
      <c r="T375" s="4"/>
      <c r="U375" s="4"/>
      <c r="V375" s="4"/>
      <c r="W375" s="4"/>
    </row>
    <row r="376" spans="1:206" x14ac:dyDescent="0.2">
      <c r="A376" s="4">
        <v>50</v>
      </c>
      <c r="B376" s="4">
        <v>1</v>
      </c>
      <c r="C376" s="4">
        <v>0</v>
      </c>
      <c r="D376" s="4">
        <v>2</v>
      </c>
      <c r="E376" s="4">
        <v>0</v>
      </c>
      <c r="F376" s="4">
        <f>ROUND(F375,O376)</f>
        <v>1901641.99</v>
      </c>
      <c r="G376" s="4" t="s">
        <v>646</v>
      </c>
      <c r="H376" s="4" t="s">
        <v>647</v>
      </c>
      <c r="I376" s="4"/>
      <c r="J376" s="4"/>
      <c r="K376" s="4">
        <v>212</v>
      </c>
      <c r="L376" s="4">
        <v>27</v>
      </c>
      <c r="M376" s="4">
        <v>0</v>
      </c>
      <c r="N376" s="4" t="s">
        <v>6</v>
      </c>
      <c r="O376" s="4">
        <v>2</v>
      </c>
      <c r="P376" s="4"/>
      <c r="Q376" s="4"/>
      <c r="R376" s="4"/>
      <c r="S376" s="4"/>
      <c r="T376" s="4"/>
      <c r="U376" s="4"/>
      <c r="V376" s="4"/>
      <c r="W376" s="4"/>
    </row>
    <row r="377" spans="1:206" x14ac:dyDescent="0.2">
      <c r="A377" s="4">
        <v>50</v>
      </c>
      <c r="B377" s="4">
        <v>1</v>
      </c>
      <c r="C377" s="4">
        <v>0</v>
      </c>
      <c r="D377" s="4">
        <v>2</v>
      </c>
      <c r="E377" s="4">
        <v>0</v>
      </c>
      <c r="F377" s="4">
        <f>ROUND(F376*0.18,O377)</f>
        <v>342295.56</v>
      </c>
      <c r="G377" s="4" t="s">
        <v>648</v>
      </c>
      <c r="H377" s="4" t="s">
        <v>649</v>
      </c>
      <c r="I377" s="4"/>
      <c r="J377" s="4"/>
      <c r="K377" s="4">
        <v>212</v>
      </c>
      <c r="L377" s="4">
        <v>28</v>
      </c>
      <c r="M377" s="4">
        <v>0</v>
      </c>
      <c r="N377" s="4" t="s">
        <v>6</v>
      </c>
      <c r="O377" s="4">
        <v>2</v>
      </c>
      <c r="P377" s="4"/>
      <c r="Q377" s="4"/>
      <c r="R377" s="4"/>
      <c r="S377" s="4"/>
      <c r="T377" s="4"/>
      <c r="U377" s="4"/>
      <c r="V377" s="4"/>
      <c r="W377" s="4"/>
    </row>
    <row r="378" spans="1:206" x14ac:dyDescent="0.2">
      <c r="A378" s="4">
        <v>50</v>
      </c>
      <c r="B378" s="4">
        <v>1</v>
      </c>
      <c r="C378" s="4">
        <v>0</v>
      </c>
      <c r="D378" s="4">
        <v>2</v>
      </c>
      <c r="E378" s="4">
        <v>213</v>
      </c>
      <c r="F378" s="4">
        <f>ROUND(F376+F377,O378)</f>
        <v>2243937.5499999998</v>
      </c>
      <c r="G378" s="4" t="s">
        <v>650</v>
      </c>
      <c r="H378" s="4" t="s">
        <v>411</v>
      </c>
      <c r="I378" s="4"/>
      <c r="J378" s="4"/>
      <c r="K378" s="4">
        <v>212</v>
      </c>
      <c r="L378" s="4">
        <v>29</v>
      </c>
      <c r="M378" s="4">
        <v>0</v>
      </c>
      <c r="N378" s="4" t="s">
        <v>6</v>
      </c>
      <c r="O378" s="4">
        <v>2</v>
      </c>
      <c r="P378" s="4"/>
      <c r="Q378" s="4"/>
      <c r="R378" s="4"/>
      <c r="S378" s="4"/>
      <c r="T378" s="4"/>
      <c r="U378" s="4"/>
      <c r="V378" s="4"/>
      <c r="W378" s="4"/>
    </row>
    <row r="380" spans="1:206" x14ac:dyDescent="0.2">
      <c r="A380" s="2">
        <v>51</v>
      </c>
      <c r="B380" s="2">
        <f>B12</f>
        <v>438</v>
      </c>
      <c r="C380" s="2">
        <f>A12</f>
        <v>1</v>
      </c>
      <c r="D380" s="2">
        <f>ROW(A12)</f>
        <v>12</v>
      </c>
      <c r="E380" s="2"/>
      <c r="F380" s="2" t="str">
        <f>IF(F12&lt;&gt;"",F12,"")</f>
        <v>Новый объект_(Копия)_(Копия)_(Копия)</v>
      </c>
      <c r="G380" s="2" t="str">
        <f>IF(G12&lt;&gt;"",G12,"")</f>
        <v>на капитальный ремонт помещений № 17 (К-212), № 18 (К-213), № 19 (К-214), № 20 (К-215) 2-го этажа учебно-научного корпуса "К" НИЯУ МИФИ по адресу: г. Москва, Каширское шоссе, д. 31, стр. 46</v>
      </c>
      <c r="H380" s="2">
        <v>0</v>
      </c>
      <c r="I380" s="2"/>
      <c r="J380" s="2"/>
      <c r="K380" s="2"/>
      <c r="L380" s="2"/>
      <c r="M380" s="2"/>
      <c r="N380" s="2"/>
      <c r="O380" s="2">
        <f t="shared" ref="O380:T380" si="352">ROUND(O348,2)</f>
        <v>1719506.63</v>
      </c>
      <c r="P380" s="2">
        <f t="shared" si="352"/>
        <v>1586245.79</v>
      </c>
      <c r="Q380" s="2">
        <f t="shared" si="352"/>
        <v>10602.66</v>
      </c>
      <c r="R380" s="2">
        <f t="shared" si="352"/>
        <v>1816.96</v>
      </c>
      <c r="S380" s="2">
        <f t="shared" si="352"/>
        <v>122658.18</v>
      </c>
      <c r="T380" s="2">
        <f t="shared" si="352"/>
        <v>0</v>
      </c>
      <c r="U380" s="2">
        <f>U348</f>
        <v>1678.3632344</v>
      </c>
      <c r="V380" s="2">
        <f>V348</f>
        <v>22.156505374999995</v>
      </c>
      <c r="W380" s="2">
        <f>ROUND(W348,2)</f>
        <v>0</v>
      </c>
      <c r="X380" s="2">
        <f>ROUND(X348,2)</f>
        <v>108957.56</v>
      </c>
      <c r="Y380" s="2">
        <f>ROUND(Y348,2)</f>
        <v>67933.929999999993</v>
      </c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>
        <f t="shared" ref="AO380:BC380" si="353">ROUND(AO348,2)</f>
        <v>0</v>
      </c>
      <c r="AP380" s="2">
        <f t="shared" si="353"/>
        <v>0</v>
      </c>
      <c r="AQ380" s="2">
        <f t="shared" si="353"/>
        <v>0</v>
      </c>
      <c r="AR380" s="2">
        <f t="shared" si="353"/>
        <v>1901641.99</v>
      </c>
      <c r="AS380" s="2">
        <f t="shared" si="353"/>
        <v>1223103.4099999999</v>
      </c>
      <c r="AT380" s="2">
        <f t="shared" si="353"/>
        <v>624299.68000000005</v>
      </c>
      <c r="AU380" s="2">
        <f t="shared" si="353"/>
        <v>54238.9</v>
      </c>
      <c r="AV380" s="2">
        <f t="shared" si="353"/>
        <v>1586245.79</v>
      </c>
      <c r="AW380" s="2">
        <f t="shared" si="353"/>
        <v>1586245.79</v>
      </c>
      <c r="AX380" s="2">
        <f t="shared" si="353"/>
        <v>0</v>
      </c>
      <c r="AY380" s="2">
        <f t="shared" si="353"/>
        <v>1586245.79</v>
      </c>
      <c r="AZ380" s="2">
        <f t="shared" si="353"/>
        <v>0</v>
      </c>
      <c r="BA380" s="2">
        <f t="shared" si="353"/>
        <v>0</v>
      </c>
      <c r="BB380" s="2">
        <f t="shared" si="353"/>
        <v>0</v>
      </c>
      <c r="BC380" s="2">
        <f t="shared" si="353"/>
        <v>0</v>
      </c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3"/>
      <c r="EF380" s="3"/>
      <c r="EG380" s="3"/>
      <c r="EH380" s="3"/>
      <c r="EI380" s="3"/>
      <c r="EJ380" s="3"/>
      <c r="EK380" s="3"/>
      <c r="EL380" s="3"/>
      <c r="EM380" s="3"/>
      <c r="EN380" s="3"/>
      <c r="EO380" s="3"/>
      <c r="EP380" s="3"/>
      <c r="EQ380" s="3"/>
      <c r="ER380" s="3"/>
      <c r="ES380" s="3"/>
      <c r="ET380" s="3"/>
      <c r="EU380" s="3"/>
      <c r="EV380" s="3"/>
      <c r="EW380" s="3"/>
      <c r="EX380" s="3"/>
      <c r="EY380" s="3"/>
      <c r="EZ380" s="3"/>
      <c r="FA380" s="3"/>
      <c r="FB380" s="3"/>
      <c r="FC380" s="3"/>
      <c r="FD380" s="3"/>
      <c r="FE380" s="3"/>
      <c r="FF380" s="3"/>
      <c r="FG380" s="3"/>
      <c r="FH380" s="3"/>
      <c r="FI380" s="3"/>
      <c r="FJ380" s="3"/>
      <c r="FK380" s="3"/>
      <c r="FL380" s="3"/>
      <c r="FM380" s="3"/>
      <c r="FN380" s="3"/>
      <c r="FO380" s="3"/>
      <c r="FP380" s="3"/>
      <c r="FQ380" s="3"/>
      <c r="FR380" s="3"/>
      <c r="FS380" s="3"/>
      <c r="FT380" s="3"/>
      <c r="FU380" s="3"/>
      <c r="FV380" s="3"/>
      <c r="FW380" s="3"/>
      <c r="FX380" s="3"/>
      <c r="FY380" s="3"/>
      <c r="FZ380" s="3"/>
      <c r="GA380" s="3"/>
      <c r="GB380" s="3"/>
      <c r="GC380" s="3"/>
      <c r="GD380" s="3"/>
      <c r="GE380" s="3"/>
      <c r="GF380" s="3"/>
      <c r="GG380" s="3"/>
      <c r="GH380" s="3"/>
      <c r="GI380" s="3"/>
      <c r="GJ380" s="3"/>
      <c r="GK380" s="3"/>
      <c r="GL380" s="3"/>
      <c r="GM380" s="3"/>
      <c r="GN380" s="3"/>
      <c r="GO380" s="3"/>
      <c r="GP380" s="3"/>
      <c r="GQ380" s="3"/>
      <c r="GR380" s="3"/>
      <c r="GS380" s="3"/>
      <c r="GT380" s="3"/>
      <c r="GU380" s="3"/>
      <c r="GV380" s="3"/>
      <c r="GW380" s="3"/>
      <c r="GX380" s="3">
        <v>0</v>
      </c>
    </row>
    <row r="382" spans="1:206" x14ac:dyDescent="0.2">
      <c r="A382" s="4">
        <v>50</v>
      </c>
      <c r="B382" s="4">
        <v>0</v>
      </c>
      <c r="C382" s="4">
        <v>0</v>
      </c>
      <c r="D382" s="4">
        <v>1</v>
      </c>
      <c r="E382" s="4">
        <v>201</v>
      </c>
      <c r="F382" s="4">
        <f>ROUND(Source!O380,O382)</f>
        <v>1719506.63</v>
      </c>
      <c r="G382" s="4" t="s">
        <v>361</v>
      </c>
      <c r="H382" s="4" t="s">
        <v>362</v>
      </c>
      <c r="I382" s="4"/>
      <c r="J382" s="4"/>
      <c r="K382" s="4">
        <v>201</v>
      </c>
      <c r="L382" s="4">
        <v>1</v>
      </c>
      <c r="M382" s="4">
        <v>3</v>
      </c>
      <c r="N382" s="4" t="s">
        <v>6</v>
      </c>
      <c r="O382" s="4">
        <v>2</v>
      </c>
      <c r="P382" s="4"/>
      <c r="Q382" s="4"/>
      <c r="R382" s="4"/>
      <c r="S382" s="4"/>
      <c r="T382" s="4"/>
      <c r="U382" s="4"/>
      <c r="V382" s="4"/>
      <c r="W382" s="4"/>
    </row>
    <row r="383" spans="1:206" x14ac:dyDescent="0.2">
      <c r="A383" s="4">
        <v>50</v>
      </c>
      <c r="B383" s="4">
        <v>0</v>
      </c>
      <c r="C383" s="4">
        <v>0</v>
      </c>
      <c r="D383" s="4">
        <v>1</v>
      </c>
      <c r="E383" s="4">
        <v>202</v>
      </c>
      <c r="F383" s="4">
        <f>ROUND(Source!P380,O383)</f>
        <v>1586245.79</v>
      </c>
      <c r="G383" s="4" t="s">
        <v>363</v>
      </c>
      <c r="H383" s="4" t="s">
        <v>364</v>
      </c>
      <c r="I383" s="4"/>
      <c r="J383" s="4"/>
      <c r="K383" s="4">
        <v>202</v>
      </c>
      <c r="L383" s="4">
        <v>2</v>
      </c>
      <c r="M383" s="4">
        <v>3</v>
      </c>
      <c r="N383" s="4" t="s">
        <v>6</v>
      </c>
      <c r="O383" s="4">
        <v>2</v>
      </c>
      <c r="P383" s="4"/>
      <c r="Q383" s="4"/>
      <c r="R383" s="4"/>
      <c r="S383" s="4"/>
      <c r="T383" s="4"/>
      <c r="U383" s="4"/>
      <c r="V383" s="4"/>
      <c r="W383" s="4"/>
    </row>
    <row r="384" spans="1:206" x14ac:dyDescent="0.2">
      <c r="A384" s="4">
        <v>50</v>
      </c>
      <c r="B384" s="4">
        <v>0</v>
      </c>
      <c r="C384" s="4">
        <v>0</v>
      </c>
      <c r="D384" s="4">
        <v>1</v>
      </c>
      <c r="E384" s="4">
        <v>222</v>
      </c>
      <c r="F384" s="4">
        <f>ROUND(Source!AO380,O384)</f>
        <v>0</v>
      </c>
      <c r="G384" s="4" t="s">
        <v>365</v>
      </c>
      <c r="H384" s="4" t="s">
        <v>366</v>
      </c>
      <c r="I384" s="4"/>
      <c r="J384" s="4"/>
      <c r="K384" s="4">
        <v>222</v>
      </c>
      <c r="L384" s="4">
        <v>3</v>
      </c>
      <c r="M384" s="4">
        <v>3</v>
      </c>
      <c r="N384" s="4" t="s">
        <v>6</v>
      </c>
      <c r="O384" s="4">
        <v>2</v>
      </c>
      <c r="P384" s="4"/>
      <c r="Q384" s="4"/>
      <c r="R384" s="4"/>
      <c r="S384" s="4"/>
      <c r="T384" s="4"/>
      <c r="U384" s="4"/>
      <c r="V384" s="4"/>
      <c r="W384" s="4"/>
    </row>
    <row r="385" spans="1:23" x14ac:dyDescent="0.2">
      <c r="A385" s="4">
        <v>50</v>
      </c>
      <c r="B385" s="4">
        <v>0</v>
      </c>
      <c r="C385" s="4">
        <v>0</v>
      </c>
      <c r="D385" s="4">
        <v>1</v>
      </c>
      <c r="E385" s="4">
        <v>225</v>
      </c>
      <c r="F385" s="4">
        <f>ROUND(Source!AV380,O385)</f>
        <v>1586245.79</v>
      </c>
      <c r="G385" s="4" t="s">
        <v>367</v>
      </c>
      <c r="H385" s="4" t="s">
        <v>368</v>
      </c>
      <c r="I385" s="4"/>
      <c r="J385" s="4"/>
      <c r="K385" s="4">
        <v>225</v>
      </c>
      <c r="L385" s="4">
        <v>4</v>
      </c>
      <c r="M385" s="4">
        <v>3</v>
      </c>
      <c r="N385" s="4" t="s">
        <v>6</v>
      </c>
      <c r="O385" s="4">
        <v>2</v>
      </c>
      <c r="P385" s="4"/>
      <c r="Q385" s="4"/>
      <c r="R385" s="4"/>
      <c r="S385" s="4"/>
      <c r="T385" s="4"/>
      <c r="U385" s="4"/>
      <c r="V385" s="4"/>
      <c r="W385" s="4"/>
    </row>
    <row r="386" spans="1:23" x14ac:dyDescent="0.2">
      <c r="A386" s="4">
        <v>50</v>
      </c>
      <c r="B386" s="4">
        <v>0</v>
      </c>
      <c r="C386" s="4">
        <v>0</v>
      </c>
      <c r="D386" s="4">
        <v>1</v>
      </c>
      <c r="E386" s="4">
        <v>226</v>
      </c>
      <c r="F386" s="4">
        <f>ROUND(Source!AW380,O386)</f>
        <v>1586245.79</v>
      </c>
      <c r="G386" s="4" t="s">
        <v>369</v>
      </c>
      <c r="H386" s="4" t="s">
        <v>370</v>
      </c>
      <c r="I386" s="4"/>
      <c r="J386" s="4"/>
      <c r="K386" s="4">
        <v>226</v>
      </c>
      <c r="L386" s="4">
        <v>5</v>
      </c>
      <c r="M386" s="4">
        <v>3</v>
      </c>
      <c r="N386" s="4" t="s">
        <v>6</v>
      </c>
      <c r="O386" s="4">
        <v>2</v>
      </c>
      <c r="P386" s="4"/>
      <c r="Q386" s="4"/>
      <c r="R386" s="4"/>
      <c r="S386" s="4"/>
      <c r="T386" s="4"/>
      <c r="U386" s="4"/>
      <c r="V386" s="4"/>
      <c r="W386" s="4"/>
    </row>
    <row r="387" spans="1:23" x14ac:dyDescent="0.2">
      <c r="A387" s="4">
        <v>50</v>
      </c>
      <c r="B387" s="4">
        <v>0</v>
      </c>
      <c r="C387" s="4">
        <v>0</v>
      </c>
      <c r="D387" s="4">
        <v>1</v>
      </c>
      <c r="E387" s="4">
        <v>227</v>
      </c>
      <c r="F387" s="4">
        <f>ROUND(Source!AX380,O387)</f>
        <v>0</v>
      </c>
      <c r="G387" s="4" t="s">
        <v>371</v>
      </c>
      <c r="H387" s="4" t="s">
        <v>372</v>
      </c>
      <c r="I387" s="4"/>
      <c r="J387" s="4"/>
      <c r="K387" s="4">
        <v>227</v>
      </c>
      <c r="L387" s="4">
        <v>6</v>
      </c>
      <c r="M387" s="4">
        <v>3</v>
      </c>
      <c r="N387" s="4" t="s">
        <v>6</v>
      </c>
      <c r="O387" s="4">
        <v>2</v>
      </c>
      <c r="P387" s="4"/>
      <c r="Q387" s="4"/>
      <c r="R387" s="4"/>
      <c r="S387" s="4"/>
      <c r="T387" s="4"/>
      <c r="U387" s="4"/>
      <c r="V387" s="4"/>
      <c r="W387" s="4"/>
    </row>
    <row r="388" spans="1:23" x14ac:dyDescent="0.2">
      <c r="A388" s="4">
        <v>50</v>
      </c>
      <c r="B388" s="4">
        <v>0</v>
      </c>
      <c r="C388" s="4">
        <v>0</v>
      </c>
      <c r="D388" s="4">
        <v>1</v>
      </c>
      <c r="E388" s="4">
        <v>228</v>
      </c>
      <c r="F388" s="4">
        <f>ROUND(Source!AY380,O388)</f>
        <v>1586245.79</v>
      </c>
      <c r="G388" s="4" t="s">
        <v>373</v>
      </c>
      <c r="H388" s="4" t="s">
        <v>374</v>
      </c>
      <c r="I388" s="4"/>
      <c r="J388" s="4"/>
      <c r="K388" s="4">
        <v>228</v>
      </c>
      <c r="L388" s="4">
        <v>7</v>
      </c>
      <c r="M388" s="4">
        <v>3</v>
      </c>
      <c r="N388" s="4" t="s">
        <v>6</v>
      </c>
      <c r="O388" s="4">
        <v>2</v>
      </c>
      <c r="P388" s="4"/>
      <c r="Q388" s="4"/>
      <c r="R388" s="4"/>
      <c r="S388" s="4"/>
      <c r="T388" s="4"/>
      <c r="U388" s="4"/>
      <c r="V388" s="4"/>
      <c r="W388" s="4"/>
    </row>
    <row r="389" spans="1:23" x14ac:dyDescent="0.2">
      <c r="A389" s="4">
        <v>50</v>
      </c>
      <c r="B389" s="4">
        <v>0</v>
      </c>
      <c r="C389" s="4">
        <v>0</v>
      </c>
      <c r="D389" s="4">
        <v>1</v>
      </c>
      <c r="E389" s="4">
        <v>216</v>
      </c>
      <c r="F389" s="4">
        <f>ROUND(Source!AP380,O389)</f>
        <v>0</v>
      </c>
      <c r="G389" s="4" t="s">
        <v>375</v>
      </c>
      <c r="H389" s="4" t="s">
        <v>376</v>
      </c>
      <c r="I389" s="4"/>
      <c r="J389" s="4"/>
      <c r="K389" s="4">
        <v>216</v>
      </c>
      <c r="L389" s="4">
        <v>8</v>
      </c>
      <c r="M389" s="4">
        <v>3</v>
      </c>
      <c r="N389" s="4" t="s">
        <v>6</v>
      </c>
      <c r="O389" s="4">
        <v>2</v>
      </c>
      <c r="P389" s="4"/>
      <c r="Q389" s="4"/>
      <c r="R389" s="4"/>
      <c r="S389" s="4"/>
      <c r="T389" s="4"/>
      <c r="U389" s="4"/>
      <c r="V389" s="4"/>
      <c r="W389" s="4"/>
    </row>
    <row r="390" spans="1:23" x14ac:dyDescent="0.2">
      <c r="A390" s="4">
        <v>50</v>
      </c>
      <c r="B390" s="4">
        <v>0</v>
      </c>
      <c r="C390" s="4">
        <v>0</v>
      </c>
      <c r="D390" s="4">
        <v>1</v>
      </c>
      <c r="E390" s="4">
        <v>223</v>
      </c>
      <c r="F390" s="4">
        <f>ROUND(Source!AQ380,O390)</f>
        <v>0</v>
      </c>
      <c r="G390" s="4" t="s">
        <v>377</v>
      </c>
      <c r="H390" s="4" t="s">
        <v>378</v>
      </c>
      <c r="I390" s="4"/>
      <c r="J390" s="4"/>
      <c r="K390" s="4">
        <v>223</v>
      </c>
      <c r="L390" s="4">
        <v>9</v>
      </c>
      <c r="M390" s="4">
        <v>3</v>
      </c>
      <c r="N390" s="4" t="s">
        <v>6</v>
      </c>
      <c r="O390" s="4">
        <v>2</v>
      </c>
      <c r="P390" s="4"/>
      <c r="Q390" s="4"/>
      <c r="R390" s="4"/>
      <c r="S390" s="4"/>
      <c r="T390" s="4"/>
      <c r="U390" s="4"/>
      <c r="V390" s="4"/>
      <c r="W390" s="4"/>
    </row>
    <row r="391" spans="1:23" x14ac:dyDescent="0.2">
      <c r="A391" s="4">
        <v>50</v>
      </c>
      <c r="B391" s="4">
        <v>0</v>
      </c>
      <c r="C391" s="4">
        <v>0</v>
      </c>
      <c r="D391" s="4">
        <v>1</v>
      </c>
      <c r="E391" s="4">
        <v>229</v>
      </c>
      <c r="F391" s="4">
        <f>ROUND(Source!AZ380,O391)</f>
        <v>0</v>
      </c>
      <c r="G391" s="4" t="s">
        <v>379</v>
      </c>
      <c r="H391" s="4" t="s">
        <v>380</v>
      </c>
      <c r="I391" s="4"/>
      <c r="J391" s="4"/>
      <c r="K391" s="4">
        <v>229</v>
      </c>
      <c r="L391" s="4">
        <v>10</v>
      </c>
      <c r="M391" s="4">
        <v>3</v>
      </c>
      <c r="N391" s="4" t="s">
        <v>6</v>
      </c>
      <c r="O391" s="4">
        <v>2</v>
      </c>
      <c r="P391" s="4"/>
      <c r="Q391" s="4"/>
      <c r="R391" s="4"/>
      <c r="S391" s="4"/>
      <c r="T391" s="4"/>
      <c r="U391" s="4"/>
      <c r="V391" s="4"/>
      <c r="W391" s="4"/>
    </row>
    <row r="392" spans="1:23" x14ac:dyDescent="0.2">
      <c r="A392" s="4">
        <v>50</v>
      </c>
      <c r="B392" s="4">
        <v>0</v>
      </c>
      <c r="C392" s="4">
        <v>0</v>
      </c>
      <c r="D392" s="4">
        <v>1</v>
      </c>
      <c r="E392" s="4">
        <v>203</v>
      </c>
      <c r="F392" s="4">
        <f>ROUND(Source!Q380,O392)</f>
        <v>10602.66</v>
      </c>
      <c r="G392" s="4" t="s">
        <v>381</v>
      </c>
      <c r="H392" s="4" t="s">
        <v>382</v>
      </c>
      <c r="I392" s="4"/>
      <c r="J392" s="4"/>
      <c r="K392" s="4">
        <v>203</v>
      </c>
      <c r="L392" s="4">
        <v>11</v>
      </c>
      <c r="M392" s="4">
        <v>3</v>
      </c>
      <c r="N392" s="4" t="s">
        <v>6</v>
      </c>
      <c r="O392" s="4">
        <v>2</v>
      </c>
      <c r="P392" s="4"/>
      <c r="Q392" s="4"/>
      <c r="R392" s="4"/>
      <c r="S392" s="4"/>
      <c r="T392" s="4"/>
      <c r="U392" s="4"/>
      <c r="V392" s="4"/>
      <c r="W392" s="4"/>
    </row>
    <row r="393" spans="1:23" x14ac:dyDescent="0.2">
      <c r="A393" s="4">
        <v>50</v>
      </c>
      <c r="B393" s="4">
        <v>0</v>
      </c>
      <c r="C393" s="4">
        <v>0</v>
      </c>
      <c r="D393" s="4">
        <v>1</v>
      </c>
      <c r="E393" s="4">
        <v>231</v>
      </c>
      <c r="F393" s="4">
        <f>ROUND(Source!BB380,O393)</f>
        <v>0</v>
      </c>
      <c r="G393" s="4" t="s">
        <v>383</v>
      </c>
      <c r="H393" s="4" t="s">
        <v>384</v>
      </c>
      <c r="I393" s="4"/>
      <c r="J393" s="4"/>
      <c r="K393" s="4">
        <v>231</v>
      </c>
      <c r="L393" s="4">
        <v>12</v>
      </c>
      <c r="M393" s="4">
        <v>3</v>
      </c>
      <c r="N393" s="4" t="s">
        <v>6</v>
      </c>
      <c r="O393" s="4">
        <v>2</v>
      </c>
      <c r="P393" s="4"/>
      <c r="Q393" s="4"/>
      <c r="R393" s="4"/>
      <c r="S393" s="4"/>
      <c r="T393" s="4"/>
      <c r="U393" s="4"/>
      <c r="V393" s="4"/>
      <c r="W393" s="4"/>
    </row>
    <row r="394" spans="1:23" x14ac:dyDescent="0.2">
      <c r="A394" s="4">
        <v>50</v>
      </c>
      <c r="B394" s="4">
        <v>0</v>
      </c>
      <c r="C394" s="4">
        <v>0</v>
      </c>
      <c r="D394" s="4">
        <v>1</v>
      </c>
      <c r="E394" s="4">
        <v>204</v>
      </c>
      <c r="F394" s="4">
        <f>ROUND(Source!R380,O394)</f>
        <v>1816.96</v>
      </c>
      <c r="G394" s="4" t="s">
        <v>385</v>
      </c>
      <c r="H394" s="4" t="s">
        <v>386</v>
      </c>
      <c r="I394" s="4"/>
      <c r="J394" s="4"/>
      <c r="K394" s="4">
        <v>204</v>
      </c>
      <c r="L394" s="4">
        <v>13</v>
      </c>
      <c r="M394" s="4">
        <v>3</v>
      </c>
      <c r="N394" s="4" t="s">
        <v>6</v>
      </c>
      <c r="O394" s="4">
        <v>2</v>
      </c>
      <c r="P394" s="4"/>
      <c r="Q394" s="4"/>
      <c r="R394" s="4"/>
      <c r="S394" s="4"/>
      <c r="T394" s="4"/>
      <c r="U394" s="4"/>
      <c r="V394" s="4"/>
      <c r="W394" s="4"/>
    </row>
    <row r="395" spans="1:23" x14ac:dyDescent="0.2">
      <c r="A395" s="4">
        <v>50</v>
      </c>
      <c r="B395" s="4">
        <v>0</v>
      </c>
      <c r="C395" s="4">
        <v>0</v>
      </c>
      <c r="D395" s="4">
        <v>1</v>
      </c>
      <c r="E395" s="4">
        <v>205</v>
      </c>
      <c r="F395" s="4">
        <f>ROUND(Source!S380,O395)</f>
        <v>122658.18</v>
      </c>
      <c r="G395" s="4" t="s">
        <v>387</v>
      </c>
      <c r="H395" s="4" t="s">
        <v>388</v>
      </c>
      <c r="I395" s="4"/>
      <c r="J395" s="4"/>
      <c r="K395" s="4">
        <v>205</v>
      </c>
      <c r="L395" s="4">
        <v>14</v>
      </c>
      <c r="M395" s="4">
        <v>3</v>
      </c>
      <c r="N395" s="4" t="s">
        <v>6</v>
      </c>
      <c r="O395" s="4">
        <v>2</v>
      </c>
      <c r="P395" s="4"/>
      <c r="Q395" s="4"/>
      <c r="R395" s="4"/>
      <c r="S395" s="4"/>
      <c r="T395" s="4"/>
      <c r="U395" s="4"/>
      <c r="V395" s="4"/>
      <c r="W395" s="4"/>
    </row>
    <row r="396" spans="1:23" x14ac:dyDescent="0.2">
      <c r="A396" s="4">
        <v>50</v>
      </c>
      <c r="B396" s="4">
        <v>0</v>
      </c>
      <c r="C396" s="4">
        <v>0</v>
      </c>
      <c r="D396" s="4">
        <v>1</v>
      </c>
      <c r="E396" s="4">
        <v>232</v>
      </c>
      <c r="F396" s="4">
        <f>ROUND(Source!BC380,O396)</f>
        <v>0</v>
      </c>
      <c r="G396" s="4" t="s">
        <v>389</v>
      </c>
      <c r="H396" s="4" t="s">
        <v>390</v>
      </c>
      <c r="I396" s="4"/>
      <c r="J396" s="4"/>
      <c r="K396" s="4">
        <v>232</v>
      </c>
      <c r="L396" s="4">
        <v>15</v>
      </c>
      <c r="M396" s="4">
        <v>3</v>
      </c>
      <c r="N396" s="4" t="s">
        <v>6</v>
      </c>
      <c r="O396" s="4">
        <v>2</v>
      </c>
      <c r="P396" s="4"/>
      <c r="Q396" s="4"/>
      <c r="R396" s="4"/>
      <c r="S396" s="4"/>
      <c r="T396" s="4"/>
      <c r="U396" s="4"/>
      <c r="V396" s="4"/>
      <c r="W396" s="4"/>
    </row>
    <row r="397" spans="1:23" x14ac:dyDescent="0.2">
      <c r="A397" s="4">
        <v>50</v>
      </c>
      <c r="B397" s="4">
        <v>0</v>
      </c>
      <c r="C397" s="4">
        <v>0</v>
      </c>
      <c r="D397" s="4">
        <v>1</v>
      </c>
      <c r="E397" s="4">
        <v>214</v>
      </c>
      <c r="F397" s="4">
        <f>ROUND(Source!AS380,O397)</f>
        <v>1223103.4099999999</v>
      </c>
      <c r="G397" s="4" t="s">
        <v>391</v>
      </c>
      <c r="H397" s="4" t="s">
        <v>392</v>
      </c>
      <c r="I397" s="4"/>
      <c r="J397" s="4"/>
      <c r="K397" s="4">
        <v>214</v>
      </c>
      <c r="L397" s="4">
        <v>16</v>
      </c>
      <c r="M397" s="4">
        <v>3</v>
      </c>
      <c r="N397" s="4" t="s">
        <v>6</v>
      </c>
      <c r="O397" s="4">
        <v>2</v>
      </c>
      <c r="P397" s="4"/>
      <c r="Q397" s="4"/>
      <c r="R397" s="4"/>
      <c r="S397" s="4"/>
      <c r="T397" s="4"/>
      <c r="U397" s="4"/>
      <c r="V397" s="4"/>
      <c r="W397" s="4"/>
    </row>
    <row r="398" spans="1:23" x14ac:dyDescent="0.2">
      <c r="A398" s="4">
        <v>50</v>
      </c>
      <c r="B398" s="4">
        <v>0</v>
      </c>
      <c r="C398" s="4">
        <v>0</v>
      </c>
      <c r="D398" s="4">
        <v>1</v>
      </c>
      <c r="E398" s="4">
        <v>215</v>
      </c>
      <c r="F398" s="4">
        <f>ROUND(Source!AT380,O398)</f>
        <v>624299.68000000005</v>
      </c>
      <c r="G398" s="4" t="s">
        <v>393</v>
      </c>
      <c r="H398" s="4" t="s">
        <v>394</v>
      </c>
      <c r="I398" s="4"/>
      <c r="J398" s="4"/>
      <c r="K398" s="4">
        <v>215</v>
      </c>
      <c r="L398" s="4">
        <v>17</v>
      </c>
      <c r="M398" s="4">
        <v>3</v>
      </c>
      <c r="N398" s="4" t="s">
        <v>6</v>
      </c>
      <c r="O398" s="4">
        <v>2</v>
      </c>
      <c r="P398" s="4"/>
      <c r="Q398" s="4"/>
      <c r="R398" s="4"/>
      <c r="S398" s="4"/>
      <c r="T398" s="4"/>
      <c r="U398" s="4"/>
      <c r="V398" s="4"/>
      <c r="W398" s="4"/>
    </row>
    <row r="399" spans="1:23" x14ac:dyDescent="0.2">
      <c r="A399" s="4">
        <v>50</v>
      </c>
      <c r="B399" s="4">
        <v>0</v>
      </c>
      <c r="C399" s="4">
        <v>0</v>
      </c>
      <c r="D399" s="4">
        <v>1</v>
      </c>
      <c r="E399" s="4">
        <v>217</v>
      </c>
      <c r="F399" s="4">
        <f>ROUND(Source!AU380,O399)</f>
        <v>54238.9</v>
      </c>
      <c r="G399" s="4" t="s">
        <v>395</v>
      </c>
      <c r="H399" s="4" t="s">
        <v>396</v>
      </c>
      <c r="I399" s="4"/>
      <c r="J399" s="4"/>
      <c r="K399" s="4">
        <v>217</v>
      </c>
      <c r="L399" s="4">
        <v>18</v>
      </c>
      <c r="M399" s="4">
        <v>3</v>
      </c>
      <c r="N399" s="4" t="s">
        <v>6</v>
      </c>
      <c r="O399" s="4">
        <v>2</v>
      </c>
      <c r="P399" s="4"/>
      <c r="Q399" s="4"/>
      <c r="R399" s="4"/>
      <c r="S399" s="4"/>
      <c r="T399" s="4"/>
      <c r="U399" s="4"/>
      <c r="V399" s="4"/>
      <c r="W399" s="4"/>
    </row>
    <row r="400" spans="1:23" x14ac:dyDescent="0.2">
      <c r="A400" s="4">
        <v>50</v>
      </c>
      <c r="B400" s="4">
        <v>0</v>
      </c>
      <c r="C400" s="4">
        <v>0</v>
      </c>
      <c r="D400" s="4">
        <v>1</v>
      </c>
      <c r="E400" s="4">
        <v>230</v>
      </c>
      <c r="F400" s="4">
        <f>ROUND(Source!BA380,O400)</f>
        <v>0</v>
      </c>
      <c r="G400" s="4" t="s">
        <v>397</v>
      </c>
      <c r="H400" s="4" t="s">
        <v>398</v>
      </c>
      <c r="I400" s="4"/>
      <c r="J400" s="4"/>
      <c r="K400" s="4">
        <v>230</v>
      </c>
      <c r="L400" s="4">
        <v>19</v>
      </c>
      <c r="M400" s="4">
        <v>3</v>
      </c>
      <c r="N400" s="4" t="s">
        <v>6</v>
      </c>
      <c r="O400" s="4">
        <v>2</v>
      </c>
      <c r="P400" s="4"/>
      <c r="Q400" s="4"/>
      <c r="R400" s="4"/>
      <c r="S400" s="4"/>
      <c r="T400" s="4"/>
      <c r="U400" s="4"/>
      <c r="V400" s="4"/>
      <c r="W400" s="4"/>
    </row>
    <row r="401" spans="1:23" x14ac:dyDescent="0.2">
      <c r="A401" s="4">
        <v>50</v>
      </c>
      <c r="B401" s="4">
        <v>0</v>
      </c>
      <c r="C401" s="4">
        <v>0</v>
      </c>
      <c r="D401" s="4">
        <v>1</v>
      </c>
      <c r="E401" s="4">
        <v>206</v>
      </c>
      <c r="F401" s="4">
        <f>ROUND(Source!T380,O401)</f>
        <v>0</v>
      </c>
      <c r="G401" s="4" t="s">
        <v>399</v>
      </c>
      <c r="H401" s="4" t="s">
        <v>400</v>
      </c>
      <c r="I401" s="4"/>
      <c r="J401" s="4"/>
      <c r="K401" s="4">
        <v>206</v>
      </c>
      <c r="L401" s="4">
        <v>20</v>
      </c>
      <c r="M401" s="4">
        <v>3</v>
      </c>
      <c r="N401" s="4" t="s">
        <v>6</v>
      </c>
      <c r="O401" s="4">
        <v>2</v>
      </c>
      <c r="P401" s="4"/>
      <c r="Q401" s="4"/>
      <c r="R401" s="4"/>
      <c r="S401" s="4"/>
      <c r="T401" s="4"/>
      <c r="U401" s="4"/>
      <c r="V401" s="4"/>
      <c r="W401" s="4"/>
    </row>
    <row r="402" spans="1:23" x14ac:dyDescent="0.2">
      <c r="A402" s="4">
        <v>50</v>
      </c>
      <c r="B402" s="4">
        <v>0</v>
      </c>
      <c r="C402" s="4">
        <v>0</v>
      </c>
      <c r="D402" s="4">
        <v>1</v>
      </c>
      <c r="E402" s="4">
        <v>207</v>
      </c>
      <c r="F402" s="4">
        <f>Source!U380</f>
        <v>1678.3632344</v>
      </c>
      <c r="G402" s="4" t="s">
        <v>401</v>
      </c>
      <c r="H402" s="4" t="s">
        <v>402</v>
      </c>
      <c r="I402" s="4"/>
      <c r="J402" s="4"/>
      <c r="K402" s="4">
        <v>207</v>
      </c>
      <c r="L402" s="4">
        <v>21</v>
      </c>
      <c r="M402" s="4">
        <v>3</v>
      </c>
      <c r="N402" s="4" t="s">
        <v>6</v>
      </c>
      <c r="O402" s="4">
        <v>-1</v>
      </c>
      <c r="P402" s="4"/>
      <c r="Q402" s="4"/>
      <c r="R402" s="4"/>
      <c r="S402" s="4"/>
      <c r="T402" s="4"/>
      <c r="U402" s="4"/>
      <c r="V402" s="4"/>
      <c r="W402" s="4"/>
    </row>
    <row r="403" spans="1:23" x14ac:dyDescent="0.2">
      <c r="A403" s="4">
        <v>50</v>
      </c>
      <c r="B403" s="4">
        <v>0</v>
      </c>
      <c r="C403" s="4">
        <v>0</v>
      </c>
      <c r="D403" s="4">
        <v>1</v>
      </c>
      <c r="E403" s="4">
        <v>208</v>
      </c>
      <c r="F403" s="4">
        <f>Source!V380</f>
        <v>22.156505374999995</v>
      </c>
      <c r="G403" s="4" t="s">
        <v>403</v>
      </c>
      <c r="H403" s="4" t="s">
        <v>404</v>
      </c>
      <c r="I403" s="4"/>
      <c r="J403" s="4"/>
      <c r="K403" s="4">
        <v>208</v>
      </c>
      <c r="L403" s="4">
        <v>22</v>
      </c>
      <c r="M403" s="4">
        <v>3</v>
      </c>
      <c r="N403" s="4" t="s">
        <v>6</v>
      </c>
      <c r="O403" s="4">
        <v>-1</v>
      </c>
      <c r="P403" s="4"/>
      <c r="Q403" s="4"/>
      <c r="R403" s="4"/>
      <c r="S403" s="4"/>
      <c r="T403" s="4"/>
      <c r="U403" s="4"/>
      <c r="V403" s="4"/>
      <c r="W403" s="4"/>
    </row>
    <row r="404" spans="1:23" x14ac:dyDescent="0.2">
      <c r="A404" s="4">
        <v>50</v>
      </c>
      <c r="B404" s="4">
        <v>0</v>
      </c>
      <c r="C404" s="4">
        <v>0</v>
      </c>
      <c r="D404" s="4">
        <v>1</v>
      </c>
      <c r="E404" s="4">
        <v>209</v>
      </c>
      <c r="F404" s="4">
        <f>ROUND(Source!W380,O404)</f>
        <v>0</v>
      </c>
      <c r="G404" s="4" t="s">
        <v>405</v>
      </c>
      <c r="H404" s="4" t="s">
        <v>406</v>
      </c>
      <c r="I404" s="4"/>
      <c r="J404" s="4"/>
      <c r="K404" s="4">
        <v>209</v>
      </c>
      <c r="L404" s="4">
        <v>23</v>
      </c>
      <c r="M404" s="4">
        <v>3</v>
      </c>
      <c r="N404" s="4" t="s">
        <v>6</v>
      </c>
      <c r="O404" s="4">
        <v>2</v>
      </c>
      <c r="P404" s="4"/>
      <c r="Q404" s="4"/>
      <c r="R404" s="4"/>
      <c r="S404" s="4"/>
      <c r="T404" s="4"/>
      <c r="U404" s="4"/>
      <c r="V404" s="4"/>
      <c r="W404" s="4"/>
    </row>
    <row r="405" spans="1:23" x14ac:dyDescent="0.2">
      <c r="A405" s="4">
        <v>50</v>
      </c>
      <c r="B405" s="4">
        <v>0</v>
      </c>
      <c r="C405" s="4">
        <v>0</v>
      </c>
      <c r="D405" s="4">
        <v>1</v>
      </c>
      <c r="E405" s="4">
        <v>210</v>
      </c>
      <c r="F405" s="4">
        <f>ROUND(Source!X380,O405)</f>
        <v>108957.56</v>
      </c>
      <c r="G405" s="4" t="s">
        <v>407</v>
      </c>
      <c r="H405" s="4" t="s">
        <v>408</v>
      </c>
      <c r="I405" s="4"/>
      <c r="J405" s="4"/>
      <c r="K405" s="4">
        <v>210</v>
      </c>
      <c r="L405" s="4">
        <v>24</v>
      </c>
      <c r="M405" s="4">
        <v>3</v>
      </c>
      <c r="N405" s="4" t="s">
        <v>6</v>
      </c>
      <c r="O405" s="4">
        <v>2</v>
      </c>
      <c r="P405" s="4"/>
      <c r="Q405" s="4"/>
      <c r="R405" s="4"/>
      <c r="S405" s="4"/>
      <c r="T405" s="4"/>
      <c r="U405" s="4"/>
      <c r="V405" s="4"/>
      <c r="W405" s="4"/>
    </row>
    <row r="406" spans="1:23" x14ac:dyDescent="0.2">
      <c r="A406" s="4">
        <v>50</v>
      </c>
      <c r="B406" s="4">
        <v>0</v>
      </c>
      <c r="C406" s="4">
        <v>0</v>
      </c>
      <c r="D406" s="4">
        <v>1</v>
      </c>
      <c r="E406" s="4">
        <v>211</v>
      </c>
      <c r="F406" s="4">
        <f>ROUND(Source!Y380,O406)</f>
        <v>67933.929999999993</v>
      </c>
      <c r="G406" s="4" t="s">
        <v>409</v>
      </c>
      <c r="H406" s="4" t="s">
        <v>410</v>
      </c>
      <c r="I406" s="4"/>
      <c r="J406" s="4"/>
      <c r="K406" s="4">
        <v>211</v>
      </c>
      <c r="L406" s="4">
        <v>25</v>
      </c>
      <c r="M406" s="4">
        <v>3</v>
      </c>
      <c r="N406" s="4" t="s">
        <v>6</v>
      </c>
      <c r="O406" s="4">
        <v>2</v>
      </c>
      <c r="P406" s="4"/>
      <c r="Q406" s="4"/>
      <c r="R406" s="4"/>
      <c r="S406" s="4"/>
      <c r="T406" s="4"/>
      <c r="U406" s="4"/>
      <c r="V406" s="4"/>
      <c r="W406" s="4"/>
    </row>
    <row r="407" spans="1:23" x14ac:dyDescent="0.2">
      <c r="A407" s="4">
        <v>50</v>
      </c>
      <c r="B407" s="4">
        <v>0</v>
      </c>
      <c r="C407" s="4">
        <v>0</v>
      </c>
      <c r="D407" s="4">
        <v>1</v>
      </c>
      <c r="E407" s="4">
        <v>224</v>
      </c>
      <c r="F407" s="4">
        <f>ROUND(Source!AR380,O407)</f>
        <v>1901641.99</v>
      </c>
      <c r="G407" s="4" t="s">
        <v>411</v>
      </c>
      <c r="H407" s="4" t="s">
        <v>412</v>
      </c>
      <c r="I407" s="4"/>
      <c r="J407" s="4"/>
      <c r="K407" s="4">
        <v>224</v>
      </c>
      <c r="L407" s="4">
        <v>26</v>
      </c>
      <c r="M407" s="4">
        <v>3</v>
      </c>
      <c r="N407" s="4" t="s">
        <v>6</v>
      </c>
      <c r="O407" s="4">
        <v>2</v>
      </c>
      <c r="P407" s="4"/>
      <c r="Q407" s="4"/>
      <c r="R407" s="4"/>
      <c r="S407" s="4"/>
      <c r="T407" s="4"/>
      <c r="U407" s="4"/>
      <c r="V407" s="4"/>
      <c r="W407" s="4"/>
    </row>
    <row r="410" spans="1:23" x14ac:dyDescent="0.2">
      <c r="A410">
        <v>70</v>
      </c>
      <c r="B410">
        <v>1</v>
      </c>
      <c r="D410">
        <v>1</v>
      </c>
      <c r="E410" t="s">
        <v>707</v>
      </c>
      <c r="F410" t="s">
        <v>708</v>
      </c>
      <c r="G410">
        <v>0</v>
      </c>
      <c r="H410">
        <v>0</v>
      </c>
      <c r="I410" t="s">
        <v>6</v>
      </c>
      <c r="J410">
        <v>1</v>
      </c>
      <c r="K410">
        <v>0</v>
      </c>
      <c r="L410" t="s">
        <v>6</v>
      </c>
      <c r="M410" t="s">
        <v>6</v>
      </c>
      <c r="N410">
        <v>0</v>
      </c>
    </row>
    <row r="411" spans="1:23" x14ac:dyDescent="0.2">
      <c r="A411">
        <v>70</v>
      </c>
      <c r="B411">
        <v>1</v>
      </c>
      <c r="D411">
        <v>2</v>
      </c>
      <c r="E411" t="s">
        <v>709</v>
      </c>
      <c r="F411" t="s">
        <v>710</v>
      </c>
      <c r="G411">
        <v>1</v>
      </c>
      <c r="H411">
        <v>0</v>
      </c>
      <c r="I411" t="s">
        <v>6</v>
      </c>
      <c r="J411">
        <v>1</v>
      </c>
      <c r="K411">
        <v>0</v>
      </c>
      <c r="L411" t="s">
        <v>6</v>
      </c>
      <c r="M411" t="s">
        <v>6</v>
      </c>
      <c r="N411">
        <v>0</v>
      </c>
    </row>
    <row r="412" spans="1:23" x14ac:dyDescent="0.2">
      <c r="A412">
        <v>70</v>
      </c>
      <c r="B412">
        <v>1</v>
      </c>
      <c r="D412">
        <v>3</v>
      </c>
      <c r="E412" t="s">
        <v>711</v>
      </c>
      <c r="F412" t="s">
        <v>712</v>
      </c>
      <c r="G412">
        <v>0</v>
      </c>
      <c r="H412">
        <v>0</v>
      </c>
      <c r="I412" t="s">
        <v>6</v>
      </c>
      <c r="J412">
        <v>1</v>
      </c>
      <c r="K412">
        <v>0</v>
      </c>
      <c r="L412" t="s">
        <v>6</v>
      </c>
      <c r="M412" t="s">
        <v>6</v>
      </c>
      <c r="N412">
        <v>0</v>
      </c>
    </row>
    <row r="413" spans="1:23" x14ac:dyDescent="0.2">
      <c r="A413">
        <v>70</v>
      </c>
      <c r="B413">
        <v>1</v>
      </c>
      <c r="D413">
        <v>4</v>
      </c>
      <c r="E413" t="s">
        <v>713</v>
      </c>
      <c r="F413" t="s">
        <v>714</v>
      </c>
      <c r="G413">
        <v>0</v>
      </c>
      <c r="H413">
        <v>0</v>
      </c>
      <c r="I413" t="s">
        <v>715</v>
      </c>
      <c r="J413">
        <v>0</v>
      </c>
      <c r="K413">
        <v>0</v>
      </c>
      <c r="L413" t="s">
        <v>6</v>
      </c>
      <c r="M413" t="s">
        <v>6</v>
      </c>
      <c r="N413">
        <v>0</v>
      </c>
    </row>
    <row r="414" spans="1:23" x14ac:dyDescent="0.2">
      <c r="A414">
        <v>70</v>
      </c>
      <c r="B414">
        <v>1</v>
      </c>
      <c r="D414">
        <v>5</v>
      </c>
      <c r="E414" t="s">
        <v>716</v>
      </c>
      <c r="F414" t="s">
        <v>717</v>
      </c>
      <c r="G414">
        <v>0</v>
      </c>
      <c r="H414">
        <v>0</v>
      </c>
      <c r="I414" t="s">
        <v>718</v>
      </c>
      <c r="J414">
        <v>0</v>
      </c>
      <c r="K414">
        <v>0</v>
      </c>
      <c r="L414" t="s">
        <v>6</v>
      </c>
      <c r="M414" t="s">
        <v>6</v>
      </c>
      <c r="N414">
        <v>0</v>
      </c>
    </row>
    <row r="415" spans="1:23" x14ac:dyDescent="0.2">
      <c r="A415">
        <v>70</v>
      </c>
      <c r="B415">
        <v>1</v>
      </c>
      <c r="D415">
        <v>6</v>
      </c>
      <c r="E415" t="s">
        <v>719</v>
      </c>
      <c r="F415" t="s">
        <v>720</v>
      </c>
      <c r="G415">
        <v>0</v>
      </c>
      <c r="H415">
        <v>0</v>
      </c>
      <c r="I415" t="s">
        <v>721</v>
      </c>
      <c r="J415">
        <v>0</v>
      </c>
      <c r="K415">
        <v>0</v>
      </c>
      <c r="L415" t="s">
        <v>6</v>
      </c>
      <c r="M415" t="s">
        <v>6</v>
      </c>
      <c r="N415">
        <v>0</v>
      </c>
    </row>
    <row r="416" spans="1:23" x14ac:dyDescent="0.2">
      <c r="A416">
        <v>70</v>
      </c>
      <c r="B416">
        <v>1</v>
      </c>
      <c r="D416">
        <v>7</v>
      </c>
      <c r="E416" t="s">
        <v>722</v>
      </c>
      <c r="F416" t="s">
        <v>723</v>
      </c>
      <c r="G416">
        <v>0</v>
      </c>
      <c r="H416">
        <v>0</v>
      </c>
      <c r="I416" t="s">
        <v>6</v>
      </c>
      <c r="J416">
        <v>0</v>
      </c>
      <c r="K416">
        <v>0</v>
      </c>
      <c r="L416" t="s">
        <v>6</v>
      </c>
      <c r="M416" t="s">
        <v>6</v>
      </c>
      <c r="N416">
        <v>0</v>
      </c>
    </row>
    <row r="417" spans="1:14" x14ac:dyDescent="0.2">
      <c r="A417">
        <v>70</v>
      </c>
      <c r="B417">
        <v>1</v>
      </c>
      <c r="D417">
        <v>8</v>
      </c>
      <c r="E417" t="s">
        <v>724</v>
      </c>
      <c r="F417" t="s">
        <v>725</v>
      </c>
      <c r="G417">
        <v>0</v>
      </c>
      <c r="H417">
        <v>0</v>
      </c>
      <c r="I417" t="s">
        <v>726</v>
      </c>
      <c r="J417">
        <v>0</v>
      </c>
      <c r="K417">
        <v>0</v>
      </c>
      <c r="L417" t="s">
        <v>6</v>
      </c>
      <c r="M417" t="s">
        <v>6</v>
      </c>
      <c r="N417">
        <v>0</v>
      </c>
    </row>
    <row r="418" spans="1:14" x14ac:dyDescent="0.2">
      <c r="A418">
        <v>70</v>
      </c>
      <c r="B418">
        <v>1</v>
      </c>
      <c r="D418">
        <v>9</v>
      </c>
      <c r="E418" t="s">
        <v>727</v>
      </c>
      <c r="F418" t="s">
        <v>728</v>
      </c>
      <c r="G418">
        <v>0</v>
      </c>
      <c r="H418">
        <v>0</v>
      </c>
      <c r="I418" t="s">
        <v>729</v>
      </c>
      <c r="J418">
        <v>0</v>
      </c>
      <c r="K418">
        <v>0</v>
      </c>
      <c r="L418" t="s">
        <v>6</v>
      </c>
      <c r="M418" t="s">
        <v>6</v>
      </c>
      <c r="N418">
        <v>0</v>
      </c>
    </row>
    <row r="419" spans="1:14" x14ac:dyDescent="0.2">
      <c r="A419">
        <v>70</v>
      </c>
      <c r="B419">
        <v>1</v>
      </c>
      <c r="D419">
        <v>10</v>
      </c>
      <c r="E419" t="s">
        <v>730</v>
      </c>
      <c r="F419" t="s">
        <v>731</v>
      </c>
      <c r="G419">
        <v>0</v>
      </c>
      <c r="H419">
        <v>0</v>
      </c>
      <c r="I419" t="s">
        <v>732</v>
      </c>
      <c r="J419">
        <v>0</v>
      </c>
      <c r="K419">
        <v>0</v>
      </c>
      <c r="L419" t="s">
        <v>6</v>
      </c>
      <c r="M419" t="s">
        <v>6</v>
      </c>
      <c r="N419">
        <v>0</v>
      </c>
    </row>
    <row r="420" spans="1:14" x14ac:dyDescent="0.2">
      <c r="A420">
        <v>70</v>
      </c>
      <c r="B420">
        <v>1</v>
      </c>
      <c r="D420">
        <v>11</v>
      </c>
      <c r="E420" t="s">
        <v>733</v>
      </c>
      <c r="F420" t="s">
        <v>734</v>
      </c>
      <c r="G420">
        <v>0</v>
      </c>
      <c r="H420">
        <v>0</v>
      </c>
      <c r="I420" t="s">
        <v>735</v>
      </c>
      <c r="J420">
        <v>0</v>
      </c>
      <c r="K420">
        <v>0</v>
      </c>
      <c r="L420" t="s">
        <v>6</v>
      </c>
      <c r="M420" t="s">
        <v>6</v>
      </c>
      <c r="N420">
        <v>0</v>
      </c>
    </row>
    <row r="421" spans="1:14" x14ac:dyDescent="0.2">
      <c r="A421">
        <v>70</v>
      </c>
      <c r="B421">
        <v>1</v>
      </c>
      <c r="D421">
        <v>12</v>
      </c>
      <c r="E421" t="s">
        <v>736</v>
      </c>
      <c r="F421" t="s">
        <v>737</v>
      </c>
      <c r="G421">
        <v>0</v>
      </c>
      <c r="H421">
        <v>0</v>
      </c>
      <c r="I421" t="s">
        <v>6</v>
      </c>
      <c r="J421">
        <v>0</v>
      </c>
      <c r="K421">
        <v>0</v>
      </c>
      <c r="L421" t="s">
        <v>6</v>
      </c>
      <c r="M421" t="s">
        <v>6</v>
      </c>
      <c r="N421">
        <v>0</v>
      </c>
    </row>
    <row r="422" spans="1:14" x14ac:dyDescent="0.2">
      <c r="A422">
        <v>70</v>
      </c>
      <c r="B422">
        <v>1</v>
      </c>
      <c r="D422">
        <v>1</v>
      </c>
      <c r="E422" t="s">
        <v>738</v>
      </c>
      <c r="F422" t="s">
        <v>739</v>
      </c>
      <c r="G422">
        <v>0.9</v>
      </c>
      <c r="H422">
        <v>1</v>
      </c>
      <c r="I422" t="s">
        <v>740</v>
      </c>
      <c r="J422">
        <v>0</v>
      </c>
      <c r="K422">
        <v>0</v>
      </c>
      <c r="L422" t="s">
        <v>6</v>
      </c>
      <c r="M422" t="s">
        <v>6</v>
      </c>
      <c r="N422">
        <v>0</v>
      </c>
    </row>
    <row r="423" spans="1:14" x14ac:dyDescent="0.2">
      <c r="A423">
        <v>70</v>
      </c>
      <c r="B423">
        <v>1</v>
      </c>
      <c r="D423">
        <v>2</v>
      </c>
      <c r="E423" t="s">
        <v>741</v>
      </c>
      <c r="F423" t="s">
        <v>742</v>
      </c>
      <c r="G423">
        <v>0.85</v>
      </c>
      <c r="H423">
        <v>1</v>
      </c>
      <c r="I423" t="s">
        <v>743</v>
      </c>
      <c r="J423">
        <v>0</v>
      </c>
      <c r="K423">
        <v>0</v>
      </c>
      <c r="L423" t="s">
        <v>6</v>
      </c>
      <c r="M423" t="s">
        <v>6</v>
      </c>
      <c r="N423">
        <v>0</v>
      </c>
    </row>
    <row r="424" spans="1:14" x14ac:dyDescent="0.2">
      <c r="A424">
        <v>70</v>
      </c>
      <c r="B424">
        <v>1</v>
      </c>
      <c r="D424">
        <v>3</v>
      </c>
      <c r="E424" t="s">
        <v>744</v>
      </c>
      <c r="F424" t="s">
        <v>745</v>
      </c>
      <c r="G424">
        <v>1</v>
      </c>
      <c r="H424">
        <v>0.85</v>
      </c>
      <c r="I424" t="s">
        <v>746</v>
      </c>
      <c r="J424">
        <v>0</v>
      </c>
      <c r="K424">
        <v>0</v>
      </c>
      <c r="L424" t="s">
        <v>6</v>
      </c>
      <c r="M424" t="s">
        <v>6</v>
      </c>
      <c r="N424">
        <v>0</v>
      </c>
    </row>
    <row r="425" spans="1:14" x14ac:dyDescent="0.2">
      <c r="A425">
        <v>70</v>
      </c>
      <c r="B425">
        <v>1</v>
      </c>
      <c r="D425">
        <v>4</v>
      </c>
      <c r="E425" t="s">
        <v>747</v>
      </c>
      <c r="F425" t="s">
        <v>748</v>
      </c>
      <c r="G425">
        <v>1</v>
      </c>
      <c r="H425">
        <v>0</v>
      </c>
      <c r="I425" t="s">
        <v>6</v>
      </c>
      <c r="J425">
        <v>0</v>
      </c>
      <c r="K425">
        <v>0</v>
      </c>
      <c r="L425" t="s">
        <v>6</v>
      </c>
      <c r="M425" t="s">
        <v>6</v>
      </c>
      <c r="N425">
        <v>0</v>
      </c>
    </row>
    <row r="426" spans="1:14" x14ac:dyDescent="0.2">
      <c r="A426">
        <v>70</v>
      </c>
      <c r="B426">
        <v>1</v>
      </c>
      <c r="D426">
        <v>5</v>
      </c>
      <c r="E426" t="s">
        <v>749</v>
      </c>
      <c r="F426" t="s">
        <v>750</v>
      </c>
      <c r="G426">
        <v>1</v>
      </c>
      <c r="H426">
        <v>0.8</v>
      </c>
      <c r="I426" t="s">
        <v>751</v>
      </c>
      <c r="J426">
        <v>0</v>
      </c>
      <c r="K426">
        <v>0</v>
      </c>
      <c r="L426" t="s">
        <v>6</v>
      </c>
      <c r="M426" t="s">
        <v>6</v>
      </c>
      <c r="N426">
        <v>0</v>
      </c>
    </row>
    <row r="427" spans="1:14" x14ac:dyDescent="0.2">
      <c r="A427">
        <v>70</v>
      </c>
      <c r="B427">
        <v>1</v>
      </c>
      <c r="D427">
        <v>6</v>
      </c>
      <c r="E427" t="s">
        <v>752</v>
      </c>
      <c r="F427" t="s">
        <v>753</v>
      </c>
      <c r="G427">
        <v>0.85</v>
      </c>
      <c r="H427">
        <v>0</v>
      </c>
      <c r="I427" t="s">
        <v>6</v>
      </c>
      <c r="J427">
        <v>0</v>
      </c>
      <c r="K427">
        <v>0</v>
      </c>
      <c r="L427" t="s">
        <v>6</v>
      </c>
      <c r="M427" t="s">
        <v>6</v>
      </c>
      <c r="N427">
        <v>0</v>
      </c>
    </row>
    <row r="428" spans="1:14" x14ac:dyDescent="0.2">
      <c r="A428">
        <v>70</v>
      </c>
      <c r="B428">
        <v>1</v>
      </c>
      <c r="D428">
        <v>7</v>
      </c>
      <c r="E428" t="s">
        <v>754</v>
      </c>
      <c r="F428" t="s">
        <v>755</v>
      </c>
      <c r="G428">
        <v>0.8</v>
      </c>
      <c r="H428">
        <v>0</v>
      </c>
      <c r="I428" t="s">
        <v>6</v>
      </c>
      <c r="J428">
        <v>0</v>
      </c>
      <c r="K428">
        <v>0</v>
      </c>
      <c r="L428" t="s">
        <v>6</v>
      </c>
      <c r="M428" t="s">
        <v>6</v>
      </c>
      <c r="N428">
        <v>0</v>
      </c>
    </row>
    <row r="429" spans="1:14" x14ac:dyDescent="0.2">
      <c r="A429">
        <v>70</v>
      </c>
      <c r="B429">
        <v>1</v>
      </c>
      <c r="D429">
        <v>8</v>
      </c>
      <c r="E429" t="s">
        <v>756</v>
      </c>
      <c r="F429" t="s">
        <v>757</v>
      </c>
      <c r="G429">
        <v>0.94</v>
      </c>
      <c r="H429">
        <v>0</v>
      </c>
      <c r="I429" t="s">
        <v>6</v>
      </c>
      <c r="J429">
        <v>0</v>
      </c>
      <c r="K429">
        <v>0</v>
      </c>
      <c r="L429" t="s">
        <v>6</v>
      </c>
      <c r="M429" t="s">
        <v>6</v>
      </c>
      <c r="N429">
        <v>0</v>
      </c>
    </row>
    <row r="430" spans="1:14" x14ac:dyDescent="0.2">
      <c r="A430">
        <v>70</v>
      </c>
      <c r="B430">
        <v>1</v>
      </c>
      <c r="D430">
        <v>9</v>
      </c>
      <c r="E430" t="s">
        <v>758</v>
      </c>
      <c r="F430" t="s">
        <v>759</v>
      </c>
      <c r="G430">
        <v>0.9</v>
      </c>
      <c r="H430">
        <v>0</v>
      </c>
      <c r="I430" t="s">
        <v>6</v>
      </c>
      <c r="J430">
        <v>0</v>
      </c>
      <c r="K430">
        <v>0</v>
      </c>
      <c r="L430" t="s">
        <v>6</v>
      </c>
      <c r="M430" t="s">
        <v>6</v>
      </c>
      <c r="N430">
        <v>0</v>
      </c>
    </row>
    <row r="431" spans="1:14" x14ac:dyDescent="0.2">
      <c r="A431">
        <v>70</v>
      </c>
      <c r="B431">
        <v>1</v>
      </c>
      <c r="D431">
        <v>10</v>
      </c>
      <c r="E431" t="s">
        <v>760</v>
      </c>
      <c r="F431" t="s">
        <v>761</v>
      </c>
      <c r="G431">
        <v>0.6</v>
      </c>
      <c r="H431">
        <v>0</v>
      </c>
      <c r="I431" t="s">
        <v>6</v>
      </c>
      <c r="J431">
        <v>0</v>
      </c>
      <c r="K431">
        <v>0</v>
      </c>
      <c r="L431" t="s">
        <v>6</v>
      </c>
      <c r="M431" t="s">
        <v>6</v>
      </c>
      <c r="N431">
        <v>0</v>
      </c>
    </row>
    <row r="432" spans="1:14" x14ac:dyDescent="0.2">
      <c r="A432">
        <v>70</v>
      </c>
      <c r="B432">
        <v>1</v>
      </c>
      <c r="D432">
        <v>11</v>
      </c>
      <c r="E432" t="s">
        <v>762</v>
      </c>
      <c r="F432" t="s">
        <v>763</v>
      </c>
      <c r="G432">
        <v>1.2</v>
      </c>
      <c r="H432">
        <v>0</v>
      </c>
      <c r="I432" t="s">
        <v>6</v>
      </c>
      <c r="J432">
        <v>0</v>
      </c>
      <c r="K432">
        <v>0</v>
      </c>
      <c r="L432" t="s">
        <v>6</v>
      </c>
      <c r="M432" t="s">
        <v>6</v>
      </c>
      <c r="N432">
        <v>0</v>
      </c>
    </row>
    <row r="433" spans="1:34" x14ac:dyDescent="0.2">
      <c r="A433">
        <v>70</v>
      </c>
      <c r="B433">
        <v>1</v>
      </c>
      <c r="D433">
        <v>12</v>
      </c>
      <c r="E433" t="s">
        <v>764</v>
      </c>
      <c r="F433" t="s">
        <v>765</v>
      </c>
      <c r="G433">
        <v>0</v>
      </c>
      <c r="H433">
        <v>0</v>
      </c>
      <c r="I433" t="s">
        <v>6</v>
      </c>
      <c r="J433">
        <v>0</v>
      </c>
      <c r="K433">
        <v>0</v>
      </c>
      <c r="L433" t="s">
        <v>6</v>
      </c>
      <c r="M433" t="s">
        <v>6</v>
      </c>
      <c r="N433">
        <v>0</v>
      </c>
    </row>
    <row r="434" spans="1:34" x14ac:dyDescent="0.2">
      <c r="A434">
        <v>70</v>
      </c>
      <c r="B434">
        <v>1</v>
      </c>
      <c r="D434">
        <v>13</v>
      </c>
      <c r="E434" t="s">
        <v>766</v>
      </c>
      <c r="F434" t="s">
        <v>767</v>
      </c>
      <c r="G434">
        <v>0.94</v>
      </c>
      <c r="H434">
        <v>0</v>
      </c>
      <c r="I434" t="s">
        <v>6</v>
      </c>
      <c r="J434">
        <v>0</v>
      </c>
      <c r="K434">
        <v>0</v>
      </c>
      <c r="L434" t="s">
        <v>6</v>
      </c>
      <c r="M434" t="s">
        <v>6</v>
      </c>
      <c r="N434">
        <v>0</v>
      </c>
    </row>
    <row r="436" spans="1:34" x14ac:dyDescent="0.2">
      <c r="A436">
        <v>-1</v>
      </c>
    </row>
    <row r="438" spans="1:34" x14ac:dyDescent="0.2">
      <c r="A438" s="3">
        <v>75</v>
      </c>
      <c r="B438" s="3" t="s">
        <v>768</v>
      </c>
      <c r="C438" s="3">
        <v>2018</v>
      </c>
      <c r="D438" s="3">
        <v>3</v>
      </c>
      <c r="E438" s="3">
        <v>0</v>
      </c>
      <c r="F438" s="3">
        <v>0</v>
      </c>
      <c r="G438" s="3">
        <v>0</v>
      </c>
      <c r="H438" s="3">
        <v>1</v>
      </c>
      <c r="I438" s="3">
        <v>0</v>
      </c>
      <c r="J438" s="3">
        <v>1</v>
      </c>
      <c r="K438" s="3">
        <v>0</v>
      </c>
      <c r="L438" s="3">
        <v>0</v>
      </c>
      <c r="M438" s="3">
        <v>0</v>
      </c>
      <c r="N438" s="3">
        <v>16812721</v>
      </c>
      <c r="O438" s="3">
        <v>1</v>
      </c>
    </row>
    <row r="439" spans="1:34" x14ac:dyDescent="0.2">
      <c r="A439" s="5">
        <v>3</v>
      </c>
      <c r="B439" s="5" t="s">
        <v>769</v>
      </c>
      <c r="C439" s="5">
        <v>6.71</v>
      </c>
      <c r="D439" s="5">
        <v>1</v>
      </c>
      <c r="E439" s="5">
        <v>1</v>
      </c>
      <c r="F439" s="5">
        <v>1</v>
      </c>
      <c r="G439" s="5">
        <v>1</v>
      </c>
      <c r="H439" s="5">
        <v>1</v>
      </c>
      <c r="I439" s="5">
        <v>1</v>
      </c>
      <c r="J439" s="5">
        <v>1</v>
      </c>
      <c r="K439" s="5">
        <v>19.39</v>
      </c>
      <c r="L439" s="5">
        <v>1</v>
      </c>
      <c r="M439" s="5">
        <v>6.71</v>
      </c>
      <c r="N439" s="5">
        <v>1</v>
      </c>
      <c r="O439" s="5">
        <v>1</v>
      </c>
      <c r="P439" s="5">
        <v>1</v>
      </c>
      <c r="Q439" s="5">
        <v>19.39</v>
      </c>
      <c r="R439" s="5">
        <v>1</v>
      </c>
      <c r="S439" s="5" t="s">
        <v>6</v>
      </c>
      <c r="T439" s="5" t="s">
        <v>6</v>
      </c>
      <c r="U439" s="5" t="s">
        <v>6</v>
      </c>
      <c r="V439" s="5" t="s">
        <v>6</v>
      </c>
      <c r="W439" s="5" t="s">
        <v>6</v>
      </c>
      <c r="X439" s="5" t="s">
        <v>6</v>
      </c>
      <c r="Y439" s="5" t="s">
        <v>6</v>
      </c>
      <c r="Z439" s="5" t="s">
        <v>6</v>
      </c>
      <c r="AA439" s="5" t="s">
        <v>6</v>
      </c>
      <c r="AB439" s="5" t="s">
        <v>6</v>
      </c>
      <c r="AC439" s="5" t="s">
        <v>6</v>
      </c>
      <c r="AD439" s="5" t="s">
        <v>6</v>
      </c>
      <c r="AE439" s="5" t="s">
        <v>6</v>
      </c>
      <c r="AF439" s="5" t="s">
        <v>6</v>
      </c>
      <c r="AG439" s="5" t="s">
        <v>6</v>
      </c>
      <c r="AH439" s="5" t="s">
        <v>6</v>
      </c>
    </row>
    <row r="443" spans="1:34" x14ac:dyDescent="0.2">
      <c r="A443">
        <v>65</v>
      </c>
      <c r="C443">
        <v>1</v>
      </c>
      <c r="D443">
        <v>0</v>
      </c>
      <c r="E443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1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770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  <c r="N1">
        <v>10</v>
      </c>
      <c r="O1">
        <v>1</v>
      </c>
      <c r="P1">
        <v>0</v>
      </c>
      <c r="Q1">
        <v>8</v>
      </c>
    </row>
    <row r="12" spans="1:133" x14ac:dyDescent="0.2">
      <c r="A12" s="1">
        <v>1</v>
      </c>
      <c r="B12" s="1">
        <v>50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2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16812721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(Source!F365)/1000</f>
        <v>1223.1034099999999</v>
      </c>
      <c r="F16" s="7">
        <f>(Source!F366)/1000</f>
        <v>624.29968000000008</v>
      </c>
      <c r="G16" s="7">
        <f>(Source!F357)/1000</f>
        <v>0</v>
      </c>
      <c r="H16" s="7">
        <f>(Source!F367)/1000+(Source!F368)/1000</f>
        <v>54.238900000000001</v>
      </c>
      <c r="I16" s="7">
        <f>E16+F16+G16+H16</f>
        <v>1901.6419900000001</v>
      </c>
      <c r="J16" s="7">
        <f>(Source!F363)/1000</f>
        <v>122.65817999999999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1719506.63</v>
      </c>
      <c r="AU16" s="7">
        <v>1586245.79</v>
      </c>
      <c r="AV16" s="7">
        <v>0</v>
      </c>
      <c r="AW16" s="7">
        <v>0</v>
      </c>
      <c r="AX16" s="7">
        <v>0</v>
      </c>
      <c r="AY16" s="7">
        <v>10602.66</v>
      </c>
      <c r="AZ16" s="7">
        <v>1816.96</v>
      </c>
      <c r="BA16" s="7">
        <v>122658.18</v>
      </c>
      <c r="BB16" s="7">
        <v>1223103.4099999999</v>
      </c>
      <c r="BC16" s="7">
        <v>624299.68000000005</v>
      </c>
      <c r="BD16" s="7">
        <v>54238.9</v>
      </c>
      <c r="BE16" s="7">
        <v>0</v>
      </c>
      <c r="BF16" s="7">
        <v>1678.3632344</v>
      </c>
      <c r="BG16" s="7">
        <v>22.156505375000002</v>
      </c>
      <c r="BH16" s="7">
        <v>0</v>
      </c>
      <c r="BI16" s="7">
        <v>108957.56</v>
      </c>
      <c r="BJ16" s="7">
        <v>67933.929999999993</v>
      </c>
      <c r="BK16" s="7">
        <v>1901641.99</v>
      </c>
    </row>
    <row r="18" spans="1:19" x14ac:dyDescent="0.2">
      <c r="A18">
        <v>51</v>
      </c>
      <c r="E18" s="8">
        <f>SUMIF(A16:A17,3,E16:E17)</f>
        <v>1223.1034099999999</v>
      </c>
      <c r="F18" s="8">
        <f>SUMIF(A16:A17,3,F16:F17)</f>
        <v>624.29968000000008</v>
      </c>
      <c r="G18" s="8">
        <f>SUMIF(A16:A17,3,G16:G17)</f>
        <v>0</v>
      </c>
      <c r="H18" s="8">
        <f>SUMIF(A16:A17,3,H16:H17)</f>
        <v>54.238900000000001</v>
      </c>
      <c r="I18" s="8">
        <f>SUMIF(A16:A17,3,I16:I17)</f>
        <v>1901.6419900000001</v>
      </c>
      <c r="J18" s="8">
        <f>SUMIF(A16:A17,3,J16:J17)</f>
        <v>122.65817999999999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1719506.63</v>
      </c>
      <c r="G20" s="4" t="s">
        <v>361</v>
      </c>
      <c r="H20" s="4" t="s">
        <v>362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1586245.79</v>
      </c>
      <c r="G21" s="4" t="s">
        <v>363</v>
      </c>
      <c r="H21" s="4" t="s">
        <v>364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365</v>
      </c>
      <c r="H22" s="4" t="s">
        <v>366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1586245.79</v>
      </c>
      <c r="G23" s="4" t="s">
        <v>367</v>
      </c>
      <c r="H23" s="4" t="s">
        <v>368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1586245.79</v>
      </c>
      <c r="G24" s="4" t="s">
        <v>369</v>
      </c>
      <c r="H24" s="4" t="s">
        <v>370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371</v>
      </c>
      <c r="H25" s="4" t="s">
        <v>372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1586245.79</v>
      </c>
      <c r="G26" s="4" t="s">
        <v>373</v>
      </c>
      <c r="H26" s="4" t="s">
        <v>374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375</v>
      </c>
      <c r="H27" s="4" t="s">
        <v>376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377</v>
      </c>
      <c r="H28" s="4" t="s">
        <v>378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379</v>
      </c>
      <c r="H29" s="4" t="s">
        <v>380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10602.66</v>
      </c>
      <c r="G30" s="4" t="s">
        <v>381</v>
      </c>
      <c r="H30" s="4" t="s">
        <v>382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383</v>
      </c>
      <c r="H31" s="4" t="s">
        <v>384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1816.96</v>
      </c>
      <c r="G32" s="4" t="s">
        <v>385</v>
      </c>
      <c r="H32" s="4" t="s">
        <v>386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122658.18</v>
      </c>
      <c r="G33" s="4" t="s">
        <v>387</v>
      </c>
      <c r="H33" s="4" t="s">
        <v>388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389</v>
      </c>
      <c r="H34" s="4" t="s">
        <v>390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1223103.4099999999</v>
      </c>
      <c r="G35" s="4" t="s">
        <v>391</v>
      </c>
      <c r="H35" s="4" t="s">
        <v>392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624299.68000000005</v>
      </c>
      <c r="G36" s="4" t="s">
        <v>393</v>
      </c>
      <c r="H36" s="4" t="s">
        <v>394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54238.9</v>
      </c>
      <c r="G37" s="4" t="s">
        <v>395</v>
      </c>
      <c r="H37" s="4" t="s">
        <v>396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397</v>
      </c>
      <c r="H38" s="4" t="s">
        <v>398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399</v>
      </c>
      <c r="H39" s="4" t="s">
        <v>400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1678.3632344</v>
      </c>
      <c r="G40" s="4" t="s">
        <v>401</v>
      </c>
      <c r="H40" s="4" t="s">
        <v>402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22.156505375000002</v>
      </c>
      <c r="G41" s="4" t="s">
        <v>403</v>
      </c>
      <c r="H41" s="4" t="s">
        <v>404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405</v>
      </c>
      <c r="H42" s="4" t="s">
        <v>406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108957.56</v>
      </c>
      <c r="G43" s="4" t="s">
        <v>407</v>
      </c>
      <c r="H43" s="4" t="s">
        <v>408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67933.929999999993</v>
      </c>
      <c r="G44" s="4" t="s">
        <v>409</v>
      </c>
      <c r="H44" s="4" t="s">
        <v>410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">
      <c r="A45" s="4">
        <v>50</v>
      </c>
      <c r="B45" s="4">
        <v>0</v>
      </c>
      <c r="C45" s="4">
        <v>0</v>
      </c>
      <c r="D45" s="4">
        <v>1</v>
      </c>
      <c r="E45" s="4">
        <v>224</v>
      </c>
      <c r="F45" s="4">
        <v>1901641.99</v>
      </c>
      <c r="G45" s="4" t="s">
        <v>411</v>
      </c>
      <c r="H45" s="4" t="s">
        <v>412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7" spans="1:16" x14ac:dyDescent="0.2">
      <c r="A47">
        <v>-1</v>
      </c>
    </row>
    <row r="50" spans="1:34" x14ac:dyDescent="0.2">
      <c r="A50" s="3">
        <v>75</v>
      </c>
      <c r="B50" s="3" t="s">
        <v>768</v>
      </c>
      <c r="C50" s="3">
        <v>2018</v>
      </c>
      <c r="D50" s="3">
        <v>3</v>
      </c>
      <c r="E50" s="3">
        <v>0</v>
      </c>
      <c r="F50" s="3">
        <v>0</v>
      </c>
      <c r="G50" s="3">
        <v>0</v>
      </c>
      <c r="H50" s="3">
        <v>1</v>
      </c>
      <c r="I50" s="3">
        <v>0</v>
      </c>
      <c r="J50" s="3">
        <v>1</v>
      </c>
      <c r="K50" s="3">
        <v>0</v>
      </c>
      <c r="L50" s="3">
        <v>0</v>
      </c>
      <c r="M50" s="3">
        <v>0</v>
      </c>
      <c r="N50" s="3">
        <v>16812721</v>
      </c>
      <c r="O50" s="3">
        <v>1</v>
      </c>
    </row>
    <row r="51" spans="1:34" x14ac:dyDescent="0.2">
      <c r="A51" s="5">
        <v>3</v>
      </c>
      <c r="B51" s="5" t="s">
        <v>769</v>
      </c>
      <c r="C51" s="5">
        <v>6.71</v>
      </c>
      <c r="D51" s="5">
        <v>1</v>
      </c>
      <c r="E51" s="5">
        <v>1</v>
      </c>
      <c r="F51" s="5">
        <v>1</v>
      </c>
      <c r="G51" s="5">
        <v>1</v>
      </c>
      <c r="H51" s="5">
        <v>1</v>
      </c>
      <c r="I51" s="5">
        <v>1</v>
      </c>
      <c r="J51" s="5">
        <v>1</v>
      </c>
      <c r="K51" s="5">
        <v>19.39</v>
      </c>
      <c r="L51" s="5">
        <v>1</v>
      </c>
      <c r="M51" s="5">
        <v>6.71</v>
      </c>
      <c r="N51" s="5">
        <v>1</v>
      </c>
      <c r="O51" s="5">
        <v>1</v>
      </c>
      <c r="P51" s="5">
        <v>1</v>
      </c>
      <c r="Q51" s="5">
        <v>19.39</v>
      </c>
      <c r="R51" s="5">
        <v>1</v>
      </c>
      <c r="S51" s="5" t="s">
        <v>6</v>
      </c>
      <c r="T51" s="5" t="s">
        <v>6</v>
      </c>
      <c r="U51" s="5" t="s">
        <v>6</v>
      </c>
      <c r="V51" s="5" t="s">
        <v>6</v>
      </c>
      <c r="W51" s="5" t="s">
        <v>6</v>
      </c>
      <c r="X51" s="5" t="s">
        <v>6</v>
      </c>
      <c r="Y51" s="5" t="s">
        <v>6</v>
      </c>
      <c r="Z51" s="5" t="s">
        <v>6</v>
      </c>
      <c r="AA51" s="5" t="s">
        <v>6</v>
      </c>
      <c r="AB51" s="5" t="s">
        <v>6</v>
      </c>
      <c r="AC51" s="5" t="s">
        <v>6</v>
      </c>
      <c r="AD51" s="5" t="s">
        <v>6</v>
      </c>
      <c r="AE51" s="5" t="s">
        <v>6</v>
      </c>
      <c r="AF51" s="5" t="s">
        <v>6</v>
      </c>
      <c r="AG51" s="5" t="s">
        <v>6</v>
      </c>
      <c r="AH51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48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7" x14ac:dyDescent="0.2">
      <c r="A1">
        <f>ROW(Source!A28)</f>
        <v>28</v>
      </c>
      <c r="B1">
        <v>16812721</v>
      </c>
      <c r="C1">
        <v>16813007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771</v>
      </c>
      <c r="J1" t="s">
        <v>6</v>
      </c>
      <c r="K1" t="s">
        <v>772</v>
      </c>
      <c r="L1">
        <v>1191</v>
      </c>
      <c r="N1">
        <v>1013</v>
      </c>
      <c r="O1" t="s">
        <v>773</v>
      </c>
      <c r="P1" t="s">
        <v>773</v>
      </c>
      <c r="Q1">
        <v>1</v>
      </c>
      <c r="W1">
        <v>0</v>
      </c>
      <c r="X1">
        <v>371339561</v>
      </c>
      <c r="Y1">
        <v>103.91</v>
      </c>
      <c r="AA1">
        <v>0</v>
      </c>
      <c r="AB1">
        <v>0</v>
      </c>
      <c r="AC1">
        <v>0</v>
      </c>
      <c r="AD1">
        <v>54.28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6.71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103.91</v>
      </c>
      <c r="AU1" t="s">
        <v>6</v>
      </c>
      <c r="AV1">
        <v>1</v>
      </c>
      <c r="AW1">
        <v>2</v>
      </c>
      <c r="AX1">
        <v>16813011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9.7259759999999993</v>
      </c>
      <c r="CY1">
        <f>AD1</f>
        <v>54.28</v>
      </c>
      <c r="CZ1">
        <f>AH1</f>
        <v>8.09</v>
      </c>
      <c r="DA1">
        <f>AL1</f>
        <v>6.71</v>
      </c>
      <c r="DB1">
        <f>ROUND(ROUND(AT1*CZ1,2),2)</f>
        <v>840.63</v>
      </c>
      <c r="DC1">
        <f>ROUND(ROUND(AT1*AG1,2),2)</f>
        <v>0</v>
      </c>
    </row>
    <row r="2" spans="1:107" x14ac:dyDescent="0.2">
      <c r="A2">
        <f>ROW(Source!A28)</f>
        <v>28</v>
      </c>
      <c r="B2">
        <v>16812721</v>
      </c>
      <c r="C2">
        <v>16813007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774</v>
      </c>
      <c r="J2" t="s">
        <v>6</v>
      </c>
      <c r="K2" t="s">
        <v>775</v>
      </c>
      <c r="L2">
        <v>1191</v>
      </c>
      <c r="N2">
        <v>1013</v>
      </c>
      <c r="O2" t="s">
        <v>773</v>
      </c>
      <c r="P2" t="s">
        <v>773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6.71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16813012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0.724464</v>
      </c>
      <c r="CY2">
        <f>AD2</f>
        <v>0</v>
      </c>
      <c r="CZ2">
        <f>AH2</f>
        <v>0</v>
      </c>
      <c r="DA2">
        <f>AL2</f>
        <v>1</v>
      </c>
      <c r="DB2">
        <f>ROUND(ROUND(AT2*CZ2,2),2)</f>
        <v>0</v>
      </c>
      <c r="DC2">
        <f>ROUND(ROUND(AT2*AG2,2),2)</f>
        <v>0</v>
      </c>
    </row>
    <row r="3" spans="1:107" x14ac:dyDescent="0.2">
      <c r="A3">
        <f>ROW(Source!A28)</f>
        <v>28</v>
      </c>
      <c r="B3">
        <v>16812721</v>
      </c>
      <c r="C3">
        <v>16813007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776</v>
      </c>
      <c r="J3" t="s">
        <v>777</v>
      </c>
      <c r="K3" t="s">
        <v>778</v>
      </c>
      <c r="L3">
        <v>1368</v>
      </c>
      <c r="N3">
        <v>1011</v>
      </c>
      <c r="O3" t="s">
        <v>779</v>
      </c>
      <c r="P3" t="s">
        <v>779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209.75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6.71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16813013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0.724464</v>
      </c>
      <c r="CY3">
        <f>AB3</f>
        <v>209.75</v>
      </c>
      <c r="CZ3">
        <f>AF3</f>
        <v>31.26</v>
      </c>
      <c r="DA3">
        <f>AJ3</f>
        <v>6.71</v>
      </c>
      <c r="DB3">
        <f>ROUND(ROUND(AT3*CZ3,2),2)</f>
        <v>241.95</v>
      </c>
      <c r="DC3">
        <f>ROUND(ROUND(AT3*AG3,2),2)</f>
        <v>104.49</v>
      </c>
    </row>
    <row r="4" spans="1:107" x14ac:dyDescent="0.2">
      <c r="A4">
        <f>ROW(Source!A29)</f>
        <v>29</v>
      </c>
      <c r="B4">
        <v>16812721</v>
      </c>
      <c r="C4">
        <v>16814208</v>
      </c>
      <c r="D4">
        <v>15446300</v>
      </c>
      <c r="E4">
        <v>1</v>
      </c>
      <c r="F4">
        <v>1</v>
      </c>
      <c r="G4">
        <v>1</v>
      </c>
      <c r="H4">
        <v>1</v>
      </c>
      <c r="I4" t="s">
        <v>780</v>
      </c>
      <c r="J4" t="s">
        <v>6</v>
      </c>
      <c r="K4" t="s">
        <v>781</v>
      </c>
      <c r="L4">
        <v>1191</v>
      </c>
      <c r="N4">
        <v>1013</v>
      </c>
      <c r="O4" t="s">
        <v>773</v>
      </c>
      <c r="P4" t="s">
        <v>773</v>
      </c>
      <c r="Q4">
        <v>1</v>
      </c>
      <c r="W4">
        <v>0</v>
      </c>
      <c r="X4">
        <v>912892513</v>
      </c>
      <c r="Y4">
        <v>1.68</v>
      </c>
      <c r="AA4">
        <v>0</v>
      </c>
      <c r="AB4">
        <v>0</v>
      </c>
      <c r="AC4">
        <v>0</v>
      </c>
      <c r="AD4">
        <v>66.56</v>
      </c>
      <c r="AE4">
        <v>0</v>
      </c>
      <c r="AF4">
        <v>0</v>
      </c>
      <c r="AG4">
        <v>0</v>
      </c>
      <c r="AH4">
        <v>9.92</v>
      </c>
      <c r="AI4">
        <v>1</v>
      </c>
      <c r="AJ4">
        <v>1</v>
      </c>
      <c r="AK4">
        <v>1</v>
      </c>
      <c r="AL4">
        <v>6.71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2.4</v>
      </c>
      <c r="AU4" t="s">
        <v>32</v>
      </c>
      <c r="AV4">
        <v>1</v>
      </c>
      <c r="AW4">
        <v>2</v>
      </c>
      <c r="AX4">
        <v>16814209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Y4*Source!I29</f>
        <v>14.683199999999999</v>
      </c>
      <c r="CY4">
        <f>AD4</f>
        <v>66.56</v>
      </c>
      <c r="CZ4">
        <f>AH4</f>
        <v>9.92</v>
      </c>
      <c r="DA4">
        <f>AL4</f>
        <v>6.71</v>
      </c>
      <c r="DB4">
        <f>ROUND((ROUND(AT4*CZ4,2)*0.7),2)</f>
        <v>16.670000000000002</v>
      </c>
      <c r="DC4">
        <f>ROUND((ROUND(AT4*AG4,2)*0.7),2)</f>
        <v>0</v>
      </c>
    </row>
    <row r="5" spans="1:107" x14ac:dyDescent="0.2">
      <c r="A5">
        <f>ROW(Source!A29)</f>
        <v>29</v>
      </c>
      <c r="B5">
        <v>16812721</v>
      </c>
      <c r="C5">
        <v>16814208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774</v>
      </c>
      <c r="J5" t="s">
        <v>6</v>
      </c>
      <c r="K5" t="s">
        <v>775</v>
      </c>
      <c r="L5">
        <v>1191</v>
      </c>
      <c r="N5">
        <v>1013</v>
      </c>
      <c r="O5" t="s">
        <v>773</v>
      </c>
      <c r="P5" t="s">
        <v>773</v>
      </c>
      <c r="Q5">
        <v>1</v>
      </c>
      <c r="W5">
        <v>0</v>
      </c>
      <c r="X5">
        <v>-1417349443</v>
      </c>
      <c r="Y5">
        <v>0.17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6.71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0.17</v>
      </c>
      <c r="AU5" t="s">
        <v>6</v>
      </c>
      <c r="AV5">
        <v>2</v>
      </c>
      <c r="AW5">
        <v>2</v>
      </c>
      <c r="AX5">
        <v>16814210</v>
      </c>
      <c r="AY5">
        <v>1</v>
      </c>
      <c r="AZ5">
        <v>2048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Y5*Source!I29</f>
        <v>1.4858000000000002</v>
      </c>
      <c r="CY5">
        <f>AD5</f>
        <v>0</v>
      </c>
      <c r="CZ5">
        <f>AH5</f>
        <v>0</v>
      </c>
      <c r="DA5">
        <f>AL5</f>
        <v>1</v>
      </c>
      <c r="DB5">
        <f>ROUND(ROUND(AT5*CZ5,2),2)</f>
        <v>0</v>
      </c>
      <c r="DC5">
        <f>ROUND(ROUND(AT5*AG5,2),2)</f>
        <v>0</v>
      </c>
    </row>
    <row r="6" spans="1:107" x14ac:dyDescent="0.2">
      <c r="A6">
        <f>ROW(Source!A29)</f>
        <v>29</v>
      </c>
      <c r="B6">
        <v>16812721</v>
      </c>
      <c r="C6">
        <v>16814208</v>
      </c>
      <c r="D6">
        <v>15249073</v>
      </c>
      <c r="E6">
        <v>1</v>
      </c>
      <c r="F6">
        <v>1</v>
      </c>
      <c r="G6">
        <v>1</v>
      </c>
      <c r="H6">
        <v>2</v>
      </c>
      <c r="I6" t="s">
        <v>782</v>
      </c>
      <c r="J6" t="s">
        <v>783</v>
      </c>
      <c r="K6" t="s">
        <v>784</v>
      </c>
      <c r="L6">
        <v>1368</v>
      </c>
      <c r="N6">
        <v>1011</v>
      </c>
      <c r="O6" t="s">
        <v>779</v>
      </c>
      <c r="P6" t="s">
        <v>779</v>
      </c>
      <c r="Q6">
        <v>1</v>
      </c>
      <c r="W6">
        <v>0</v>
      </c>
      <c r="X6">
        <v>1372534845</v>
      </c>
      <c r="Y6">
        <v>0.11899999999999999</v>
      </c>
      <c r="AA6">
        <v>0</v>
      </c>
      <c r="AB6">
        <v>440.91</v>
      </c>
      <c r="AC6">
        <v>11.6</v>
      </c>
      <c r="AD6">
        <v>0</v>
      </c>
      <c r="AE6">
        <v>0</v>
      </c>
      <c r="AF6">
        <v>65.709999999999994</v>
      </c>
      <c r="AG6">
        <v>11.6</v>
      </c>
      <c r="AH6">
        <v>0</v>
      </c>
      <c r="AI6">
        <v>1</v>
      </c>
      <c r="AJ6">
        <v>6.71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0.17</v>
      </c>
      <c r="AU6" t="s">
        <v>32</v>
      </c>
      <c r="AV6">
        <v>0</v>
      </c>
      <c r="AW6">
        <v>2</v>
      </c>
      <c r="AX6">
        <v>16814211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Y6*Source!I29</f>
        <v>1.04006</v>
      </c>
      <c r="CY6">
        <f>AB6</f>
        <v>440.91</v>
      </c>
      <c r="CZ6">
        <f>AF6</f>
        <v>65.709999999999994</v>
      </c>
      <c r="DA6">
        <f>AJ6</f>
        <v>6.71</v>
      </c>
      <c r="DB6">
        <f>ROUND((ROUND(AT6*CZ6,2)*0.7),2)</f>
        <v>7.82</v>
      </c>
      <c r="DC6">
        <f>ROUND((ROUND(AT6*AG6,2)*0.7),2)</f>
        <v>1.38</v>
      </c>
    </row>
    <row r="7" spans="1:107" x14ac:dyDescent="0.2">
      <c r="A7">
        <f>ROW(Source!A29)</f>
        <v>29</v>
      </c>
      <c r="B7">
        <v>16812721</v>
      </c>
      <c r="C7">
        <v>16814208</v>
      </c>
      <c r="D7">
        <v>15249377</v>
      </c>
      <c r="E7">
        <v>1</v>
      </c>
      <c r="F7">
        <v>1</v>
      </c>
      <c r="G7">
        <v>1</v>
      </c>
      <c r="H7">
        <v>2</v>
      </c>
      <c r="I7" t="s">
        <v>785</v>
      </c>
      <c r="J7" t="s">
        <v>786</v>
      </c>
      <c r="K7" t="s">
        <v>787</v>
      </c>
      <c r="L7">
        <v>1368</v>
      </c>
      <c r="N7">
        <v>1011</v>
      </c>
      <c r="O7" t="s">
        <v>779</v>
      </c>
      <c r="P7" t="s">
        <v>779</v>
      </c>
      <c r="Q7">
        <v>1</v>
      </c>
      <c r="W7">
        <v>0</v>
      </c>
      <c r="X7">
        <v>-353815937</v>
      </c>
      <c r="Y7">
        <v>0.27999999999999997</v>
      </c>
      <c r="AA7">
        <v>0</v>
      </c>
      <c r="AB7">
        <v>54.35</v>
      </c>
      <c r="AC7">
        <v>0</v>
      </c>
      <c r="AD7">
        <v>0</v>
      </c>
      <c r="AE7">
        <v>0</v>
      </c>
      <c r="AF7">
        <v>8.1</v>
      </c>
      <c r="AG7">
        <v>0</v>
      </c>
      <c r="AH7">
        <v>0</v>
      </c>
      <c r="AI7">
        <v>1</v>
      </c>
      <c r="AJ7">
        <v>6.71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0.4</v>
      </c>
      <c r="AU7" t="s">
        <v>32</v>
      </c>
      <c r="AV7">
        <v>0</v>
      </c>
      <c r="AW7">
        <v>2</v>
      </c>
      <c r="AX7">
        <v>16814212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2.4471999999999996</v>
      </c>
      <c r="CY7">
        <f>AB7</f>
        <v>54.35</v>
      </c>
      <c r="CZ7">
        <f>AF7</f>
        <v>8.1</v>
      </c>
      <c r="DA7">
        <f>AJ7</f>
        <v>6.71</v>
      </c>
      <c r="DB7">
        <f>ROUND((ROUND(AT7*CZ7,2)*0.7),2)</f>
        <v>2.27</v>
      </c>
      <c r="DC7">
        <f>ROUND((ROUND(AT7*AG7,2)*0.7),2)</f>
        <v>0</v>
      </c>
    </row>
    <row r="8" spans="1:107" x14ac:dyDescent="0.2">
      <c r="A8">
        <f>ROW(Source!A29)</f>
        <v>29</v>
      </c>
      <c r="B8">
        <v>16812721</v>
      </c>
      <c r="C8">
        <v>16814208</v>
      </c>
      <c r="D8">
        <v>15168750</v>
      </c>
      <c r="E8">
        <v>1</v>
      </c>
      <c r="F8">
        <v>1</v>
      </c>
      <c r="G8">
        <v>1</v>
      </c>
      <c r="H8">
        <v>3</v>
      </c>
      <c r="I8" t="s">
        <v>788</v>
      </c>
      <c r="J8" t="s">
        <v>789</v>
      </c>
      <c r="K8" t="s">
        <v>790</v>
      </c>
      <c r="L8">
        <v>1348</v>
      </c>
      <c r="N8">
        <v>1009</v>
      </c>
      <c r="O8" t="s">
        <v>145</v>
      </c>
      <c r="P8" t="s">
        <v>145</v>
      </c>
      <c r="Q8">
        <v>1000</v>
      </c>
      <c r="W8">
        <v>0</v>
      </c>
      <c r="X8">
        <v>-714836380</v>
      </c>
      <c r="Y8">
        <v>0</v>
      </c>
      <c r="AA8">
        <v>69213.72</v>
      </c>
      <c r="AB8">
        <v>0</v>
      </c>
      <c r="AC8">
        <v>0</v>
      </c>
      <c r="AD8">
        <v>0</v>
      </c>
      <c r="AE8">
        <v>10315.01</v>
      </c>
      <c r="AF8">
        <v>0</v>
      </c>
      <c r="AG8">
        <v>0</v>
      </c>
      <c r="AH8">
        <v>0</v>
      </c>
      <c r="AI8">
        <v>6.71</v>
      </c>
      <c r="AJ8">
        <v>1</v>
      </c>
      <c r="AK8">
        <v>1</v>
      </c>
      <c r="AL8">
        <v>1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6</v>
      </c>
      <c r="AT8">
        <v>1E-4</v>
      </c>
      <c r="AU8" t="s">
        <v>31</v>
      </c>
      <c r="AV8">
        <v>0</v>
      </c>
      <c r="AW8">
        <v>2</v>
      </c>
      <c r="AX8">
        <v>16814214</v>
      </c>
      <c r="AY8">
        <v>1</v>
      </c>
      <c r="AZ8">
        <v>0</v>
      </c>
      <c r="BA8">
        <v>9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</v>
      </c>
      <c r="CY8">
        <f>AA8</f>
        <v>69213.72</v>
      </c>
      <c r="CZ8">
        <f>AE8</f>
        <v>10315.01</v>
      </c>
      <c r="DA8">
        <f>AI8</f>
        <v>6.71</v>
      </c>
      <c r="DB8">
        <f>ROUND((ROUND(AT8*CZ8,2)*0),2)</f>
        <v>0</v>
      </c>
      <c r="DC8">
        <f>ROUND((ROUND(AT8*AG8,2)*0),2)</f>
        <v>0</v>
      </c>
    </row>
    <row r="9" spans="1:107" x14ac:dyDescent="0.2">
      <c r="A9">
        <f>ROW(Source!A29)</f>
        <v>29</v>
      </c>
      <c r="B9">
        <v>16812721</v>
      </c>
      <c r="C9">
        <v>16814208</v>
      </c>
      <c r="D9">
        <v>15192019</v>
      </c>
      <c r="E9">
        <v>1</v>
      </c>
      <c r="F9">
        <v>1</v>
      </c>
      <c r="G9">
        <v>1</v>
      </c>
      <c r="H9">
        <v>3</v>
      </c>
      <c r="I9" t="s">
        <v>791</v>
      </c>
      <c r="J9" t="s">
        <v>792</v>
      </c>
      <c r="K9" t="s">
        <v>793</v>
      </c>
      <c r="L9">
        <v>1348</v>
      </c>
      <c r="N9">
        <v>1009</v>
      </c>
      <c r="O9" t="s">
        <v>145</v>
      </c>
      <c r="P9" t="s">
        <v>145</v>
      </c>
      <c r="Q9">
        <v>1000</v>
      </c>
      <c r="W9">
        <v>0</v>
      </c>
      <c r="X9">
        <v>-751617735</v>
      </c>
      <c r="Y9">
        <v>0</v>
      </c>
      <c r="AA9">
        <v>38944.839999999997</v>
      </c>
      <c r="AB9">
        <v>0</v>
      </c>
      <c r="AC9">
        <v>0</v>
      </c>
      <c r="AD9">
        <v>0</v>
      </c>
      <c r="AE9">
        <v>5804</v>
      </c>
      <c r="AF9">
        <v>0</v>
      </c>
      <c r="AG9">
        <v>0</v>
      </c>
      <c r="AH9">
        <v>0</v>
      </c>
      <c r="AI9">
        <v>6.71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3.0000000000000001E-3</v>
      </c>
      <c r="AU9" t="s">
        <v>31</v>
      </c>
      <c r="AV9">
        <v>0</v>
      </c>
      <c r="AW9">
        <v>2</v>
      </c>
      <c r="AX9">
        <v>16814216</v>
      </c>
      <c r="AY9">
        <v>1</v>
      </c>
      <c r="AZ9">
        <v>0</v>
      </c>
      <c r="BA9">
        <v>11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</v>
      </c>
      <c r="CY9">
        <f>AA9</f>
        <v>38944.839999999997</v>
      </c>
      <c r="CZ9">
        <f>AE9</f>
        <v>5804</v>
      </c>
      <c r="DA9">
        <f>AI9</f>
        <v>6.71</v>
      </c>
      <c r="DB9">
        <f>ROUND((ROUND(AT9*CZ9,2)*0),2)</f>
        <v>0</v>
      </c>
      <c r="DC9">
        <f>ROUND((ROUND(AT9*AG9,2)*0),2)</f>
        <v>0</v>
      </c>
    </row>
    <row r="10" spans="1:107" x14ac:dyDescent="0.2">
      <c r="A10">
        <f>ROW(Source!A29)</f>
        <v>29</v>
      </c>
      <c r="B10">
        <v>16812721</v>
      </c>
      <c r="C10">
        <v>16814208</v>
      </c>
      <c r="D10">
        <v>15204330</v>
      </c>
      <c r="E10">
        <v>1</v>
      </c>
      <c r="F10">
        <v>1</v>
      </c>
      <c r="G10">
        <v>1</v>
      </c>
      <c r="H10">
        <v>3</v>
      </c>
      <c r="I10" t="s">
        <v>794</v>
      </c>
      <c r="J10" t="s">
        <v>795</v>
      </c>
      <c r="K10" t="s">
        <v>796</v>
      </c>
      <c r="L10">
        <v>1354</v>
      </c>
      <c r="N10">
        <v>1010</v>
      </c>
      <c r="O10" t="s">
        <v>62</v>
      </c>
      <c r="P10" t="s">
        <v>62</v>
      </c>
      <c r="Q10">
        <v>1</v>
      </c>
      <c r="W10">
        <v>0</v>
      </c>
      <c r="X10">
        <v>-1075270488</v>
      </c>
      <c r="Y10">
        <v>0</v>
      </c>
      <c r="AA10">
        <v>488.49</v>
      </c>
      <c r="AB10">
        <v>0</v>
      </c>
      <c r="AC10">
        <v>0</v>
      </c>
      <c r="AD10">
        <v>0</v>
      </c>
      <c r="AE10">
        <v>72.8</v>
      </c>
      <c r="AF10">
        <v>0</v>
      </c>
      <c r="AG10">
        <v>0</v>
      </c>
      <c r="AH10">
        <v>0</v>
      </c>
      <c r="AI10">
        <v>6.71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6</v>
      </c>
      <c r="AT10">
        <v>0.1</v>
      </c>
      <c r="AU10" t="s">
        <v>31</v>
      </c>
      <c r="AV10">
        <v>0</v>
      </c>
      <c r="AW10">
        <v>2</v>
      </c>
      <c r="AX10">
        <v>16814217</v>
      </c>
      <c r="AY10">
        <v>1</v>
      </c>
      <c r="AZ10">
        <v>0</v>
      </c>
      <c r="BA10">
        <v>12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0</v>
      </c>
      <c r="CY10">
        <f>AA10</f>
        <v>488.49</v>
      </c>
      <c r="CZ10">
        <f>AE10</f>
        <v>72.8</v>
      </c>
      <c r="DA10">
        <f>AI10</f>
        <v>6.71</v>
      </c>
      <c r="DB10">
        <f>ROUND((ROUND(AT10*CZ10,2)*0),2)</f>
        <v>0</v>
      </c>
      <c r="DC10">
        <f>ROUND((ROUND(AT10*AG10,2)*0),2)</f>
        <v>0</v>
      </c>
    </row>
    <row r="11" spans="1:107" x14ac:dyDescent="0.2">
      <c r="A11">
        <f>ROW(Source!A30)</f>
        <v>30</v>
      </c>
      <c r="B11">
        <v>16812721</v>
      </c>
      <c r="C11">
        <v>16813014</v>
      </c>
      <c r="D11">
        <v>15430517</v>
      </c>
      <c r="E11">
        <v>1</v>
      </c>
      <c r="F11">
        <v>1</v>
      </c>
      <c r="G11">
        <v>1</v>
      </c>
      <c r="H11">
        <v>1</v>
      </c>
      <c r="I11" t="s">
        <v>797</v>
      </c>
      <c r="J11" t="s">
        <v>6</v>
      </c>
      <c r="K11" t="s">
        <v>798</v>
      </c>
      <c r="L11">
        <v>1191</v>
      </c>
      <c r="N11">
        <v>1013</v>
      </c>
      <c r="O11" t="s">
        <v>773</v>
      </c>
      <c r="P11" t="s">
        <v>773</v>
      </c>
      <c r="Q11">
        <v>1</v>
      </c>
      <c r="W11">
        <v>0</v>
      </c>
      <c r="X11">
        <v>735429535</v>
      </c>
      <c r="Y11">
        <v>3.77</v>
      </c>
      <c r="AA11">
        <v>0</v>
      </c>
      <c r="AB11">
        <v>0</v>
      </c>
      <c r="AC11">
        <v>0</v>
      </c>
      <c r="AD11">
        <v>52.34</v>
      </c>
      <c r="AE11">
        <v>0</v>
      </c>
      <c r="AF11">
        <v>0</v>
      </c>
      <c r="AG11">
        <v>0</v>
      </c>
      <c r="AH11">
        <v>7.8</v>
      </c>
      <c r="AI11">
        <v>1</v>
      </c>
      <c r="AJ11">
        <v>1</v>
      </c>
      <c r="AK11">
        <v>1</v>
      </c>
      <c r="AL11">
        <v>6.71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3.77</v>
      </c>
      <c r="AU11" t="s">
        <v>6</v>
      </c>
      <c r="AV11">
        <v>1</v>
      </c>
      <c r="AW11">
        <v>2</v>
      </c>
      <c r="AX11">
        <v>16813016</v>
      </c>
      <c r="AY11">
        <v>1</v>
      </c>
      <c r="AZ11">
        <v>0</v>
      </c>
      <c r="BA11">
        <v>13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Y11*Source!I30</f>
        <v>3.60412</v>
      </c>
      <c r="CY11">
        <f>AD11</f>
        <v>52.34</v>
      </c>
      <c r="CZ11">
        <f>AH11</f>
        <v>7.8</v>
      </c>
      <c r="DA11">
        <f>AL11</f>
        <v>6.71</v>
      </c>
      <c r="DB11">
        <f t="shared" ref="DB11:DB24" si="0">ROUND(ROUND(AT11*CZ11,2),2)</f>
        <v>29.41</v>
      </c>
      <c r="DC11">
        <f t="shared" ref="DC11:DC24" si="1">ROUND(ROUND(AT11*AG11,2),2)</f>
        <v>0</v>
      </c>
    </row>
    <row r="12" spans="1:107" x14ac:dyDescent="0.2">
      <c r="A12">
        <f>ROW(Source!A31)</f>
        <v>31</v>
      </c>
      <c r="B12">
        <v>16812721</v>
      </c>
      <c r="C12">
        <v>16813018</v>
      </c>
      <c r="D12">
        <v>15430517</v>
      </c>
      <c r="E12">
        <v>1</v>
      </c>
      <c r="F12">
        <v>1</v>
      </c>
      <c r="G12">
        <v>1</v>
      </c>
      <c r="H12">
        <v>1</v>
      </c>
      <c r="I12" t="s">
        <v>797</v>
      </c>
      <c r="J12" t="s">
        <v>6</v>
      </c>
      <c r="K12" t="s">
        <v>798</v>
      </c>
      <c r="L12">
        <v>1191</v>
      </c>
      <c r="N12">
        <v>1013</v>
      </c>
      <c r="O12" t="s">
        <v>773</v>
      </c>
      <c r="P12" t="s">
        <v>773</v>
      </c>
      <c r="Q12">
        <v>1</v>
      </c>
      <c r="W12">
        <v>0</v>
      </c>
      <c r="X12">
        <v>735429535</v>
      </c>
      <c r="Y12">
        <v>11.39</v>
      </c>
      <c r="AA12">
        <v>0</v>
      </c>
      <c r="AB12">
        <v>0</v>
      </c>
      <c r="AC12">
        <v>0</v>
      </c>
      <c r="AD12">
        <v>52.34</v>
      </c>
      <c r="AE12">
        <v>0</v>
      </c>
      <c r="AF12">
        <v>0</v>
      </c>
      <c r="AG12">
        <v>0</v>
      </c>
      <c r="AH12">
        <v>7.8</v>
      </c>
      <c r="AI12">
        <v>1</v>
      </c>
      <c r="AJ12">
        <v>1</v>
      </c>
      <c r="AK12">
        <v>1</v>
      </c>
      <c r="AL12">
        <v>6.71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11.39</v>
      </c>
      <c r="AU12" t="s">
        <v>6</v>
      </c>
      <c r="AV12">
        <v>1</v>
      </c>
      <c r="AW12">
        <v>2</v>
      </c>
      <c r="AX12">
        <v>16813022</v>
      </c>
      <c r="AY12">
        <v>1</v>
      </c>
      <c r="AZ12">
        <v>0</v>
      </c>
      <c r="BA12">
        <v>15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Y12*Source!I31</f>
        <v>15.166924</v>
      </c>
      <c r="CY12">
        <f>AD12</f>
        <v>52.34</v>
      </c>
      <c r="CZ12">
        <f>AH12</f>
        <v>7.8</v>
      </c>
      <c r="DA12">
        <f>AL12</f>
        <v>6.71</v>
      </c>
      <c r="DB12">
        <f t="shared" si="0"/>
        <v>88.84</v>
      </c>
      <c r="DC12">
        <f t="shared" si="1"/>
        <v>0</v>
      </c>
    </row>
    <row r="13" spans="1:107" x14ac:dyDescent="0.2">
      <c r="A13">
        <f>ROW(Source!A31)</f>
        <v>31</v>
      </c>
      <c r="B13">
        <v>16812721</v>
      </c>
      <c r="C13">
        <v>16813018</v>
      </c>
      <c r="D13">
        <v>15430395</v>
      </c>
      <c r="E13">
        <v>1</v>
      </c>
      <c r="F13">
        <v>1</v>
      </c>
      <c r="G13">
        <v>1</v>
      </c>
      <c r="H13">
        <v>1</v>
      </c>
      <c r="I13" t="s">
        <v>774</v>
      </c>
      <c r="J13" t="s">
        <v>6</v>
      </c>
      <c r="K13" t="s">
        <v>775</v>
      </c>
      <c r="L13">
        <v>1191</v>
      </c>
      <c r="N13">
        <v>1013</v>
      </c>
      <c r="O13" t="s">
        <v>773</v>
      </c>
      <c r="P13" t="s">
        <v>773</v>
      </c>
      <c r="Q13">
        <v>1</v>
      </c>
      <c r="W13">
        <v>0</v>
      </c>
      <c r="X13">
        <v>-1417349443</v>
      </c>
      <c r="Y13">
        <v>0.13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6.71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0.13</v>
      </c>
      <c r="AU13" t="s">
        <v>6</v>
      </c>
      <c r="AV13">
        <v>2</v>
      </c>
      <c r="AW13">
        <v>2</v>
      </c>
      <c r="AX13">
        <v>16813023</v>
      </c>
      <c r="AY13">
        <v>1</v>
      </c>
      <c r="AZ13">
        <v>0</v>
      </c>
      <c r="BA13">
        <v>16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Y13*Source!I31</f>
        <v>0.17310799999999998</v>
      </c>
      <c r="CY13">
        <f>AD13</f>
        <v>0</v>
      </c>
      <c r="CZ13">
        <f>AH13</f>
        <v>0</v>
      </c>
      <c r="DA13">
        <f>AL13</f>
        <v>1</v>
      </c>
      <c r="DB13">
        <f t="shared" si="0"/>
        <v>0</v>
      </c>
      <c r="DC13">
        <f t="shared" si="1"/>
        <v>0</v>
      </c>
    </row>
    <row r="14" spans="1:107" x14ac:dyDescent="0.2">
      <c r="A14">
        <f>ROW(Source!A31)</f>
        <v>31</v>
      </c>
      <c r="B14">
        <v>16812721</v>
      </c>
      <c r="C14">
        <v>16813018</v>
      </c>
      <c r="D14">
        <v>15247974</v>
      </c>
      <c r="E14">
        <v>1</v>
      </c>
      <c r="F14">
        <v>1</v>
      </c>
      <c r="G14">
        <v>1</v>
      </c>
      <c r="H14">
        <v>2</v>
      </c>
      <c r="I14" t="s">
        <v>776</v>
      </c>
      <c r="J14" t="s">
        <v>777</v>
      </c>
      <c r="K14" t="s">
        <v>778</v>
      </c>
      <c r="L14">
        <v>1368</v>
      </c>
      <c r="N14">
        <v>1011</v>
      </c>
      <c r="O14" t="s">
        <v>779</v>
      </c>
      <c r="P14" t="s">
        <v>779</v>
      </c>
      <c r="Q14">
        <v>1</v>
      </c>
      <c r="W14">
        <v>0</v>
      </c>
      <c r="X14">
        <v>1188625873</v>
      </c>
      <c r="Y14">
        <v>0.13</v>
      </c>
      <c r="AA14">
        <v>0</v>
      </c>
      <c r="AB14">
        <v>209.75</v>
      </c>
      <c r="AC14">
        <v>13.5</v>
      </c>
      <c r="AD14">
        <v>0</v>
      </c>
      <c r="AE14">
        <v>0</v>
      </c>
      <c r="AF14">
        <v>31.26</v>
      </c>
      <c r="AG14">
        <v>13.5</v>
      </c>
      <c r="AH14">
        <v>0</v>
      </c>
      <c r="AI14">
        <v>1</v>
      </c>
      <c r="AJ14">
        <v>6.71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0.13</v>
      </c>
      <c r="AU14" t="s">
        <v>6</v>
      </c>
      <c r="AV14">
        <v>0</v>
      </c>
      <c r="AW14">
        <v>2</v>
      </c>
      <c r="AX14">
        <v>16813024</v>
      </c>
      <c r="AY14">
        <v>1</v>
      </c>
      <c r="AZ14">
        <v>0</v>
      </c>
      <c r="BA14">
        <v>17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Y14*Source!I31</f>
        <v>0.17310799999999998</v>
      </c>
      <c r="CY14">
        <f>AB14</f>
        <v>209.75</v>
      </c>
      <c r="CZ14">
        <f>AF14</f>
        <v>31.26</v>
      </c>
      <c r="DA14">
        <f>AJ14</f>
        <v>6.71</v>
      </c>
      <c r="DB14">
        <f t="shared" si="0"/>
        <v>4.0599999999999996</v>
      </c>
      <c r="DC14">
        <f t="shared" si="1"/>
        <v>1.76</v>
      </c>
    </row>
    <row r="15" spans="1:107" x14ac:dyDescent="0.2">
      <c r="A15">
        <f>ROW(Source!A32)</f>
        <v>32</v>
      </c>
      <c r="B15">
        <v>16812721</v>
      </c>
      <c r="C15">
        <v>16814220</v>
      </c>
      <c r="D15">
        <v>15430517</v>
      </c>
      <c r="E15">
        <v>1</v>
      </c>
      <c r="F15">
        <v>1</v>
      </c>
      <c r="G15">
        <v>1</v>
      </c>
      <c r="H15">
        <v>1</v>
      </c>
      <c r="I15" t="s">
        <v>797</v>
      </c>
      <c r="J15" t="s">
        <v>6</v>
      </c>
      <c r="K15" t="s">
        <v>798</v>
      </c>
      <c r="L15">
        <v>1191</v>
      </c>
      <c r="N15">
        <v>1013</v>
      </c>
      <c r="O15" t="s">
        <v>773</v>
      </c>
      <c r="P15" t="s">
        <v>773</v>
      </c>
      <c r="Q15">
        <v>1</v>
      </c>
      <c r="W15">
        <v>0</v>
      </c>
      <c r="X15">
        <v>735429535</v>
      </c>
      <c r="Y15">
        <v>46.01</v>
      </c>
      <c r="AA15">
        <v>0</v>
      </c>
      <c r="AB15">
        <v>0</v>
      </c>
      <c r="AC15">
        <v>0</v>
      </c>
      <c r="AD15">
        <v>52.34</v>
      </c>
      <c r="AE15">
        <v>0</v>
      </c>
      <c r="AF15">
        <v>0</v>
      </c>
      <c r="AG15">
        <v>0</v>
      </c>
      <c r="AH15">
        <v>7.8</v>
      </c>
      <c r="AI15">
        <v>1</v>
      </c>
      <c r="AJ15">
        <v>1</v>
      </c>
      <c r="AK15">
        <v>1</v>
      </c>
      <c r="AL15">
        <v>6.71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6</v>
      </c>
      <c r="AT15">
        <v>46.01</v>
      </c>
      <c r="AU15" t="s">
        <v>6</v>
      </c>
      <c r="AV15">
        <v>1</v>
      </c>
      <c r="AW15">
        <v>2</v>
      </c>
      <c r="AX15">
        <v>16814221</v>
      </c>
      <c r="AY15">
        <v>1</v>
      </c>
      <c r="AZ15">
        <v>0</v>
      </c>
      <c r="BA15">
        <v>19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Y15*Source!I32</f>
        <v>0.57972599999999996</v>
      </c>
      <c r="CY15">
        <f>AD15</f>
        <v>52.34</v>
      </c>
      <c r="CZ15">
        <f>AH15</f>
        <v>7.8</v>
      </c>
      <c r="DA15">
        <f>AL15</f>
        <v>6.71</v>
      </c>
      <c r="DB15">
        <f t="shared" si="0"/>
        <v>358.88</v>
      </c>
      <c r="DC15">
        <f t="shared" si="1"/>
        <v>0</v>
      </c>
    </row>
    <row r="16" spans="1:107" x14ac:dyDescent="0.2">
      <c r="A16">
        <f>ROW(Source!A32)</f>
        <v>32</v>
      </c>
      <c r="B16">
        <v>16812721</v>
      </c>
      <c r="C16">
        <v>16814220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774</v>
      </c>
      <c r="J16" t="s">
        <v>6</v>
      </c>
      <c r="K16" t="s">
        <v>775</v>
      </c>
      <c r="L16">
        <v>1191</v>
      </c>
      <c r="N16">
        <v>1013</v>
      </c>
      <c r="O16" t="s">
        <v>773</v>
      </c>
      <c r="P16" t="s">
        <v>773</v>
      </c>
      <c r="Q16">
        <v>1</v>
      </c>
      <c r="W16">
        <v>0</v>
      </c>
      <c r="X16">
        <v>-1417349443</v>
      </c>
      <c r="Y16">
        <v>1.76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6.71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1.76</v>
      </c>
      <c r="AU16" t="s">
        <v>6</v>
      </c>
      <c r="AV16">
        <v>2</v>
      </c>
      <c r="AW16">
        <v>2</v>
      </c>
      <c r="AX16">
        <v>16814222</v>
      </c>
      <c r="AY16">
        <v>1</v>
      </c>
      <c r="AZ16">
        <v>0</v>
      </c>
      <c r="BA16">
        <v>20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Y16*Source!I32</f>
        <v>2.2176000000000001E-2</v>
      </c>
      <c r="CY16">
        <f>AD16</f>
        <v>0</v>
      </c>
      <c r="CZ16">
        <f>AH16</f>
        <v>0</v>
      </c>
      <c r="DA16">
        <f>AL16</f>
        <v>1</v>
      </c>
      <c r="DB16">
        <f t="shared" si="0"/>
        <v>0</v>
      </c>
      <c r="DC16">
        <f t="shared" si="1"/>
        <v>0</v>
      </c>
    </row>
    <row r="17" spans="1:107" x14ac:dyDescent="0.2">
      <c r="A17">
        <f>ROW(Source!A32)</f>
        <v>32</v>
      </c>
      <c r="B17">
        <v>16812721</v>
      </c>
      <c r="C17">
        <v>16814220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776</v>
      </c>
      <c r="J17" t="s">
        <v>777</v>
      </c>
      <c r="K17" t="s">
        <v>778</v>
      </c>
      <c r="L17">
        <v>1368</v>
      </c>
      <c r="N17">
        <v>1011</v>
      </c>
      <c r="O17" t="s">
        <v>779</v>
      </c>
      <c r="P17" t="s">
        <v>779</v>
      </c>
      <c r="Q17">
        <v>1</v>
      </c>
      <c r="W17">
        <v>0</v>
      </c>
      <c r="X17">
        <v>1188625873</v>
      </c>
      <c r="Y17">
        <v>1.76</v>
      </c>
      <c r="AA17">
        <v>0</v>
      </c>
      <c r="AB17">
        <v>209.75</v>
      </c>
      <c r="AC17">
        <v>13.5</v>
      </c>
      <c r="AD17">
        <v>0</v>
      </c>
      <c r="AE17">
        <v>0</v>
      </c>
      <c r="AF17">
        <v>31.26</v>
      </c>
      <c r="AG17">
        <v>13.5</v>
      </c>
      <c r="AH17">
        <v>0</v>
      </c>
      <c r="AI17">
        <v>1</v>
      </c>
      <c r="AJ17">
        <v>6.71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6</v>
      </c>
      <c r="AT17">
        <v>1.76</v>
      </c>
      <c r="AU17" t="s">
        <v>6</v>
      </c>
      <c r="AV17">
        <v>0</v>
      </c>
      <c r="AW17">
        <v>2</v>
      </c>
      <c r="AX17">
        <v>16814223</v>
      </c>
      <c r="AY17">
        <v>1</v>
      </c>
      <c r="AZ17">
        <v>0</v>
      </c>
      <c r="BA17">
        <v>21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Y17*Source!I32</f>
        <v>2.2176000000000001E-2</v>
      </c>
      <c r="CY17">
        <f>AB17</f>
        <v>209.75</v>
      </c>
      <c r="CZ17">
        <f>AF17</f>
        <v>31.26</v>
      </c>
      <c r="DA17">
        <f>AJ17</f>
        <v>6.71</v>
      </c>
      <c r="DB17">
        <f t="shared" si="0"/>
        <v>55.02</v>
      </c>
      <c r="DC17">
        <f t="shared" si="1"/>
        <v>23.76</v>
      </c>
    </row>
    <row r="18" spans="1:107" x14ac:dyDescent="0.2">
      <c r="A18">
        <f>ROW(Source!A33)</f>
        <v>33</v>
      </c>
      <c r="B18">
        <v>16812721</v>
      </c>
      <c r="C18">
        <v>16813026</v>
      </c>
      <c r="D18">
        <v>15430767</v>
      </c>
      <c r="E18">
        <v>1</v>
      </c>
      <c r="F18">
        <v>1</v>
      </c>
      <c r="G18">
        <v>1</v>
      </c>
      <c r="H18">
        <v>1</v>
      </c>
      <c r="I18" t="s">
        <v>799</v>
      </c>
      <c r="J18" t="s">
        <v>6</v>
      </c>
      <c r="K18" t="s">
        <v>800</v>
      </c>
      <c r="L18">
        <v>1191</v>
      </c>
      <c r="N18">
        <v>1013</v>
      </c>
      <c r="O18" t="s">
        <v>773</v>
      </c>
      <c r="P18" t="s">
        <v>773</v>
      </c>
      <c r="Q18">
        <v>1</v>
      </c>
      <c r="W18">
        <v>0</v>
      </c>
      <c r="X18">
        <v>-400197608</v>
      </c>
      <c r="Y18">
        <v>46.19</v>
      </c>
      <c r="AA18">
        <v>0</v>
      </c>
      <c r="AB18">
        <v>0</v>
      </c>
      <c r="AC18">
        <v>0</v>
      </c>
      <c r="AD18">
        <v>57.24</v>
      </c>
      <c r="AE18">
        <v>0</v>
      </c>
      <c r="AF18">
        <v>0</v>
      </c>
      <c r="AG18">
        <v>0</v>
      </c>
      <c r="AH18">
        <v>8.5299999999999994</v>
      </c>
      <c r="AI18">
        <v>1</v>
      </c>
      <c r="AJ18">
        <v>1</v>
      </c>
      <c r="AK18">
        <v>1</v>
      </c>
      <c r="AL18">
        <v>6.71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6</v>
      </c>
      <c r="AT18">
        <v>46.19</v>
      </c>
      <c r="AU18" t="s">
        <v>6</v>
      </c>
      <c r="AV18">
        <v>1</v>
      </c>
      <c r="AW18">
        <v>2</v>
      </c>
      <c r="AX18">
        <v>16813033</v>
      </c>
      <c r="AY18">
        <v>1</v>
      </c>
      <c r="AZ18">
        <v>0</v>
      </c>
      <c r="BA18">
        <v>22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Y18*Source!I33</f>
        <v>3.6951999999999998</v>
      </c>
      <c r="CY18">
        <f>AD18</f>
        <v>57.24</v>
      </c>
      <c r="CZ18">
        <f>AH18</f>
        <v>8.5299999999999994</v>
      </c>
      <c r="DA18">
        <f>AL18</f>
        <v>6.71</v>
      </c>
      <c r="DB18">
        <f t="shared" si="0"/>
        <v>394</v>
      </c>
      <c r="DC18">
        <f t="shared" si="1"/>
        <v>0</v>
      </c>
    </row>
    <row r="19" spans="1:107" x14ac:dyDescent="0.2">
      <c r="A19">
        <f>ROW(Source!A33)</f>
        <v>33</v>
      </c>
      <c r="B19">
        <v>16812721</v>
      </c>
      <c r="C19">
        <v>16813026</v>
      </c>
      <c r="D19">
        <v>15430395</v>
      </c>
      <c r="E19">
        <v>1</v>
      </c>
      <c r="F19">
        <v>1</v>
      </c>
      <c r="G19">
        <v>1</v>
      </c>
      <c r="H19">
        <v>1</v>
      </c>
      <c r="I19" t="s">
        <v>774</v>
      </c>
      <c r="J19" t="s">
        <v>6</v>
      </c>
      <c r="K19" t="s">
        <v>775</v>
      </c>
      <c r="L19">
        <v>1191</v>
      </c>
      <c r="N19">
        <v>1013</v>
      </c>
      <c r="O19" t="s">
        <v>773</v>
      </c>
      <c r="P19" t="s">
        <v>773</v>
      </c>
      <c r="Q19">
        <v>1</v>
      </c>
      <c r="W19">
        <v>0</v>
      </c>
      <c r="X19">
        <v>-1417349443</v>
      </c>
      <c r="Y19">
        <v>0.01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6.71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0.01</v>
      </c>
      <c r="AU19" t="s">
        <v>6</v>
      </c>
      <c r="AV19">
        <v>2</v>
      </c>
      <c r="AW19">
        <v>2</v>
      </c>
      <c r="AX19">
        <v>16813034</v>
      </c>
      <c r="AY19">
        <v>1</v>
      </c>
      <c r="AZ19">
        <v>0</v>
      </c>
      <c r="BA19">
        <v>23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Y19*Source!I33</f>
        <v>8.0000000000000004E-4</v>
      </c>
      <c r="CY19">
        <f>AD19</f>
        <v>0</v>
      </c>
      <c r="CZ19">
        <f>AH19</f>
        <v>0</v>
      </c>
      <c r="DA19">
        <f>AL19</f>
        <v>1</v>
      </c>
      <c r="DB19">
        <f t="shared" si="0"/>
        <v>0</v>
      </c>
      <c r="DC19">
        <f t="shared" si="1"/>
        <v>0</v>
      </c>
    </row>
    <row r="20" spans="1:107" x14ac:dyDescent="0.2">
      <c r="A20">
        <f>ROW(Source!A33)</f>
        <v>33</v>
      </c>
      <c r="B20">
        <v>16812721</v>
      </c>
      <c r="C20">
        <v>16813026</v>
      </c>
      <c r="D20">
        <v>15247974</v>
      </c>
      <c r="E20">
        <v>1</v>
      </c>
      <c r="F20">
        <v>1</v>
      </c>
      <c r="G20">
        <v>1</v>
      </c>
      <c r="H20">
        <v>2</v>
      </c>
      <c r="I20" t="s">
        <v>776</v>
      </c>
      <c r="J20" t="s">
        <v>777</v>
      </c>
      <c r="K20" t="s">
        <v>778</v>
      </c>
      <c r="L20">
        <v>1368</v>
      </c>
      <c r="N20">
        <v>1011</v>
      </c>
      <c r="O20" t="s">
        <v>779</v>
      </c>
      <c r="P20" t="s">
        <v>779</v>
      </c>
      <c r="Q20">
        <v>1</v>
      </c>
      <c r="W20">
        <v>0</v>
      </c>
      <c r="X20">
        <v>1188625873</v>
      </c>
      <c r="Y20">
        <v>0.01</v>
      </c>
      <c r="AA20">
        <v>0</v>
      </c>
      <c r="AB20">
        <v>209.75</v>
      </c>
      <c r="AC20">
        <v>13.5</v>
      </c>
      <c r="AD20">
        <v>0</v>
      </c>
      <c r="AE20">
        <v>0</v>
      </c>
      <c r="AF20">
        <v>31.26</v>
      </c>
      <c r="AG20">
        <v>13.5</v>
      </c>
      <c r="AH20">
        <v>0</v>
      </c>
      <c r="AI20">
        <v>1</v>
      </c>
      <c r="AJ20">
        <v>6.71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0.01</v>
      </c>
      <c r="AU20" t="s">
        <v>6</v>
      </c>
      <c r="AV20">
        <v>0</v>
      </c>
      <c r="AW20">
        <v>2</v>
      </c>
      <c r="AX20">
        <v>16813035</v>
      </c>
      <c r="AY20">
        <v>1</v>
      </c>
      <c r="AZ20">
        <v>0</v>
      </c>
      <c r="BA20">
        <v>24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Y20*Source!I33</f>
        <v>8.0000000000000004E-4</v>
      </c>
      <c r="CY20">
        <f>AB20</f>
        <v>209.75</v>
      </c>
      <c r="CZ20">
        <f>AF20</f>
        <v>31.26</v>
      </c>
      <c r="DA20">
        <f>AJ20</f>
        <v>6.71</v>
      </c>
      <c r="DB20">
        <f t="shared" si="0"/>
        <v>0.31</v>
      </c>
      <c r="DC20">
        <f t="shared" si="1"/>
        <v>0.14000000000000001</v>
      </c>
    </row>
    <row r="21" spans="1:107" x14ac:dyDescent="0.2">
      <c r="A21">
        <f>ROW(Source!A33)</f>
        <v>33</v>
      </c>
      <c r="B21">
        <v>16812721</v>
      </c>
      <c r="C21">
        <v>16813026</v>
      </c>
      <c r="D21">
        <v>15167286</v>
      </c>
      <c r="E21">
        <v>1</v>
      </c>
      <c r="F21">
        <v>1</v>
      </c>
      <c r="G21">
        <v>1</v>
      </c>
      <c r="H21">
        <v>3</v>
      </c>
      <c r="I21" t="s">
        <v>801</v>
      </c>
      <c r="J21" t="s">
        <v>802</v>
      </c>
      <c r="K21" t="s">
        <v>803</v>
      </c>
      <c r="L21">
        <v>1339</v>
      </c>
      <c r="N21">
        <v>1007</v>
      </c>
      <c r="O21" t="s">
        <v>141</v>
      </c>
      <c r="P21" t="s">
        <v>141</v>
      </c>
      <c r="Q21">
        <v>1</v>
      </c>
      <c r="W21">
        <v>0</v>
      </c>
      <c r="X21">
        <v>-1660354250</v>
      </c>
      <c r="Y21">
        <v>0.02</v>
      </c>
      <c r="AA21">
        <v>16.37</v>
      </c>
      <c r="AB21">
        <v>0</v>
      </c>
      <c r="AC21">
        <v>0</v>
      </c>
      <c r="AD21">
        <v>0</v>
      </c>
      <c r="AE21">
        <v>2.44</v>
      </c>
      <c r="AF21">
        <v>0</v>
      </c>
      <c r="AG21">
        <v>0</v>
      </c>
      <c r="AH21">
        <v>0</v>
      </c>
      <c r="AI21">
        <v>6.71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0.02</v>
      </c>
      <c r="AU21" t="s">
        <v>6</v>
      </c>
      <c r="AV21">
        <v>0</v>
      </c>
      <c r="AW21">
        <v>2</v>
      </c>
      <c r="AX21">
        <v>16813036</v>
      </c>
      <c r="AY21">
        <v>1</v>
      </c>
      <c r="AZ21">
        <v>0</v>
      </c>
      <c r="BA21">
        <v>25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Y21*Source!I33</f>
        <v>1.6000000000000001E-3</v>
      </c>
      <c r="CY21">
        <f>AA21</f>
        <v>16.37</v>
      </c>
      <c r="CZ21">
        <f>AE21</f>
        <v>2.44</v>
      </c>
      <c r="DA21">
        <f>AI21</f>
        <v>6.71</v>
      </c>
      <c r="DB21">
        <f t="shared" si="0"/>
        <v>0.05</v>
      </c>
      <c r="DC21">
        <f t="shared" si="1"/>
        <v>0</v>
      </c>
    </row>
    <row r="22" spans="1:107" x14ac:dyDescent="0.2">
      <c r="A22">
        <f>ROW(Source!A33)</f>
        <v>33</v>
      </c>
      <c r="B22">
        <v>16812721</v>
      </c>
      <c r="C22">
        <v>16813026</v>
      </c>
      <c r="D22">
        <v>15171982</v>
      </c>
      <c r="E22">
        <v>1</v>
      </c>
      <c r="F22">
        <v>1</v>
      </c>
      <c r="G22">
        <v>1</v>
      </c>
      <c r="H22">
        <v>3</v>
      </c>
      <c r="I22" t="s">
        <v>804</v>
      </c>
      <c r="J22" t="s">
        <v>805</v>
      </c>
      <c r="K22" t="s">
        <v>806</v>
      </c>
      <c r="L22">
        <v>1348</v>
      </c>
      <c r="N22">
        <v>1009</v>
      </c>
      <c r="O22" t="s">
        <v>145</v>
      </c>
      <c r="P22" t="s">
        <v>145</v>
      </c>
      <c r="Q22">
        <v>1000</v>
      </c>
      <c r="W22">
        <v>0</v>
      </c>
      <c r="X22">
        <v>-1421715385</v>
      </c>
      <c r="Y22">
        <v>0.05</v>
      </c>
      <c r="AA22">
        <v>4898.17</v>
      </c>
      <c r="AB22">
        <v>0</v>
      </c>
      <c r="AC22">
        <v>0</v>
      </c>
      <c r="AD22">
        <v>0</v>
      </c>
      <c r="AE22">
        <v>729.98</v>
      </c>
      <c r="AF22">
        <v>0</v>
      </c>
      <c r="AG22">
        <v>0</v>
      </c>
      <c r="AH22">
        <v>0</v>
      </c>
      <c r="AI22">
        <v>6.71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0.05</v>
      </c>
      <c r="AU22" t="s">
        <v>6</v>
      </c>
      <c r="AV22">
        <v>0</v>
      </c>
      <c r="AW22">
        <v>2</v>
      </c>
      <c r="AX22">
        <v>16813038</v>
      </c>
      <c r="AY22">
        <v>1</v>
      </c>
      <c r="AZ22">
        <v>0</v>
      </c>
      <c r="BA22">
        <v>27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Y22*Source!I33</f>
        <v>4.0000000000000001E-3</v>
      </c>
      <c r="CY22">
        <f>AA22</f>
        <v>4898.17</v>
      </c>
      <c r="CZ22">
        <f>AE22</f>
        <v>729.98</v>
      </c>
      <c r="DA22">
        <f>AI22</f>
        <v>6.71</v>
      </c>
      <c r="DB22">
        <f t="shared" si="0"/>
        <v>36.5</v>
      </c>
      <c r="DC22">
        <f t="shared" si="1"/>
        <v>0</v>
      </c>
    </row>
    <row r="23" spans="1:107" x14ac:dyDescent="0.2">
      <c r="A23">
        <f>ROW(Source!A33)</f>
        <v>33</v>
      </c>
      <c r="B23">
        <v>16812721</v>
      </c>
      <c r="C23">
        <v>16813026</v>
      </c>
      <c r="D23">
        <v>15215423</v>
      </c>
      <c r="E23">
        <v>1</v>
      </c>
      <c r="F23">
        <v>1</v>
      </c>
      <c r="G23">
        <v>1</v>
      </c>
      <c r="H23">
        <v>3</v>
      </c>
      <c r="I23" t="s">
        <v>60</v>
      </c>
      <c r="J23" t="s">
        <v>63</v>
      </c>
      <c r="K23" t="s">
        <v>61</v>
      </c>
      <c r="L23">
        <v>1354</v>
      </c>
      <c r="N23">
        <v>1010</v>
      </c>
      <c r="O23" t="s">
        <v>62</v>
      </c>
      <c r="P23" t="s">
        <v>62</v>
      </c>
      <c r="Q23">
        <v>1</v>
      </c>
      <c r="W23">
        <v>0</v>
      </c>
      <c r="X23">
        <v>128350836</v>
      </c>
      <c r="Y23">
        <v>100</v>
      </c>
      <c r="AA23">
        <v>6416.71</v>
      </c>
      <c r="AB23">
        <v>0</v>
      </c>
      <c r="AC23">
        <v>0</v>
      </c>
      <c r="AD23">
        <v>0</v>
      </c>
      <c r="AE23">
        <v>956.29</v>
      </c>
      <c r="AF23">
        <v>0</v>
      </c>
      <c r="AG23">
        <v>0</v>
      </c>
      <c r="AH23">
        <v>0</v>
      </c>
      <c r="AI23">
        <v>6.71</v>
      </c>
      <c r="AJ23">
        <v>1</v>
      </c>
      <c r="AK23">
        <v>1</v>
      </c>
      <c r="AL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 t="s">
        <v>6</v>
      </c>
      <c r="AT23">
        <v>100</v>
      </c>
      <c r="AU23" t="s">
        <v>6</v>
      </c>
      <c r="AV23">
        <v>0</v>
      </c>
      <c r="AW23">
        <v>1</v>
      </c>
      <c r="AX23">
        <v>-1</v>
      </c>
      <c r="AY23">
        <v>0</v>
      </c>
      <c r="AZ23">
        <v>0</v>
      </c>
      <c r="BA23" t="s">
        <v>6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Y23*Source!I33</f>
        <v>8</v>
      </c>
      <c r="CY23">
        <f>AA23</f>
        <v>6416.71</v>
      </c>
      <c r="CZ23">
        <f>AE23</f>
        <v>956.29</v>
      </c>
      <c r="DA23">
        <f>AI23</f>
        <v>6.71</v>
      </c>
      <c r="DB23">
        <f t="shared" si="0"/>
        <v>95629</v>
      </c>
      <c r="DC23">
        <f t="shared" si="1"/>
        <v>0</v>
      </c>
    </row>
    <row r="24" spans="1:107" x14ac:dyDescent="0.2">
      <c r="A24">
        <f>ROW(Source!A35)</f>
        <v>35</v>
      </c>
      <c r="B24">
        <v>16812721</v>
      </c>
      <c r="C24">
        <v>16813041</v>
      </c>
      <c r="D24">
        <v>15430517</v>
      </c>
      <c r="E24">
        <v>1</v>
      </c>
      <c r="F24">
        <v>1</v>
      </c>
      <c r="G24">
        <v>1</v>
      </c>
      <c r="H24">
        <v>1</v>
      </c>
      <c r="I24" t="s">
        <v>797</v>
      </c>
      <c r="J24" t="s">
        <v>6</v>
      </c>
      <c r="K24" t="s">
        <v>798</v>
      </c>
      <c r="L24">
        <v>1191</v>
      </c>
      <c r="N24">
        <v>1013</v>
      </c>
      <c r="O24" t="s">
        <v>773</v>
      </c>
      <c r="P24" t="s">
        <v>773</v>
      </c>
      <c r="Q24">
        <v>1</v>
      </c>
      <c r="W24">
        <v>0</v>
      </c>
      <c r="X24">
        <v>735429535</v>
      </c>
      <c r="Y24">
        <v>22.82</v>
      </c>
      <c r="AA24">
        <v>0</v>
      </c>
      <c r="AB24">
        <v>0</v>
      </c>
      <c r="AC24">
        <v>0</v>
      </c>
      <c r="AD24">
        <v>52.34</v>
      </c>
      <c r="AE24">
        <v>0</v>
      </c>
      <c r="AF24">
        <v>0</v>
      </c>
      <c r="AG24">
        <v>0</v>
      </c>
      <c r="AH24">
        <v>7.8</v>
      </c>
      <c r="AI24">
        <v>1</v>
      </c>
      <c r="AJ24">
        <v>1</v>
      </c>
      <c r="AK24">
        <v>1</v>
      </c>
      <c r="AL24">
        <v>6.71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22.82</v>
      </c>
      <c r="AU24" t="s">
        <v>6</v>
      </c>
      <c r="AV24">
        <v>1</v>
      </c>
      <c r="AW24">
        <v>2</v>
      </c>
      <c r="AX24">
        <v>16813043</v>
      </c>
      <c r="AY24">
        <v>1</v>
      </c>
      <c r="AZ24">
        <v>0</v>
      </c>
      <c r="BA24">
        <v>29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Y24*Source!I35</f>
        <v>33.773600000000002</v>
      </c>
      <c r="CY24">
        <f>AD24</f>
        <v>52.34</v>
      </c>
      <c r="CZ24">
        <f>AH24</f>
        <v>7.8</v>
      </c>
      <c r="DA24">
        <f>AL24</f>
        <v>6.71</v>
      </c>
      <c r="DB24">
        <f t="shared" si="0"/>
        <v>178</v>
      </c>
      <c r="DC24">
        <f t="shared" si="1"/>
        <v>0</v>
      </c>
    </row>
    <row r="25" spans="1:107" x14ac:dyDescent="0.2">
      <c r="A25">
        <f>ROW(Source!A36)</f>
        <v>36</v>
      </c>
      <c r="B25">
        <v>16812721</v>
      </c>
      <c r="C25">
        <v>16814224</v>
      </c>
      <c r="D25">
        <v>15446300</v>
      </c>
      <c r="E25">
        <v>1</v>
      </c>
      <c r="F25">
        <v>1</v>
      </c>
      <c r="G25">
        <v>1</v>
      </c>
      <c r="H25">
        <v>1</v>
      </c>
      <c r="I25" t="s">
        <v>780</v>
      </c>
      <c r="J25" t="s">
        <v>6</v>
      </c>
      <c r="K25" t="s">
        <v>781</v>
      </c>
      <c r="L25">
        <v>1191</v>
      </c>
      <c r="N25">
        <v>1013</v>
      </c>
      <c r="O25" t="s">
        <v>773</v>
      </c>
      <c r="P25" t="s">
        <v>773</v>
      </c>
      <c r="Q25">
        <v>1</v>
      </c>
      <c r="W25">
        <v>0</v>
      </c>
      <c r="X25">
        <v>912892513</v>
      </c>
      <c r="Y25">
        <v>7.6000000000000005</v>
      </c>
      <c r="AA25">
        <v>0</v>
      </c>
      <c r="AB25">
        <v>0</v>
      </c>
      <c r="AC25">
        <v>0</v>
      </c>
      <c r="AD25">
        <v>66.56</v>
      </c>
      <c r="AE25">
        <v>0</v>
      </c>
      <c r="AF25">
        <v>0</v>
      </c>
      <c r="AG25">
        <v>0</v>
      </c>
      <c r="AH25">
        <v>9.92</v>
      </c>
      <c r="AI25">
        <v>1</v>
      </c>
      <c r="AJ25">
        <v>1</v>
      </c>
      <c r="AK25">
        <v>1</v>
      </c>
      <c r="AL25">
        <v>6.71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19</v>
      </c>
      <c r="AU25" t="s">
        <v>74</v>
      </c>
      <c r="AV25">
        <v>1</v>
      </c>
      <c r="AW25">
        <v>2</v>
      </c>
      <c r="AX25">
        <v>16814225</v>
      </c>
      <c r="AY25">
        <v>1</v>
      </c>
      <c r="AZ25">
        <v>0</v>
      </c>
      <c r="BA25">
        <v>30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Y25*Source!I36</f>
        <v>0.76000000000000012</v>
      </c>
      <c r="CY25">
        <f>AD25</f>
        <v>66.56</v>
      </c>
      <c r="CZ25">
        <f>AH25</f>
        <v>9.92</v>
      </c>
      <c r="DA25">
        <f>AL25</f>
        <v>6.71</v>
      </c>
      <c r="DB25">
        <f>ROUND((ROUND(AT25*CZ25,2)*0.4),2)</f>
        <v>75.39</v>
      </c>
      <c r="DC25">
        <f>ROUND((ROUND(AT25*AG25,2)*0.4),2)</f>
        <v>0</v>
      </c>
    </row>
    <row r="26" spans="1:107" x14ac:dyDescent="0.2">
      <c r="A26">
        <f>ROW(Source!A36)</f>
        <v>36</v>
      </c>
      <c r="B26">
        <v>16812721</v>
      </c>
      <c r="C26">
        <v>16814224</v>
      </c>
      <c r="D26">
        <v>15430395</v>
      </c>
      <c r="E26">
        <v>1</v>
      </c>
      <c r="F26">
        <v>1</v>
      </c>
      <c r="G26">
        <v>1</v>
      </c>
      <c r="H26">
        <v>1</v>
      </c>
      <c r="I26" t="s">
        <v>774</v>
      </c>
      <c r="J26" t="s">
        <v>6</v>
      </c>
      <c r="K26" t="s">
        <v>775</v>
      </c>
      <c r="L26">
        <v>1191</v>
      </c>
      <c r="N26">
        <v>1013</v>
      </c>
      <c r="O26" t="s">
        <v>773</v>
      </c>
      <c r="P26" t="s">
        <v>773</v>
      </c>
      <c r="Q26">
        <v>1</v>
      </c>
      <c r="W26">
        <v>0</v>
      </c>
      <c r="X26">
        <v>-1417349443</v>
      </c>
      <c r="Y26">
        <v>0.2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6.71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0.2</v>
      </c>
      <c r="AU26" t="s">
        <v>6</v>
      </c>
      <c r="AV26">
        <v>2</v>
      </c>
      <c r="AW26">
        <v>2</v>
      </c>
      <c r="AX26">
        <v>16814226</v>
      </c>
      <c r="AY26">
        <v>1</v>
      </c>
      <c r="AZ26">
        <v>2048</v>
      </c>
      <c r="BA26">
        <v>31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Y26*Source!I36</f>
        <v>2.0000000000000004E-2</v>
      </c>
      <c r="CY26">
        <f>AD26</f>
        <v>0</v>
      </c>
      <c r="CZ26">
        <f>AH26</f>
        <v>0</v>
      </c>
      <c r="DA26">
        <f>AL26</f>
        <v>1</v>
      </c>
      <c r="DB26">
        <f>ROUND(ROUND(AT26*CZ26,2),2)</f>
        <v>0</v>
      </c>
      <c r="DC26">
        <f>ROUND(ROUND(AT26*AG26,2),2)</f>
        <v>0</v>
      </c>
    </row>
    <row r="27" spans="1:107" x14ac:dyDescent="0.2">
      <c r="A27">
        <f>ROW(Source!A36)</f>
        <v>36</v>
      </c>
      <c r="B27">
        <v>16812721</v>
      </c>
      <c r="C27">
        <v>16814224</v>
      </c>
      <c r="D27">
        <v>15249073</v>
      </c>
      <c r="E27">
        <v>1</v>
      </c>
      <c r="F27">
        <v>1</v>
      </c>
      <c r="G27">
        <v>1</v>
      </c>
      <c r="H27">
        <v>2</v>
      </c>
      <c r="I27" t="s">
        <v>782</v>
      </c>
      <c r="J27" t="s">
        <v>783</v>
      </c>
      <c r="K27" t="s">
        <v>784</v>
      </c>
      <c r="L27">
        <v>1368</v>
      </c>
      <c r="N27">
        <v>1011</v>
      </c>
      <c r="O27" t="s">
        <v>779</v>
      </c>
      <c r="P27" t="s">
        <v>779</v>
      </c>
      <c r="Q27">
        <v>1</v>
      </c>
      <c r="W27">
        <v>0</v>
      </c>
      <c r="X27">
        <v>1372534845</v>
      </c>
      <c r="Y27">
        <v>8.0000000000000016E-2</v>
      </c>
      <c r="AA27">
        <v>0</v>
      </c>
      <c r="AB27">
        <v>440.91</v>
      </c>
      <c r="AC27">
        <v>11.6</v>
      </c>
      <c r="AD27">
        <v>0</v>
      </c>
      <c r="AE27">
        <v>0</v>
      </c>
      <c r="AF27">
        <v>65.709999999999994</v>
      </c>
      <c r="AG27">
        <v>11.6</v>
      </c>
      <c r="AH27">
        <v>0</v>
      </c>
      <c r="AI27">
        <v>1</v>
      </c>
      <c r="AJ27">
        <v>6.71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0.2</v>
      </c>
      <c r="AU27" t="s">
        <v>74</v>
      </c>
      <c r="AV27">
        <v>0</v>
      </c>
      <c r="AW27">
        <v>2</v>
      </c>
      <c r="AX27">
        <v>16814227</v>
      </c>
      <c r="AY27">
        <v>1</v>
      </c>
      <c r="AZ27">
        <v>0</v>
      </c>
      <c r="BA27">
        <v>32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Y27*Source!I36</f>
        <v>8.0000000000000019E-3</v>
      </c>
      <c r="CY27">
        <f>AB27</f>
        <v>440.91</v>
      </c>
      <c r="CZ27">
        <f>AF27</f>
        <v>65.709999999999994</v>
      </c>
      <c r="DA27">
        <f>AJ27</f>
        <v>6.71</v>
      </c>
      <c r="DB27">
        <f>ROUND((ROUND(AT27*CZ27,2)*0.4),2)</f>
        <v>5.26</v>
      </c>
      <c r="DC27">
        <f>ROUND((ROUND(AT27*AG27,2)*0.4),2)</f>
        <v>0.93</v>
      </c>
    </row>
    <row r="28" spans="1:107" x14ac:dyDescent="0.2">
      <c r="A28">
        <f>ROW(Source!A36)</f>
        <v>36</v>
      </c>
      <c r="B28">
        <v>16812721</v>
      </c>
      <c r="C28">
        <v>16814224</v>
      </c>
      <c r="D28">
        <v>15167963</v>
      </c>
      <c r="E28">
        <v>1</v>
      </c>
      <c r="F28">
        <v>1</v>
      </c>
      <c r="G28">
        <v>1</v>
      </c>
      <c r="H28">
        <v>3</v>
      </c>
      <c r="I28" t="s">
        <v>807</v>
      </c>
      <c r="J28" t="s">
        <v>808</v>
      </c>
      <c r="K28" t="s">
        <v>809</v>
      </c>
      <c r="L28">
        <v>1346</v>
      </c>
      <c r="N28">
        <v>1009</v>
      </c>
      <c r="O28" t="s">
        <v>277</v>
      </c>
      <c r="P28" t="s">
        <v>277</v>
      </c>
      <c r="Q28">
        <v>1</v>
      </c>
      <c r="W28">
        <v>0</v>
      </c>
      <c r="X28">
        <v>-490687590</v>
      </c>
      <c r="Y28">
        <v>0</v>
      </c>
      <c r="AA28">
        <v>250.22</v>
      </c>
      <c r="AB28">
        <v>0</v>
      </c>
      <c r="AC28">
        <v>0</v>
      </c>
      <c r="AD28">
        <v>0</v>
      </c>
      <c r="AE28">
        <v>37.29</v>
      </c>
      <c r="AF28">
        <v>0</v>
      </c>
      <c r="AG28">
        <v>0</v>
      </c>
      <c r="AH28">
        <v>0</v>
      </c>
      <c r="AI28">
        <v>6.71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0.02</v>
      </c>
      <c r="AU28" t="s">
        <v>31</v>
      </c>
      <c r="AV28">
        <v>0</v>
      </c>
      <c r="AW28">
        <v>2</v>
      </c>
      <c r="AX28">
        <v>16814228</v>
      </c>
      <c r="AY28">
        <v>1</v>
      </c>
      <c r="AZ28">
        <v>0</v>
      </c>
      <c r="BA28">
        <v>33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Y28*Source!I36</f>
        <v>0</v>
      </c>
      <c r="CY28">
        <f>AA28</f>
        <v>250.22</v>
      </c>
      <c r="CZ28">
        <f>AE28</f>
        <v>37.29</v>
      </c>
      <c r="DA28">
        <f>AI28</f>
        <v>6.71</v>
      </c>
      <c r="DB28">
        <f>ROUND((ROUND(AT28*CZ28,2)*0),2)</f>
        <v>0</v>
      </c>
      <c r="DC28">
        <f>ROUND((ROUND(AT28*AG28,2)*0),2)</f>
        <v>0</v>
      </c>
    </row>
    <row r="29" spans="1:107" x14ac:dyDescent="0.2">
      <c r="A29">
        <f>ROW(Source!A36)</f>
        <v>36</v>
      </c>
      <c r="B29">
        <v>16812721</v>
      </c>
      <c r="C29">
        <v>16814224</v>
      </c>
      <c r="D29">
        <v>15203740</v>
      </c>
      <c r="E29">
        <v>1</v>
      </c>
      <c r="F29">
        <v>1</v>
      </c>
      <c r="G29">
        <v>1</v>
      </c>
      <c r="H29">
        <v>3</v>
      </c>
      <c r="I29" t="s">
        <v>810</v>
      </c>
      <c r="J29" t="s">
        <v>811</v>
      </c>
      <c r="K29" t="s">
        <v>812</v>
      </c>
      <c r="L29">
        <v>1348</v>
      </c>
      <c r="N29">
        <v>1009</v>
      </c>
      <c r="O29" t="s">
        <v>145</v>
      </c>
      <c r="P29" t="s">
        <v>145</v>
      </c>
      <c r="Q29">
        <v>1000</v>
      </c>
      <c r="W29">
        <v>0</v>
      </c>
      <c r="X29">
        <v>570223526</v>
      </c>
      <c r="Y29">
        <v>0</v>
      </c>
      <c r="AA29">
        <v>101448.49</v>
      </c>
      <c r="AB29">
        <v>0</v>
      </c>
      <c r="AC29">
        <v>0</v>
      </c>
      <c r="AD29">
        <v>0</v>
      </c>
      <c r="AE29">
        <v>15119</v>
      </c>
      <c r="AF29">
        <v>0</v>
      </c>
      <c r="AG29">
        <v>0</v>
      </c>
      <c r="AH29">
        <v>0</v>
      </c>
      <c r="AI29">
        <v>6.71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4.0000000000000003E-5</v>
      </c>
      <c r="AU29" t="s">
        <v>31</v>
      </c>
      <c r="AV29">
        <v>0</v>
      </c>
      <c r="AW29">
        <v>2</v>
      </c>
      <c r="AX29">
        <v>16814229</v>
      </c>
      <c r="AY29">
        <v>1</v>
      </c>
      <c r="AZ29">
        <v>0</v>
      </c>
      <c r="BA29">
        <v>34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Y29*Source!I36</f>
        <v>0</v>
      </c>
      <c r="CY29">
        <f>AA29</f>
        <v>101448.49</v>
      </c>
      <c r="CZ29">
        <f>AE29</f>
        <v>15119</v>
      </c>
      <c r="DA29">
        <f>AI29</f>
        <v>6.71</v>
      </c>
      <c r="DB29">
        <f>ROUND((ROUND(AT29*CZ29,2)*0),2)</f>
        <v>0</v>
      </c>
      <c r="DC29">
        <f>ROUND((ROUND(AT29*AG29,2)*0),2)</f>
        <v>0</v>
      </c>
    </row>
    <row r="30" spans="1:107" x14ac:dyDescent="0.2">
      <c r="A30">
        <f>ROW(Source!A36)</f>
        <v>36</v>
      </c>
      <c r="B30">
        <v>16812721</v>
      </c>
      <c r="C30">
        <v>16814224</v>
      </c>
      <c r="D30">
        <v>15204468</v>
      </c>
      <c r="E30">
        <v>1</v>
      </c>
      <c r="F30">
        <v>1</v>
      </c>
      <c r="G30">
        <v>1</v>
      </c>
      <c r="H30">
        <v>3</v>
      </c>
      <c r="I30" t="s">
        <v>813</v>
      </c>
      <c r="J30" t="s">
        <v>814</v>
      </c>
      <c r="K30" t="s">
        <v>815</v>
      </c>
      <c r="L30">
        <v>1348</v>
      </c>
      <c r="N30">
        <v>1009</v>
      </c>
      <c r="O30" t="s">
        <v>145</v>
      </c>
      <c r="P30" t="s">
        <v>145</v>
      </c>
      <c r="Q30">
        <v>1000</v>
      </c>
      <c r="W30">
        <v>0</v>
      </c>
      <c r="X30">
        <v>-909021926</v>
      </c>
      <c r="Y30">
        <v>0</v>
      </c>
      <c r="AA30">
        <v>113734.5</v>
      </c>
      <c r="AB30">
        <v>0</v>
      </c>
      <c r="AC30">
        <v>0</v>
      </c>
      <c r="AD30">
        <v>0</v>
      </c>
      <c r="AE30">
        <v>16950</v>
      </c>
      <c r="AF30">
        <v>0</v>
      </c>
      <c r="AG30">
        <v>0</v>
      </c>
      <c r="AH30">
        <v>0</v>
      </c>
      <c r="AI30">
        <v>6.71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6</v>
      </c>
      <c r="AT30">
        <v>2.0000000000000002E-5</v>
      </c>
      <c r="AU30" t="s">
        <v>31</v>
      </c>
      <c r="AV30">
        <v>0</v>
      </c>
      <c r="AW30">
        <v>2</v>
      </c>
      <c r="AX30">
        <v>16814230</v>
      </c>
      <c r="AY30">
        <v>1</v>
      </c>
      <c r="AZ30">
        <v>0</v>
      </c>
      <c r="BA30">
        <v>35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Y30*Source!I36</f>
        <v>0</v>
      </c>
      <c r="CY30">
        <f>AA30</f>
        <v>113734.5</v>
      </c>
      <c r="CZ30">
        <f>AE30</f>
        <v>16950</v>
      </c>
      <c r="DA30">
        <f>AI30</f>
        <v>6.71</v>
      </c>
      <c r="DB30">
        <f>ROUND((ROUND(AT30*CZ30,2)*0),2)</f>
        <v>0</v>
      </c>
      <c r="DC30">
        <f>ROUND((ROUND(AT30*AG30,2)*0),2)</f>
        <v>0</v>
      </c>
    </row>
    <row r="31" spans="1:107" x14ac:dyDescent="0.2">
      <c r="A31">
        <f>ROW(Source!A37)</f>
        <v>37</v>
      </c>
      <c r="B31">
        <v>16812721</v>
      </c>
      <c r="C31">
        <v>16813044</v>
      </c>
      <c r="D31">
        <v>15435721</v>
      </c>
      <c r="E31">
        <v>1</v>
      </c>
      <c r="F31">
        <v>1</v>
      </c>
      <c r="G31">
        <v>1</v>
      </c>
      <c r="H31">
        <v>1</v>
      </c>
      <c r="I31" t="s">
        <v>816</v>
      </c>
      <c r="J31" t="s">
        <v>6</v>
      </c>
      <c r="K31" t="s">
        <v>817</v>
      </c>
      <c r="L31">
        <v>1191</v>
      </c>
      <c r="N31">
        <v>1013</v>
      </c>
      <c r="O31" t="s">
        <v>773</v>
      </c>
      <c r="P31" t="s">
        <v>773</v>
      </c>
      <c r="Q31">
        <v>1</v>
      </c>
      <c r="W31">
        <v>0</v>
      </c>
      <c r="X31">
        <v>1983201532</v>
      </c>
      <c r="Y31">
        <v>40.480000000000004</v>
      </c>
      <c r="AA31">
        <v>0</v>
      </c>
      <c r="AB31">
        <v>0</v>
      </c>
      <c r="AC31">
        <v>0</v>
      </c>
      <c r="AD31">
        <v>63.81</v>
      </c>
      <c r="AE31">
        <v>0</v>
      </c>
      <c r="AF31">
        <v>0</v>
      </c>
      <c r="AG31">
        <v>0</v>
      </c>
      <c r="AH31">
        <v>9.51</v>
      </c>
      <c r="AI31">
        <v>1</v>
      </c>
      <c r="AJ31">
        <v>1</v>
      </c>
      <c r="AK31">
        <v>1</v>
      </c>
      <c r="AL31">
        <v>6.71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50.6</v>
      </c>
      <c r="AU31" t="s">
        <v>83</v>
      </c>
      <c r="AV31">
        <v>1</v>
      </c>
      <c r="AW31">
        <v>2</v>
      </c>
      <c r="AX31">
        <v>16813054</v>
      </c>
      <c r="AY31">
        <v>1</v>
      </c>
      <c r="AZ31">
        <v>0</v>
      </c>
      <c r="BA31">
        <v>36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Y31*Source!I37</f>
        <v>6.0720000000000001</v>
      </c>
      <c r="CY31">
        <f>AD31</f>
        <v>63.81</v>
      </c>
      <c r="CZ31">
        <f>AH31</f>
        <v>9.51</v>
      </c>
      <c r="DA31">
        <f>AL31</f>
        <v>6.71</v>
      </c>
      <c r="DB31">
        <f>ROUND((ROUND(AT31*CZ31,2)*0.8),2)</f>
        <v>384.97</v>
      </c>
      <c r="DC31">
        <f>ROUND((ROUND(AT31*AG31,2)*0.8),2)</f>
        <v>0</v>
      </c>
    </row>
    <row r="32" spans="1:107" x14ac:dyDescent="0.2">
      <c r="A32">
        <f>ROW(Source!A37)</f>
        <v>37</v>
      </c>
      <c r="B32">
        <v>16812721</v>
      </c>
      <c r="C32">
        <v>16813044</v>
      </c>
      <c r="D32">
        <v>15430395</v>
      </c>
      <c r="E32">
        <v>1</v>
      </c>
      <c r="F32">
        <v>1</v>
      </c>
      <c r="G32">
        <v>1</v>
      </c>
      <c r="H32">
        <v>1</v>
      </c>
      <c r="I32" t="s">
        <v>774</v>
      </c>
      <c r="J32" t="s">
        <v>6</v>
      </c>
      <c r="K32" t="s">
        <v>775</v>
      </c>
      <c r="L32">
        <v>1191</v>
      </c>
      <c r="N32">
        <v>1013</v>
      </c>
      <c r="O32" t="s">
        <v>773</v>
      </c>
      <c r="P32" t="s">
        <v>773</v>
      </c>
      <c r="Q32">
        <v>1</v>
      </c>
      <c r="W32">
        <v>0</v>
      </c>
      <c r="X32">
        <v>-1417349443</v>
      </c>
      <c r="Y32">
        <v>1.42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6.71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1.42</v>
      </c>
      <c r="AU32" t="s">
        <v>6</v>
      </c>
      <c r="AV32">
        <v>2</v>
      </c>
      <c r="AW32">
        <v>2</v>
      </c>
      <c r="AX32">
        <v>16813055</v>
      </c>
      <c r="AY32">
        <v>1</v>
      </c>
      <c r="AZ32">
        <v>2048</v>
      </c>
      <c r="BA32">
        <v>37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Y32*Source!I37</f>
        <v>0.21299999999999999</v>
      </c>
      <c r="CY32">
        <f>AD32</f>
        <v>0</v>
      </c>
      <c r="CZ32">
        <f>AH32</f>
        <v>0</v>
      </c>
      <c r="DA32">
        <f>AL32</f>
        <v>1</v>
      </c>
      <c r="DB32">
        <f>ROUND(ROUND(AT32*CZ32,2),2)</f>
        <v>0</v>
      </c>
      <c r="DC32">
        <f>ROUND(ROUND(AT32*AG32,2),2)</f>
        <v>0</v>
      </c>
    </row>
    <row r="33" spans="1:107" x14ac:dyDescent="0.2">
      <c r="A33">
        <f>ROW(Source!A37)</f>
        <v>37</v>
      </c>
      <c r="B33">
        <v>16812721</v>
      </c>
      <c r="C33">
        <v>16813044</v>
      </c>
      <c r="D33">
        <v>15247974</v>
      </c>
      <c r="E33">
        <v>1</v>
      </c>
      <c r="F33">
        <v>1</v>
      </c>
      <c r="G33">
        <v>1</v>
      </c>
      <c r="H33">
        <v>2</v>
      </c>
      <c r="I33" t="s">
        <v>776</v>
      </c>
      <c r="J33" t="s">
        <v>777</v>
      </c>
      <c r="K33" t="s">
        <v>778</v>
      </c>
      <c r="L33">
        <v>1368</v>
      </c>
      <c r="N33">
        <v>1011</v>
      </c>
      <c r="O33" t="s">
        <v>779</v>
      </c>
      <c r="P33" t="s">
        <v>779</v>
      </c>
      <c r="Q33">
        <v>1</v>
      </c>
      <c r="W33">
        <v>0</v>
      </c>
      <c r="X33">
        <v>1188625873</v>
      </c>
      <c r="Y33">
        <v>0.17600000000000002</v>
      </c>
      <c r="AA33">
        <v>0</v>
      </c>
      <c r="AB33">
        <v>209.75</v>
      </c>
      <c r="AC33">
        <v>13.5</v>
      </c>
      <c r="AD33">
        <v>0</v>
      </c>
      <c r="AE33">
        <v>0</v>
      </c>
      <c r="AF33">
        <v>31.26</v>
      </c>
      <c r="AG33">
        <v>13.5</v>
      </c>
      <c r="AH33">
        <v>0</v>
      </c>
      <c r="AI33">
        <v>1</v>
      </c>
      <c r="AJ33">
        <v>6.71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0.22</v>
      </c>
      <c r="AU33" t="s">
        <v>83</v>
      </c>
      <c r="AV33">
        <v>0</v>
      </c>
      <c r="AW33">
        <v>2</v>
      </c>
      <c r="AX33">
        <v>16813056</v>
      </c>
      <c r="AY33">
        <v>1</v>
      </c>
      <c r="AZ33">
        <v>0</v>
      </c>
      <c r="BA33">
        <v>38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Y33*Source!I37</f>
        <v>2.6400000000000003E-2</v>
      </c>
      <c r="CY33">
        <f>AB33</f>
        <v>209.75</v>
      </c>
      <c r="CZ33">
        <f>AF33</f>
        <v>31.26</v>
      </c>
      <c r="DA33">
        <f>AJ33</f>
        <v>6.71</v>
      </c>
      <c r="DB33">
        <f>ROUND((ROUND(AT33*CZ33,2)*0.8),2)</f>
        <v>5.5</v>
      </c>
      <c r="DC33">
        <f>ROUND((ROUND(AT33*AG33,2)*0.8),2)</f>
        <v>2.38</v>
      </c>
    </row>
    <row r="34" spans="1:107" x14ac:dyDescent="0.2">
      <c r="A34">
        <f>ROW(Source!A37)</f>
        <v>37</v>
      </c>
      <c r="B34">
        <v>16812721</v>
      </c>
      <c r="C34">
        <v>16813044</v>
      </c>
      <c r="D34">
        <v>15249073</v>
      </c>
      <c r="E34">
        <v>1</v>
      </c>
      <c r="F34">
        <v>1</v>
      </c>
      <c r="G34">
        <v>1</v>
      </c>
      <c r="H34">
        <v>2</v>
      </c>
      <c r="I34" t="s">
        <v>782</v>
      </c>
      <c r="J34" t="s">
        <v>783</v>
      </c>
      <c r="K34" t="s">
        <v>784</v>
      </c>
      <c r="L34">
        <v>1368</v>
      </c>
      <c r="N34">
        <v>1011</v>
      </c>
      <c r="O34" t="s">
        <v>779</v>
      </c>
      <c r="P34" t="s">
        <v>779</v>
      </c>
      <c r="Q34">
        <v>1</v>
      </c>
      <c r="W34">
        <v>0</v>
      </c>
      <c r="X34">
        <v>1372534845</v>
      </c>
      <c r="Y34">
        <v>0.96</v>
      </c>
      <c r="AA34">
        <v>0</v>
      </c>
      <c r="AB34">
        <v>440.91</v>
      </c>
      <c r="AC34">
        <v>11.6</v>
      </c>
      <c r="AD34">
        <v>0</v>
      </c>
      <c r="AE34">
        <v>0</v>
      </c>
      <c r="AF34">
        <v>65.709999999999994</v>
      </c>
      <c r="AG34">
        <v>11.6</v>
      </c>
      <c r="AH34">
        <v>0</v>
      </c>
      <c r="AI34">
        <v>1</v>
      </c>
      <c r="AJ34">
        <v>6.71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1.2</v>
      </c>
      <c r="AU34" t="s">
        <v>83</v>
      </c>
      <c r="AV34">
        <v>0</v>
      </c>
      <c r="AW34">
        <v>2</v>
      </c>
      <c r="AX34">
        <v>16813057</v>
      </c>
      <c r="AY34">
        <v>1</v>
      </c>
      <c r="AZ34">
        <v>0</v>
      </c>
      <c r="BA34">
        <v>39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Y34*Source!I37</f>
        <v>0.14399999999999999</v>
      </c>
      <c r="CY34">
        <f>AB34</f>
        <v>440.91</v>
      </c>
      <c r="CZ34">
        <f>AF34</f>
        <v>65.709999999999994</v>
      </c>
      <c r="DA34">
        <f>AJ34</f>
        <v>6.71</v>
      </c>
      <c r="DB34">
        <f>ROUND((ROUND(AT34*CZ34,2)*0.8),2)</f>
        <v>63.08</v>
      </c>
      <c r="DC34">
        <f>ROUND((ROUND(AT34*AG34,2)*0.8),2)</f>
        <v>11.14</v>
      </c>
    </row>
    <row r="35" spans="1:107" x14ac:dyDescent="0.2">
      <c r="A35">
        <f>ROW(Source!A37)</f>
        <v>37</v>
      </c>
      <c r="B35">
        <v>16812721</v>
      </c>
      <c r="C35">
        <v>16813044</v>
      </c>
      <c r="D35">
        <v>15167277</v>
      </c>
      <c r="E35">
        <v>1</v>
      </c>
      <c r="F35">
        <v>1</v>
      </c>
      <c r="G35">
        <v>1</v>
      </c>
      <c r="H35">
        <v>3</v>
      </c>
      <c r="I35" t="s">
        <v>818</v>
      </c>
      <c r="J35" t="s">
        <v>819</v>
      </c>
      <c r="K35" t="s">
        <v>820</v>
      </c>
      <c r="L35">
        <v>1348</v>
      </c>
      <c r="N35">
        <v>1009</v>
      </c>
      <c r="O35" t="s">
        <v>145</v>
      </c>
      <c r="P35" t="s">
        <v>145</v>
      </c>
      <c r="Q35">
        <v>1000</v>
      </c>
      <c r="W35">
        <v>0</v>
      </c>
      <c r="X35">
        <v>-107449080</v>
      </c>
      <c r="Y35">
        <v>0</v>
      </c>
      <c r="AA35">
        <v>37911.5</v>
      </c>
      <c r="AB35">
        <v>0</v>
      </c>
      <c r="AC35">
        <v>0</v>
      </c>
      <c r="AD35">
        <v>0</v>
      </c>
      <c r="AE35">
        <v>5650</v>
      </c>
      <c r="AF35">
        <v>0</v>
      </c>
      <c r="AG35">
        <v>0</v>
      </c>
      <c r="AH35">
        <v>0</v>
      </c>
      <c r="AI35">
        <v>6.71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0.01</v>
      </c>
      <c r="AU35" t="s">
        <v>31</v>
      </c>
      <c r="AV35">
        <v>0</v>
      </c>
      <c r="AW35">
        <v>2</v>
      </c>
      <c r="AX35">
        <v>16813058</v>
      </c>
      <c r="AY35">
        <v>1</v>
      </c>
      <c r="AZ35">
        <v>0</v>
      </c>
      <c r="BA35">
        <v>40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Y35*Source!I37</f>
        <v>0</v>
      </c>
      <c r="CY35">
        <f>AA35</f>
        <v>37911.5</v>
      </c>
      <c r="CZ35">
        <f>AE35</f>
        <v>5650</v>
      </c>
      <c r="DA35">
        <f>AI35</f>
        <v>6.71</v>
      </c>
      <c r="DB35">
        <f>ROUND((ROUND(AT35*CZ35,2)*0),2)</f>
        <v>0</v>
      </c>
      <c r="DC35">
        <f>ROUND((ROUND(AT35*AG35,2)*0),2)</f>
        <v>0</v>
      </c>
    </row>
    <row r="36" spans="1:107" x14ac:dyDescent="0.2">
      <c r="A36">
        <f>ROW(Source!A37)</f>
        <v>37</v>
      </c>
      <c r="B36">
        <v>16812721</v>
      </c>
      <c r="C36">
        <v>16813044</v>
      </c>
      <c r="D36">
        <v>15170447</v>
      </c>
      <c r="E36">
        <v>1</v>
      </c>
      <c r="F36">
        <v>1</v>
      </c>
      <c r="G36">
        <v>1</v>
      </c>
      <c r="H36">
        <v>3</v>
      </c>
      <c r="I36" t="s">
        <v>821</v>
      </c>
      <c r="J36" t="s">
        <v>822</v>
      </c>
      <c r="K36" t="s">
        <v>823</v>
      </c>
      <c r="L36">
        <v>1348</v>
      </c>
      <c r="N36">
        <v>1009</v>
      </c>
      <c r="O36" t="s">
        <v>145</v>
      </c>
      <c r="P36" t="s">
        <v>145</v>
      </c>
      <c r="Q36">
        <v>1000</v>
      </c>
      <c r="W36">
        <v>0</v>
      </c>
      <c r="X36">
        <v>-34039275</v>
      </c>
      <c r="Y36">
        <v>0</v>
      </c>
      <c r="AA36">
        <v>76158.5</v>
      </c>
      <c r="AB36">
        <v>0</v>
      </c>
      <c r="AC36">
        <v>0</v>
      </c>
      <c r="AD36">
        <v>0</v>
      </c>
      <c r="AE36">
        <v>11350</v>
      </c>
      <c r="AF36">
        <v>0</v>
      </c>
      <c r="AG36">
        <v>0</v>
      </c>
      <c r="AH36">
        <v>0</v>
      </c>
      <c r="AI36">
        <v>6.71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8.4000000000000003E-4</v>
      </c>
      <c r="AU36" t="s">
        <v>31</v>
      </c>
      <c r="AV36">
        <v>0</v>
      </c>
      <c r="AW36">
        <v>2</v>
      </c>
      <c r="AX36">
        <v>16813059</v>
      </c>
      <c r="AY36">
        <v>1</v>
      </c>
      <c r="AZ36">
        <v>0</v>
      </c>
      <c r="BA36">
        <v>41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Y36*Source!I37</f>
        <v>0</v>
      </c>
      <c r="CY36">
        <f>AA36</f>
        <v>76158.5</v>
      </c>
      <c r="CZ36">
        <f>AE36</f>
        <v>11350</v>
      </c>
      <c r="DA36">
        <f>AI36</f>
        <v>6.71</v>
      </c>
      <c r="DB36">
        <f>ROUND((ROUND(AT36*CZ36,2)*0),2)</f>
        <v>0</v>
      </c>
      <c r="DC36">
        <f>ROUND((ROUND(AT36*AG36,2)*0),2)</f>
        <v>0</v>
      </c>
    </row>
    <row r="37" spans="1:107" x14ac:dyDescent="0.2">
      <c r="A37">
        <f>ROW(Source!A37)</f>
        <v>37</v>
      </c>
      <c r="B37">
        <v>16812721</v>
      </c>
      <c r="C37">
        <v>16813044</v>
      </c>
      <c r="D37">
        <v>15171018</v>
      </c>
      <c r="E37">
        <v>1</v>
      </c>
      <c r="F37">
        <v>1</v>
      </c>
      <c r="G37">
        <v>1</v>
      </c>
      <c r="H37">
        <v>3</v>
      </c>
      <c r="I37" t="s">
        <v>824</v>
      </c>
      <c r="J37" t="s">
        <v>825</v>
      </c>
      <c r="K37" t="s">
        <v>826</v>
      </c>
      <c r="L37">
        <v>1346</v>
      </c>
      <c r="N37">
        <v>1009</v>
      </c>
      <c r="O37" t="s">
        <v>277</v>
      </c>
      <c r="P37" t="s">
        <v>277</v>
      </c>
      <c r="Q37">
        <v>1</v>
      </c>
      <c r="W37">
        <v>0</v>
      </c>
      <c r="X37">
        <v>813963326</v>
      </c>
      <c r="Y37">
        <v>0</v>
      </c>
      <c r="AA37">
        <v>12.21</v>
      </c>
      <c r="AB37">
        <v>0</v>
      </c>
      <c r="AC37">
        <v>0</v>
      </c>
      <c r="AD37">
        <v>0</v>
      </c>
      <c r="AE37">
        <v>1.82</v>
      </c>
      <c r="AF37">
        <v>0</v>
      </c>
      <c r="AG37">
        <v>0</v>
      </c>
      <c r="AH37">
        <v>0</v>
      </c>
      <c r="AI37">
        <v>6.71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0.2</v>
      </c>
      <c r="AU37" t="s">
        <v>31</v>
      </c>
      <c r="AV37">
        <v>0</v>
      </c>
      <c r="AW37">
        <v>2</v>
      </c>
      <c r="AX37">
        <v>16813060</v>
      </c>
      <c r="AY37">
        <v>1</v>
      </c>
      <c r="AZ37">
        <v>0</v>
      </c>
      <c r="BA37">
        <v>42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Y37*Source!I37</f>
        <v>0</v>
      </c>
      <c r="CY37">
        <f>AA37</f>
        <v>12.21</v>
      </c>
      <c r="CZ37">
        <f>AE37</f>
        <v>1.82</v>
      </c>
      <c r="DA37">
        <f>AI37</f>
        <v>6.71</v>
      </c>
      <c r="DB37">
        <f>ROUND((ROUND(AT37*CZ37,2)*0),2)</f>
        <v>0</v>
      </c>
      <c r="DC37">
        <f>ROUND((ROUND(AT37*AG37,2)*0),2)</f>
        <v>0</v>
      </c>
    </row>
    <row r="38" spans="1:107" x14ac:dyDescent="0.2">
      <c r="A38">
        <f>ROW(Source!A37)</f>
        <v>37</v>
      </c>
      <c r="B38">
        <v>16812721</v>
      </c>
      <c r="C38">
        <v>16813044</v>
      </c>
      <c r="D38">
        <v>15203980</v>
      </c>
      <c r="E38">
        <v>1</v>
      </c>
      <c r="F38">
        <v>1</v>
      </c>
      <c r="G38">
        <v>1</v>
      </c>
      <c r="H38">
        <v>3</v>
      </c>
      <c r="I38" t="s">
        <v>827</v>
      </c>
      <c r="J38" t="s">
        <v>828</v>
      </c>
      <c r="K38" t="s">
        <v>829</v>
      </c>
      <c r="L38">
        <v>1348</v>
      </c>
      <c r="N38">
        <v>1009</v>
      </c>
      <c r="O38" t="s">
        <v>145</v>
      </c>
      <c r="P38" t="s">
        <v>145</v>
      </c>
      <c r="Q38">
        <v>1000</v>
      </c>
      <c r="W38">
        <v>0</v>
      </c>
      <c r="X38">
        <v>307837237</v>
      </c>
      <c r="Y38">
        <v>0</v>
      </c>
      <c r="AA38">
        <v>225724.4</v>
      </c>
      <c r="AB38">
        <v>0</v>
      </c>
      <c r="AC38">
        <v>0</v>
      </c>
      <c r="AD38">
        <v>0</v>
      </c>
      <c r="AE38">
        <v>33640</v>
      </c>
      <c r="AF38">
        <v>0</v>
      </c>
      <c r="AG38">
        <v>0</v>
      </c>
      <c r="AH38">
        <v>0</v>
      </c>
      <c r="AI38">
        <v>6.71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1.1000000000000001E-3</v>
      </c>
      <c r="AU38" t="s">
        <v>31</v>
      </c>
      <c r="AV38">
        <v>0</v>
      </c>
      <c r="AW38">
        <v>2</v>
      </c>
      <c r="AX38">
        <v>16813062</v>
      </c>
      <c r="AY38">
        <v>1</v>
      </c>
      <c r="AZ38">
        <v>0</v>
      </c>
      <c r="BA38">
        <v>44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Y38*Source!I37</f>
        <v>0</v>
      </c>
      <c r="CY38">
        <f>AA38</f>
        <v>225724.4</v>
      </c>
      <c r="CZ38">
        <f>AE38</f>
        <v>33640</v>
      </c>
      <c r="DA38">
        <f>AI38</f>
        <v>6.71</v>
      </c>
      <c r="DB38">
        <f>ROUND((ROUND(AT38*CZ38,2)*0),2)</f>
        <v>0</v>
      </c>
      <c r="DC38">
        <f>ROUND((ROUND(AT38*AG38,2)*0),2)</f>
        <v>0</v>
      </c>
    </row>
    <row r="39" spans="1:107" x14ac:dyDescent="0.2">
      <c r="A39">
        <f>ROW(Source!A37)</f>
        <v>37</v>
      </c>
      <c r="B39">
        <v>16812721</v>
      </c>
      <c r="C39">
        <v>16813044</v>
      </c>
      <c r="D39">
        <v>15204665</v>
      </c>
      <c r="E39">
        <v>1</v>
      </c>
      <c r="F39">
        <v>1</v>
      </c>
      <c r="G39">
        <v>1</v>
      </c>
      <c r="H39">
        <v>3</v>
      </c>
      <c r="I39" t="s">
        <v>830</v>
      </c>
      <c r="J39" t="s">
        <v>831</v>
      </c>
      <c r="K39" t="s">
        <v>832</v>
      </c>
      <c r="L39">
        <v>1348</v>
      </c>
      <c r="N39">
        <v>1009</v>
      </c>
      <c r="O39" t="s">
        <v>145</v>
      </c>
      <c r="P39" t="s">
        <v>145</v>
      </c>
      <c r="Q39">
        <v>1000</v>
      </c>
      <c r="W39">
        <v>0</v>
      </c>
      <c r="X39">
        <v>1237311677</v>
      </c>
      <c r="Y39">
        <v>0</v>
      </c>
      <c r="AA39">
        <v>36770.129999999997</v>
      </c>
      <c r="AB39">
        <v>0</v>
      </c>
      <c r="AC39">
        <v>0</v>
      </c>
      <c r="AD39">
        <v>0</v>
      </c>
      <c r="AE39">
        <v>5479.9</v>
      </c>
      <c r="AF39">
        <v>0</v>
      </c>
      <c r="AG39">
        <v>0</v>
      </c>
      <c r="AH39">
        <v>0</v>
      </c>
      <c r="AI39">
        <v>6.71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3.0000000000000001E-3</v>
      </c>
      <c r="AU39" t="s">
        <v>31</v>
      </c>
      <c r="AV39">
        <v>0</v>
      </c>
      <c r="AW39">
        <v>2</v>
      </c>
      <c r="AX39">
        <v>16813063</v>
      </c>
      <c r="AY39">
        <v>1</v>
      </c>
      <c r="AZ39">
        <v>0</v>
      </c>
      <c r="BA39">
        <v>45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Y39*Source!I37</f>
        <v>0</v>
      </c>
      <c r="CY39">
        <f>AA39</f>
        <v>36770.129999999997</v>
      </c>
      <c r="CZ39">
        <f>AE39</f>
        <v>5479.9</v>
      </c>
      <c r="DA39">
        <f>AI39</f>
        <v>6.71</v>
      </c>
      <c r="DB39">
        <f>ROUND((ROUND(AT39*CZ39,2)*0),2)</f>
        <v>0</v>
      </c>
      <c r="DC39">
        <f>ROUND((ROUND(AT39*AG39,2)*0),2)</f>
        <v>0</v>
      </c>
    </row>
    <row r="40" spans="1:107" x14ac:dyDescent="0.2">
      <c r="A40">
        <f>ROW(Source!A38)</f>
        <v>38</v>
      </c>
      <c r="B40">
        <v>16812721</v>
      </c>
      <c r="C40">
        <v>16813084</v>
      </c>
      <c r="D40">
        <v>15436556</v>
      </c>
      <c r="E40">
        <v>1</v>
      </c>
      <c r="F40">
        <v>1</v>
      </c>
      <c r="G40">
        <v>1</v>
      </c>
      <c r="H40">
        <v>1</v>
      </c>
      <c r="I40" t="s">
        <v>833</v>
      </c>
      <c r="J40" t="s">
        <v>6</v>
      </c>
      <c r="K40" t="s">
        <v>834</v>
      </c>
      <c r="L40">
        <v>1191</v>
      </c>
      <c r="N40">
        <v>1013</v>
      </c>
      <c r="O40" t="s">
        <v>773</v>
      </c>
      <c r="P40" t="s">
        <v>773</v>
      </c>
      <c r="Q40">
        <v>1</v>
      </c>
      <c r="W40">
        <v>0</v>
      </c>
      <c r="X40">
        <v>1069510174</v>
      </c>
      <c r="Y40">
        <v>1.1199999999999999</v>
      </c>
      <c r="AA40">
        <v>0</v>
      </c>
      <c r="AB40">
        <v>0</v>
      </c>
      <c r="AC40">
        <v>0</v>
      </c>
      <c r="AD40">
        <v>64.55</v>
      </c>
      <c r="AE40">
        <v>0</v>
      </c>
      <c r="AF40">
        <v>0</v>
      </c>
      <c r="AG40">
        <v>0</v>
      </c>
      <c r="AH40">
        <v>9.6199999999999992</v>
      </c>
      <c r="AI40">
        <v>1</v>
      </c>
      <c r="AJ40">
        <v>1</v>
      </c>
      <c r="AK40">
        <v>1</v>
      </c>
      <c r="AL40">
        <v>6.71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2.8</v>
      </c>
      <c r="AU40" t="s">
        <v>74</v>
      </c>
      <c r="AV40">
        <v>1</v>
      </c>
      <c r="AW40">
        <v>2</v>
      </c>
      <c r="AX40">
        <v>16813087</v>
      </c>
      <c r="AY40">
        <v>1</v>
      </c>
      <c r="AZ40">
        <v>0</v>
      </c>
      <c r="BA40">
        <v>46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Y40*Source!I38</f>
        <v>0.11199999999999999</v>
      </c>
      <c r="CY40">
        <f>AD40</f>
        <v>64.55</v>
      </c>
      <c r="CZ40">
        <f>AH40</f>
        <v>9.6199999999999992</v>
      </c>
      <c r="DA40">
        <f>AL40</f>
        <v>6.71</v>
      </c>
      <c r="DB40">
        <f>ROUND((ROUND(AT40*CZ40,2)*0.4),2)</f>
        <v>10.78</v>
      </c>
      <c r="DC40">
        <f>ROUND((ROUND(AT40*AG40,2)*0.4),2)</f>
        <v>0</v>
      </c>
    </row>
    <row r="41" spans="1:107" x14ac:dyDescent="0.2">
      <c r="A41">
        <f>ROW(Source!A38)</f>
        <v>38</v>
      </c>
      <c r="B41">
        <v>16812721</v>
      </c>
      <c r="C41">
        <v>16813084</v>
      </c>
      <c r="D41">
        <v>15189796</v>
      </c>
      <c r="E41">
        <v>1</v>
      </c>
      <c r="F41">
        <v>1</v>
      </c>
      <c r="G41">
        <v>1</v>
      </c>
      <c r="H41">
        <v>3</v>
      </c>
      <c r="I41" t="s">
        <v>835</v>
      </c>
      <c r="J41" t="s">
        <v>836</v>
      </c>
      <c r="K41" t="s">
        <v>837</v>
      </c>
      <c r="L41">
        <v>1348</v>
      </c>
      <c r="N41">
        <v>1009</v>
      </c>
      <c r="O41" t="s">
        <v>145</v>
      </c>
      <c r="P41" t="s">
        <v>145</v>
      </c>
      <c r="Q41">
        <v>1000</v>
      </c>
      <c r="W41">
        <v>0</v>
      </c>
      <c r="X41">
        <v>-1756095795</v>
      </c>
      <c r="Y41">
        <v>0</v>
      </c>
      <c r="AA41">
        <v>40186.19</v>
      </c>
      <c r="AB41">
        <v>0</v>
      </c>
      <c r="AC41">
        <v>0</v>
      </c>
      <c r="AD41">
        <v>0</v>
      </c>
      <c r="AE41">
        <v>5989</v>
      </c>
      <c r="AF41">
        <v>0</v>
      </c>
      <c r="AG41">
        <v>0</v>
      </c>
      <c r="AH41">
        <v>0</v>
      </c>
      <c r="AI41">
        <v>6.71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1E-4</v>
      </c>
      <c r="AU41" t="s">
        <v>31</v>
      </c>
      <c r="AV41">
        <v>0</v>
      </c>
      <c r="AW41">
        <v>2</v>
      </c>
      <c r="AX41">
        <v>16813090</v>
      </c>
      <c r="AY41">
        <v>1</v>
      </c>
      <c r="AZ41">
        <v>0</v>
      </c>
      <c r="BA41">
        <v>49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Y41*Source!I38</f>
        <v>0</v>
      </c>
      <c r="CY41">
        <f>AA41</f>
        <v>40186.19</v>
      </c>
      <c r="CZ41">
        <f>AE41</f>
        <v>5989</v>
      </c>
      <c r="DA41">
        <f>AI41</f>
        <v>6.71</v>
      </c>
      <c r="DB41">
        <f>ROUND((ROUND(AT41*CZ41,2)*0),2)</f>
        <v>0</v>
      </c>
      <c r="DC41">
        <f>ROUND((ROUND(AT41*AG41,2)*0),2)</f>
        <v>0</v>
      </c>
    </row>
    <row r="42" spans="1:107" x14ac:dyDescent="0.2">
      <c r="A42">
        <f>ROW(Source!A39)</f>
        <v>39</v>
      </c>
      <c r="B42">
        <v>16812721</v>
      </c>
      <c r="C42">
        <v>16813092</v>
      </c>
      <c r="D42">
        <v>15436556</v>
      </c>
      <c r="E42">
        <v>1</v>
      </c>
      <c r="F42">
        <v>1</v>
      </c>
      <c r="G42">
        <v>1</v>
      </c>
      <c r="H42">
        <v>1</v>
      </c>
      <c r="I42" t="s">
        <v>833</v>
      </c>
      <c r="J42" t="s">
        <v>6</v>
      </c>
      <c r="K42" t="s">
        <v>834</v>
      </c>
      <c r="L42">
        <v>1191</v>
      </c>
      <c r="N42">
        <v>1013</v>
      </c>
      <c r="O42" t="s">
        <v>773</v>
      </c>
      <c r="P42" t="s">
        <v>773</v>
      </c>
      <c r="Q42">
        <v>1</v>
      </c>
      <c r="W42">
        <v>0</v>
      </c>
      <c r="X42">
        <v>1069510174</v>
      </c>
      <c r="Y42">
        <v>2.8</v>
      </c>
      <c r="AA42">
        <v>0</v>
      </c>
      <c r="AB42">
        <v>0</v>
      </c>
      <c r="AC42">
        <v>0</v>
      </c>
      <c r="AD42">
        <v>64.55</v>
      </c>
      <c r="AE42">
        <v>0</v>
      </c>
      <c r="AF42">
        <v>0</v>
      </c>
      <c r="AG42">
        <v>0</v>
      </c>
      <c r="AH42">
        <v>9.6199999999999992</v>
      </c>
      <c r="AI42">
        <v>1</v>
      </c>
      <c r="AJ42">
        <v>1</v>
      </c>
      <c r="AK42">
        <v>1</v>
      </c>
      <c r="AL42">
        <v>6.71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2.8</v>
      </c>
      <c r="AU42" t="s">
        <v>6</v>
      </c>
      <c r="AV42">
        <v>1</v>
      </c>
      <c r="AW42">
        <v>2</v>
      </c>
      <c r="AX42">
        <v>16813096</v>
      </c>
      <c r="AY42">
        <v>1</v>
      </c>
      <c r="AZ42">
        <v>0</v>
      </c>
      <c r="BA42">
        <v>51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0.55999999999999994</v>
      </c>
      <c r="CY42">
        <f>AD42</f>
        <v>64.55</v>
      </c>
      <c r="CZ42">
        <f>AH42</f>
        <v>9.6199999999999992</v>
      </c>
      <c r="DA42">
        <f>AL42</f>
        <v>6.71</v>
      </c>
      <c r="DB42">
        <f>ROUND(ROUND(AT42*CZ42,2),2)</f>
        <v>26.94</v>
      </c>
      <c r="DC42">
        <f>ROUND(ROUND(AT42*AG42,2),2)</f>
        <v>0</v>
      </c>
    </row>
    <row r="43" spans="1:107" x14ac:dyDescent="0.2">
      <c r="A43">
        <f>ROW(Source!A39)</f>
        <v>39</v>
      </c>
      <c r="B43">
        <v>16812721</v>
      </c>
      <c r="C43">
        <v>16813092</v>
      </c>
      <c r="D43">
        <v>15189796</v>
      </c>
      <c r="E43">
        <v>1</v>
      </c>
      <c r="F43">
        <v>1</v>
      </c>
      <c r="G43">
        <v>1</v>
      </c>
      <c r="H43">
        <v>3</v>
      </c>
      <c r="I43" t="s">
        <v>835</v>
      </c>
      <c r="J43" t="s">
        <v>836</v>
      </c>
      <c r="K43" t="s">
        <v>837</v>
      </c>
      <c r="L43">
        <v>1348</v>
      </c>
      <c r="N43">
        <v>1009</v>
      </c>
      <c r="O43" t="s">
        <v>145</v>
      </c>
      <c r="P43" t="s">
        <v>145</v>
      </c>
      <c r="Q43">
        <v>1000</v>
      </c>
      <c r="W43">
        <v>0</v>
      </c>
      <c r="X43">
        <v>-1756095795</v>
      </c>
      <c r="Y43">
        <v>1E-4</v>
      </c>
      <c r="AA43">
        <v>40186.19</v>
      </c>
      <c r="AB43">
        <v>0</v>
      </c>
      <c r="AC43">
        <v>0</v>
      </c>
      <c r="AD43">
        <v>0</v>
      </c>
      <c r="AE43">
        <v>5989</v>
      </c>
      <c r="AF43">
        <v>0</v>
      </c>
      <c r="AG43">
        <v>0</v>
      </c>
      <c r="AH43">
        <v>0</v>
      </c>
      <c r="AI43">
        <v>6.71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1E-4</v>
      </c>
      <c r="AU43" t="s">
        <v>6</v>
      </c>
      <c r="AV43">
        <v>0</v>
      </c>
      <c r="AW43">
        <v>2</v>
      </c>
      <c r="AX43">
        <v>16813099</v>
      </c>
      <c r="AY43">
        <v>1</v>
      </c>
      <c r="AZ43">
        <v>0</v>
      </c>
      <c r="BA43">
        <v>54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Y43*Source!I39</f>
        <v>2.0000000000000002E-5</v>
      </c>
      <c r="CY43">
        <f>AA43</f>
        <v>40186.19</v>
      </c>
      <c r="CZ43">
        <f>AE43</f>
        <v>5989</v>
      </c>
      <c r="DA43">
        <f>AI43</f>
        <v>6.71</v>
      </c>
      <c r="DB43">
        <f>ROUND(ROUND(AT43*CZ43,2),2)</f>
        <v>0.6</v>
      </c>
      <c r="DC43">
        <f>ROUND(ROUND(AT43*AG43,2),2)</f>
        <v>0</v>
      </c>
    </row>
    <row r="44" spans="1:107" x14ac:dyDescent="0.2">
      <c r="A44">
        <f>ROW(Source!A39)</f>
        <v>39</v>
      </c>
      <c r="B44">
        <v>16812721</v>
      </c>
      <c r="C44">
        <v>16813092</v>
      </c>
      <c r="D44">
        <v>15211932</v>
      </c>
      <c r="E44">
        <v>1</v>
      </c>
      <c r="F44">
        <v>1</v>
      </c>
      <c r="G44">
        <v>1</v>
      </c>
      <c r="H44">
        <v>3</v>
      </c>
      <c r="I44" t="s">
        <v>98</v>
      </c>
      <c r="J44" t="s">
        <v>100</v>
      </c>
      <c r="K44" t="s">
        <v>99</v>
      </c>
      <c r="L44">
        <v>1354</v>
      </c>
      <c r="N44">
        <v>1010</v>
      </c>
      <c r="O44" t="s">
        <v>62</v>
      </c>
      <c r="P44" t="s">
        <v>62</v>
      </c>
      <c r="Q44">
        <v>1</v>
      </c>
      <c r="W44">
        <v>0</v>
      </c>
      <c r="X44">
        <v>2053814225</v>
      </c>
      <c r="Y44">
        <v>10</v>
      </c>
      <c r="AA44">
        <v>25.1</v>
      </c>
      <c r="AB44">
        <v>0</v>
      </c>
      <c r="AC44">
        <v>0</v>
      </c>
      <c r="AD44">
        <v>0</v>
      </c>
      <c r="AE44">
        <v>3.74</v>
      </c>
      <c r="AF44">
        <v>0</v>
      </c>
      <c r="AG44">
        <v>0</v>
      </c>
      <c r="AH44">
        <v>0</v>
      </c>
      <c r="AI44">
        <v>6.71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</v>
      </c>
      <c r="AT44">
        <v>10</v>
      </c>
      <c r="AU44" t="s">
        <v>6</v>
      </c>
      <c r="AV44">
        <v>0</v>
      </c>
      <c r="AW44">
        <v>1</v>
      </c>
      <c r="AX44">
        <v>-1</v>
      </c>
      <c r="AY44">
        <v>0</v>
      </c>
      <c r="AZ44">
        <v>0</v>
      </c>
      <c r="BA44" t="s">
        <v>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Y44*Source!I39</f>
        <v>2</v>
      </c>
      <c r="CY44">
        <f>AA44</f>
        <v>25.1</v>
      </c>
      <c r="CZ44">
        <f>AE44</f>
        <v>3.74</v>
      </c>
      <c r="DA44">
        <f>AI44</f>
        <v>6.71</v>
      </c>
      <c r="DB44">
        <f>ROUND(ROUND(AT44*CZ44,2),2)</f>
        <v>37.4</v>
      </c>
      <c r="DC44">
        <f>ROUND(ROUND(AT44*AG44,2),2)</f>
        <v>0</v>
      </c>
    </row>
    <row r="45" spans="1:107" x14ac:dyDescent="0.2">
      <c r="A45">
        <f>ROW(Source!A41)</f>
        <v>41</v>
      </c>
      <c r="B45">
        <v>16812721</v>
      </c>
      <c r="C45">
        <v>16813102</v>
      </c>
      <c r="D45">
        <v>15446300</v>
      </c>
      <c r="E45">
        <v>1</v>
      </c>
      <c r="F45">
        <v>1</v>
      </c>
      <c r="G45">
        <v>1</v>
      </c>
      <c r="H45">
        <v>1</v>
      </c>
      <c r="I45" t="s">
        <v>780</v>
      </c>
      <c r="J45" t="s">
        <v>6</v>
      </c>
      <c r="K45" t="s">
        <v>781</v>
      </c>
      <c r="L45">
        <v>1191</v>
      </c>
      <c r="N45">
        <v>1013</v>
      </c>
      <c r="O45" t="s">
        <v>773</v>
      </c>
      <c r="P45" t="s">
        <v>773</v>
      </c>
      <c r="Q45">
        <v>1</v>
      </c>
      <c r="W45">
        <v>0</v>
      </c>
      <c r="X45">
        <v>912892513</v>
      </c>
      <c r="Y45">
        <v>2.76</v>
      </c>
      <c r="AA45">
        <v>0</v>
      </c>
      <c r="AB45">
        <v>0</v>
      </c>
      <c r="AC45">
        <v>0</v>
      </c>
      <c r="AD45">
        <v>66.56</v>
      </c>
      <c r="AE45">
        <v>0</v>
      </c>
      <c r="AF45">
        <v>0</v>
      </c>
      <c r="AG45">
        <v>0</v>
      </c>
      <c r="AH45">
        <v>9.92</v>
      </c>
      <c r="AI45">
        <v>1</v>
      </c>
      <c r="AJ45">
        <v>1</v>
      </c>
      <c r="AK45">
        <v>1</v>
      </c>
      <c r="AL45">
        <v>6.71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2.4</v>
      </c>
      <c r="AU45" t="s">
        <v>104</v>
      </c>
      <c r="AV45">
        <v>1</v>
      </c>
      <c r="AW45">
        <v>2</v>
      </c>
      <c r="AX45">
        <v>16813112</v>
      </c>
      <c r="AY45">
        <v>1</v>
      </c>
      <c r="AZ45">
        <v>0</v>
      </c>
      <c r="BA45">
        <v>56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Y45*Source!I41</f>
        <v>31.546799999999998</v>
      </c>
      <c r="CY45">
        <f>AD45</f>
        <v>66.56</v>
      </c>
      <c r="CZ45">
        <f>AH45</f>
        <v>9.92</v>
      </c>
      <c r="DA45">
        <f>AL45</f>
        <v>6.71</v>
      </c>
      <c r="DB45">
        <f>ROUND((ROUND(AT45*CZ45,2)*1.15),2)</f>
        <v>27.38</v>
      </c>
      <c r="DC45">
        <f>ROUND((ROUND(AT45*AG45,2)*1.15),2)</f>
        <v>0</v>
      </c>
    </row>
    <row r="46" spans="1:107" x14ac:dyDescent="0.2">
      <c r="A46">
        <f>ROW(Source!A41)</f>
        <v>41</v>
      </c>
      <c r="B46">
        <v>16812721</v>
      </c>
      <c r="C46">
        <v>16813102</v>
      </c>
      <c r="D46">
        <v>15430395</v>
      </c>
      <c r="E46">
        <v>1</v>
      </c>
      <c r="F46">
        <v>1</v>
      </c>
      <c r="G46">
        <v>1</v>
      </c>
      <c r="H46">
        <v>1</v>
      </c>
      <c r="I46" t="s">
        <v>774</v>
      </c>
      <c r="J46" t="s">
        <v>6</v>
      </c>
      <c r="K46" t="s">
        <v>775</v>
      </c>
      <c r="L46">
        <v>1191</v>
      </c>
      <c r="N46">
        <v>1013</v>
      </c>
      <c r="O46" t="s">
        <v>773</v>
      </c>
      <c r="P46" t="s">
        <v>773</v>
      </c>
      <c r="Q46">
        <v>1</v>
      </c>
      <c r="W46">
        <v>0</v>
      </c>
      <c r="X46">
        <v>-1417349443</v>
      </c>
      <c r="Y46">
        <v>0.17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6.71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0.17</v>
      </c>
      <c r="AU46" t="s">
        <v>6</v>
      </c>
      <c r="AV46">
        <v>2</v>
      </c>
      <c r="AW46">
        <v>2</v>
      </c>
      <c r="AX46">
        <v>16813113</v>
      </c>
      <c r="AY46">
        <v>1</v>
      </c>
      <c r="AZ46">
        <v>2048</v>
      </c>
      <c r="BA46">
        <v>57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Y46*Source!I41</f>
        <v>1.9431</v>
      </c>
      <c r="CY46">
        <f>AD46</f>
        <v>0</v>
      </c>
      <c r="CZ46">
        <f>AH46</f>
        <v>0</v>
      </c>
      <c r="DA46">
        <f>AL46</f>
        <v>1</v>
      </c>
      <c r="DB46">
        <f>ROUND(ROUND(AT46*CZ46,2),2)</f>
        <v>0</v>
      </c>
      <c r="DC46">
        <f>ROUND(ROUND(AT46*AG46,2),2)</f>
        <v>0</v>
      </c>
    </row>
    <row r="47" spans="1:107" x14ac:dyDescent="0.2">
      <c r="A47">
        <f>ROW(Source!A41)</f>
        <v>41</v>
      </c>
      <c r="B47">
        <v>16812721</v>
      </c>
      <c r="C47">
        <v>16813102</v>
      </c>
      <c r="D47">
        <v>15249073</v>
      </c>
      <c r="E47">
        <v>1</v>
      </c>
      <c r="F47">
        <v>1</v>
      </c>
      <c r="G47">
        <v>1</v>
      </c>
      <c r="H47">
        <v>2</v>
      </c>
      <c r="I47" t="s">
        <v>782</v>
      </c>
      <c r="J47" t="s">
        <v>783</v>
      </c>
      <c r="K47" t="s">
        <v>784</v>
      </c>
      <c r="L47">
        <v>1368</v>
      </c>
      <c r="N47">
        <v>1011</v>
      </c>
      <c r="O47" t="s">
        <v>779</v>
      </c>
      <c r="P47" t="s">
        <v>779</v>
      </c>
      <c r="Q47">
        <v>1</v>
      </c>
      <c r="W47">
        <v>0</v>
      </c>
      <c r="X47">
        <v>1372534845</v>
      </c>
      <c r="Y47">
        <v>0.21250000000000002</v>
      </c>
      <c r="AA47">
        <v>0</v>
      </c>
      <c r="AB47">
        <v>440.91</v>
      </c>
      <c r="AC47">
        <v>11.6</v>
      </c>
      <c r="AD47">
        <v>0</v>
      </c>
      <c r="AE47">
        <v>0</v>
      </c>
      <c r="AF47">
        <v>65.709999999999994</v>
      </c>
      <c r="AG47">
        <v>11.6</v>
      </c>
      <c r="AH47">
        <v>0</v>
      </c>
      <c r="AI47">
        <v>1</v>
      </c>
      <c r="AJ47">
        <v>6.71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0.17</v>
      </c>
      <c r="AU47" t="s">
        <v>103</v>
      </c>
      <c r="AV47">
        <v>0</v>
      </c>
      <c r="AW47">
        <v>2</v>
      </c>
      <c r="AX47">
        <v>16813114</v>
      </c>
      <c r="AY47">
        <v>1</v>
      </c>
      <c r="AZ47">
        <v>0</v>
      </c>
      <c r="BA47">
        <v>58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Y47*Source!I41</f>
        <v>2.4288750000000001</v>
      </c>
      <c r="CY47">
        <f>AB47</f>
        <v>440.91</v>
      </c>
      <c r="CZ47">
        <f>AF47</f>
        <v>65.709999999999994</v>
      </c>
      <c r="DA47">
        <f>AJ47</f>
        <v>6.71</v>
      </c>
      <c r="DB47">
        <f>ROUND((ROUND(AT47*CZ47,2)*1.25),2)</f>
        <v>13.96</v>
      </c>
      <c r="DC47">
        <f>ROUND((ROUND(AT47*AG47,2)*1.25),2)</f>
        <v>2.46</v>
      </c>
    </row>
    <row r="48" spans="1:107" x14ac:dyDescent="0.2">
      <c r="A48">
        <f>ROW(Source!A41)</f>
        <v>41</v>
      </c>
      <c r="B48">
        <v>16812721</v>
      </c>
      <c r="C48">
        <v>16813102</v>
      </c>
      <c r="D48">
        <v>15249377</v>
      </c>
      <c r="E48">
        <v>1</v>
      </c>
      <c r="F48">
        <v>1</v>
      </c>
      <c r="G48">
        <v>1</v>
      </c>
      <c r="H48">
        <v>2</v>
      </c>
      <c r="I48" t="s">
        <v>785</v>
      </c>
      <c r="J48" t="s">
        <v>786</v>
      </c>
      <c r="K48" t="s">
        <v>787</v>
      </c>
      <c r="L48">
        <v>1368</v>
      </c>
      <c r="N48">
        <v>1011</v>
      </c>
      <c r="O48" t="s">
        <v>779</v>
      </c>
      <c r="P48" t="s">
        <v>779</v>
      </c>
      <c r="Q48">
        <v>1</v>
      </c>
      <c r="W48">
        <v>0</v>
      </c>
      <c r="X48">
        <v>-353815937</v>
      </c>
      <c r="Y48">
        <v>0.5</v>
      </c>
      <c r="AA48">
        <v>0</v>
      </c>
      <c r="AB48">
        <v>54.35</v>
      </c>
      <c r="AC48">
        <v>0</v>
      </c>
      <c r="AD48">
        <v>0</v>
      </c>
      <c r="AE48">
        <v>0</v>
      </c>
      <c r="AF48">
        <v>8.1</v>
      </c>
      <c r="AG48">
        <v>0</v>
      </c>
      <c r="AH48">
        <v>0</v>
      </c>
      <c r="AI48">
        <v>1</v>
      </c>
      <c r="AJ48">
        <v>6.71</v>
      </c>
      <c r="AK48">
        <v>1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6</v>
      </c>
      <c r="AT48">
        <v>0.4</v>
      </c>
      <c r="AU48" t="s">
        <v>103</v>
      </c>
      <c r="AV48">
        <v>0</v>
      </c>
      <c r="AW48">
        <v>2</v>
      </c>
      <c r="AX48">
        <v>16813115</v>
      </c>
      <c r="AY48">
        <v>1</v>
      </c>
      <c r="AZ48">
        <v>0</v>
      </c>
      <c r="BA48">
        <v>59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Y48*Source!I41</f>
        <v>5.7149999999999999</v>
      </c>
      <c r="CY48">
        <f>AB48</f>
        <v>54.35</v>
      </c>
      <c r="CZ48">
        <f>AF48</f>
        <v>8.1</v>
      </c>
      <c r="DA48">
        <f>AJ48</f>
        <v>6.71</v>
      </c>
      <c r="DB48">
        <f>ROUND((ROUND(AT48*CZ48,2)*1.25),2)</f>
        <v>4.05</v>
      </c>
      <c r="DC48">
        <f>ROUND((ROUND(AT48*AG48,2)*1.25),2)</f>
        <v>0</v>
      </c>
    </row>
    <row r="49" spans="1:107" x14ac:dyDescent="0.2">
      <c r="A49">
        <f>ROW(Source!A41)</f>
        <v>41</v>
      </c>
      <c r="B49">
        <v>16812721</v>
      </c>
      <c r="C49">
        <v>16813102</v>
      </c>
      <c r="D49">
        <v>15168750</v>
      </c>
      <c r="E49">
        <v>1</v>
      </c>
      <c r="F49">
        <v>1</v>
      </c>
      <c r="G49">
        <v>1</v>
      </c>
      <c r="H49">
        <v>3</v>
      </c>
      <c r="I49" t="s">
        <v>788</v>
      </c>
      <c r="J49" t="s">
        <v>789</v>
      </c>
      <c r="K49" t="s">
        <v>790</v>
      </c>
      <c r="L49">
        <v>1348</v>
      </c>
      <c r="N49">
        <v>1009</v>
      </c>
      <c r="O49" t="s">
        <v>145</v>
      </c>
      <c r="P49" t="s">
        <v>145</v>
      </c>
      <c r="Q49">
        <v>1000</v>
      </c>
      <c r="W49">
        <v>0</v>
      </c>
      <c r="X49">
        <v>-714836380</v>
      </c>
      <c r="Y49">
        <v>1E-4</v>
      </c>
      <c r="AA49">
        <v>69213.72</v>
      </c>
      <c r="AB49">
        <v>0</v>
      </c>
      <c r="AC49">
        <v>0</v>
      </c>
      <c r="AD49">
        <v>0</v>
      </c>
      <c r="AE49">
        <v>10315.01</v>
      </c>
      <c r="AF49">
        <v>0</v>
      </c>
      <c r="AG49">
        <v>0</v>
      </c>
      <c r="AH49">
        <v>0</v>
      </c>
      <c r="AI49">
        <v>6.71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0</v>
      </c>
      <c r="AQ49">
        <v>0</v>
      </c>
      <c r="AR49">
        <v>0</v>
      </c>
      <c r="AS49" t="s">
        <v>6</v>
      </c>
      <c r="AT49">
        <v>1E-4</v>
      </c>
      <c r="AU49" t="s">
        <v>6</v>
      </c>
      <c r="AV49">
        <v>0</v>
      </c>
      <c r="AW49">
        <v>2</v>
      </c>
      <c r="AX49">
        <v>16813117</v>
      </c>
      <c r="AY49">
        <v>1</v>
      </c>
      <c r="AZ49">
        <v>0</v>
      </c>
      <c r="BA49">
        <v>61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Y49*Source!I41</f>
        <v>1.1429999999999999E-3</v>
      </c>
      <c r="CY49">
        <f t="shared" ref="CY49:CY54" si="2">AA49</f>
        <v>69213.72</v>
      </c>
      <c r="CZ49">
        <f t="shared" ref="CZ49:CZ54" si="3">AE49</f>
        <v>10315.01</v>
      </c>
      <c r="DA49">
        <f t="shared" ref="DA49:DA54" si="4">AI49</f>
        <v>6.71</v>
      </c>
      <c r="DB49">
        <f t="shared" ref="DB49:DB70" si="5">ROUND(ROUND(AT49*CZ49,2),2)</f>
        <v>1.03</v>
      </c>
      <c r="DC49">
        <f t="shared" ref="DC49:DC70" si="6">ROUND(ROUND(AT49*AG49,2),2)</f>
        <v>0</v>
      </c>
    </row>
    <row r="50" spans="1:107" x14ac:dyDescent="0.2">
      <c r="A50">
        <f>ROW(Source!A41)</f>
        <v>41</v>
      </c>
      <c r="B50">
        <v>16812721</v>
      </c>
      <c r="C50">
        <v>16813102</v>
      </c>
      <c r="D50">
        <v>15187310</v>
      </c>
      <c r="E50">
        <v>1</v>
      </c>
      <c r="F50">
        <v>1</v>
      </c>
      <c r="G50">
        <v>1</v>
      </c>
      <c r="H50">
        <v>3</v>
      </c>
      <c r="I50" t="s">
        <v>115</v>
      </c>
      <c r="J50" t="s">
        <v>117</v>
      </c>
      <c r="K50" t="s">
        <v>116</v>
      </c>
      <c r="L50">
        <v>1354</v>
      </c>
      <c r="N50">
        <v>1010</v>
      </c>
      <c r="O50" t="s">
        <v>62</v>
      </c>
      <c r="P50" t="s">
        <v>62</v>
      </c>
      <c r="Q50">
        <v>1</v>
      </c>
      <c r="W50">
        <v>0</v>
      </c>
      <c r="X50">
        <v>-344083088</v>
      </c>
      <c r="Y50">
        <v>8.7488999999999997E-2</v>
      </c>
      <c r="AA50">
        <v>31923.5</v>
      </c>
      <c r="AB50">
        <v>0</v>
      </c>
      <c r="AC50">
        <v>0</v>
      </c>
      <c r="AD50">
        <v>0</v>
      </c>
      <c r="AE50">
        <v>4757.6000000000004</v>
      </c>
      <c r="AF50">
        <v>0</v>
      </c>
      <c r="AG50">
        <v>0</v>
      </c>
      <c r="AH50">
        <v>0</v>
      </c>
      <c r="AI50">
        <v>6.71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0</v>
      </c>
      <c r="AQ50">
        <v>0</v>
      </c>
      <c r="AR50">
        <v>0</v>
      </c>
      <c r="AS50" t="s">
        <v>6</v>
      </c>
      <c r="AT50">
        <v>8.7488999999999997E-2</v>
      </c>
      <c r="AU50" t="s">
        <v>6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6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Y50*Source!I41</f>
        <v>0.99999927</v>
      </c>
      <c r="CY50">
        <f t="shared" si="2"/>
        <v>31923.5</v>
      </c>
      <c r="CZ50">
        <f t="shared" si="3"/>
        <v>4757.6000000000004</v>
      </c>
      <c r="DA50">
        <f t="shared" si="4"/>
        <v>6.71</v>
      </c>
      <c r="DB50">
        <f t="shared" si="5"/>
        <v>416.24</v>
      </c>
      <c r="DC50">
        <f t="shared" si="6"/>
        <v>0</v>
      </c>
    </row>
    <row r="51" spans="1:107" x14ac:dyDescent="0.2">
      <c r="A51">
        <f>ROW(Source!A41)</f>
        <v>41</v>
      </c>
      <c r="B51">
        <v>16812721</v>
      </c>
      <c r="C51">
        <v>16813102</v>
      </c>
      <c r="D51">
        <v>0</v>
      </c>
      <c r="E51">
        <v>0</v>
      </c>
      <c r="F51">
        <v>1</v>
      </c>
      <c r="G51">
        <v>1</v>
      </c>
      <c r="H51">
        <v>3</v>
      </c>
      <c r="I51" t="s">
        <v>111</v>
      </c>
      <c r="J51" t="s">
        <v>113</v>
      </c>
      <c r="K51" t="s">
        <v>112</v>
      </c>
      <c r="L51">
        <v>1354</v>
      </c>
      <c r="N51">
        <v>1010</v>
      </c>
      <c r="O51" t="s">
        <v>62</v>
      </c>
      <c r="P51" t="s">
        <v>62</v>
      </c>
      <c r="Q51">
        <v>1</v>
      </c>
      <c r="W51">
        <v>0</v>
      </c>
      <c r="X51">
        <v>-1046900556</v>
      </c>
      <c r="Y51">
        <v>0.17497799999999999</v>
      </c>
      <c r="AA51">
        <v>36577.620000000003</v>
      </c>
      <c r="AB51">
        <v>0</v>
      </c>
      <c r="AC51">
        <v>0</v>
      </c>
      <c r="AD51">
        <v>0</v>
      </c>
      <c r="AE51">
        <v>5451.21</v>
      </c>
      <c r="AF51">
        <v>0</v>
      </c>
      <c r="AG51">
        <v>0</v>
      </c>
      <c r="AH51">
        <v>0</v>
      </c>
      <c r="AI51">
        <v>6.71</v>
      </c>
      <c r="AJ51">
        <v>1</v>
      </c>
      <c r="AK51">
        <v>1</v>
      </c>
      <c r="AL51">
        <v>1</v>
      </c>
      <c r="AN51">
        <v>0</v>
      </c>
      <c r="AO51">
        <v>0</v>
      </c>
      <c r="AP51">
        <v>0</v>
      </c>
      <c r="AQ51">
        <v>0</v>
      </c>
      <c r="AR51">
        <v>0</v>
      </c>
      <c r="AS51" t="s">
        <v>6</v>
      </c>
      <c r="AT51">
        <v>0.17497799999999999</v>
      </c>
      <c r="AU51" t="s">
        <v>6</v>
      </c>
      <c r="AV51">
        <v>0</v>
      </c>
      <c r="AW51">
        <v>1</v>
      </c>
      <c r="AX51">
        <v>-1</v>
      </c>
      <c r="AY51">
        <v>0</v>
      </c>
      <c r="AZ51">
        <v>0</v>
      </c>
      <c r="BA51" t="s">
        <v>6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Y51*Source!I41</f>
        <v>1.99999854</v>
      </c>
      <c r="CY51">
        <f t="shared" si="2"/>
        <v>36577.620000000003</v>
      </c>
      <c r="CZ51">
        <f t="shared" si="3"/>
        <v>5451.21</v>
      </c>
      <c r="DA51">
        <f t="shared" si="4"/>
        <v>6.71</v>
      </c>
      <c r="DB51">
        <f t="shared" si="5"/>
        <v>953.84</v>
      </c>
      <c r="DC51">
        <f t="shared" si="6"/>
        <v>0</v>
      </c>
    </row>
    <row r="52" spans="1:107" x14ac:dyDescent="0.2">
      <c r="A52">
        <f>ROW(Source!A41)</f>
        <v>41</v>
      </c>
      <c r="B52">
        <v>16812721</v>
      </c>
      <c r="C52">
        <v>16813102</v>
      </c>
      <c r="D52">
        <v>0</v>
      </c>
      <c r="E52">
        <v>0</v>
      </c>
      <c r="F52">
        <v>1</v>
      </c>
      <c r="G52">
        <v>1</v>
      </c>
      <c r="H52">
        <v>3</v>
      </c>
      <c r="I52" t="s">
        <v>107</v>
      </c>
      <c r="J52" t="s">
        <v>109</v>
      </c>
      <c r="K52" t="s">
        <v>108</v>
      </c>
      <c r="L52">
        <v>1354</v>
      </c>
      <c r="N52">
        <v>1010</v>
      </c>
      <c r="O52" t="s">
        <v>62</v>
      </c>
      <c r="P52" t="s">
        <v>62</v>
      </c>
      <c r="Q52">
        <v>1</v>
      </c>
      <c r="W52">
        <v>0</v>
      </c>
      <c r="X52">
        <v>-1282337098</v>
      </c>
      <c r="Y52">
        <v>8.7488999999999997E-2</v>
      </c>
      <c r="AA52">
        <v>20834.28</v>
      </c>
      <c r="AB52">
        <v>0</v>
      </c>
      <c r="AC52">
        <v>0</v>
      </c>
      <c r="AD52">
        <v>0</v>
      </c>
      <c r="AE52">
        <v>3104.96</v>
      </c>
      <c r="AF52">
        <v>0</v>
      </c>
      <c r="AG52">
        <v>0</v>
      </c>
      <c r="AH52">
        <v>0</v>
      </c>
      <c r="AI52">
        <v>6.71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6</v>
      </c>
      <c r="AT52">
        <v>8.7488999999999997E-2</v>
      </c>
      <c r="AU52" t="s">
        <v>6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6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Y52*Source!I41</f>
        <v>0.99999927</v>
      </c>
      <c r="CY52">
        <f t="shared" si="2"/>
        <v>20834.28</v>
      </c>
      <c r="CZ52">
        <f t="shared" si="3"/>
        <v>3104.96</v>
      </c>
      <c r="DA52">
        <f t="shared" si="4"/>
        <v>6.71</v>
      </c>
      <c r="DB52">
        <f t="shared" si="5"/>
        <v>271.64999999999998</v>
      </c>
      <c r="DC52">
        <f t="shared" si="6"/>
        <v>0</v>
      </c>
    </row>
    <row r="53" spans="1:107" x14ac:dyDescent="0.2">
      <c r="A53">
        <f>ROW(Source!A41)</f>
        <v>41</v>
      </c>
      <c r="B53">
        <v>16812721</v>
      </c>
      <c r="C53">
        <v>16813102</v>
      </c>
      <c r="D53">
        <v>15192019</v>
      </c>
      <c r="E53">
        <v>1</v>
      </c>
      <c r="F53">
        <v>1</v>
      </c>
      <c r="G53">
        <v>1</v>
      </c>
      <c r="H53">
        <v>3</v>
      </c>
      <c r="I53" t="s">
        <v>791</v>
      </c>
      <c r="J53" t="s">
        <v>792</v>
      </c>
      <c r="K53" t="s">
        <v>793</v>
      </c>
      <c r="L53">
        <v>1348</v>
      </c>
      <c r="N53">
        <v>1009</v>
      </c>
      <c r="O53" t="s">
        <v>145</v>
      </c>
      <c r="P53" t="s">
        <v>145</v>
      </c>
      <c r="Q53">
        <v>1000</v>
      </c>
      <c r="W53">
        <v>0</v>
      </c>
      <c r="X53">
        <v>-751617735</v>
      </c>
      <c r="Y53">
        <v>3.0000000000000001E-3</v>
      </c>
      <c r="AA53">
        <v>38944.839999999997</v>
      </c>
      <c r="AB53">
        <v>0</v>
      </c>
      <c r="AC53">
        <v>0</v>
      </c>
      <c r="AD53">
        <v>0</v>
      </c>
      <c r="AE53">
        <v>5804</v>
      </c>
      <c r="AF53">
        <v>0</v>
      </c>
      <c r="AG53">
        <v>0</v>
      </c>
      <c r="AH53">
        <v>0</v>
      </c>
      <c r="AI53">
        <v>6.71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0</v>
      </c>
      <c r="AQ53">
        <v>0</v>
      </c>
      <c r="AR53">
        <v>0</v>
      </c>
      <c r="AS53" t="s">
        <v>6</v>
      </c>
      <c r="AT53">
        <v>3.0000000000000001E-3</v>
      </c>
      <c r="AU53" t="s">
        <v>6</v>
      </c>
      <c r="AV53">
        <v>0</v>
      </c>
      <c r="AW53">
        <v>2</v>
      </c>
      <c r="AX53">
        <v>16813119</v>
      </c>
      <c r="AY53">
        <v>1</v>
      </c>
      <c r="AZ53">
        <v>0</v>
      </c>
      <c r="BA53">
        <v>63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Y53*Source!I41</f>
        <v>3.4290000000000001E-2</v>
      </c>
      <c r="CY53">
        <f t="shared" si="2"/>
        <v>38944.839999999997</v>
      </c>
      <c r="CZ53">
        <f t="shared" si="3"/>
        <v>5804</v>
      </c>
      <c r="DA53">
        <f t="shared" si="4"/>
        <v>6.71</v>
      </c>
      <c r="DB53">
        <f t="shared" si="5"/>
        <v>17.41</v>
      </c>
      <c r="DC53">
        <f t="shared" si="6"/>
        <v>0</v>
      </c>
    </row>
    <row r="54" spans="1:107" x14ac:dyDescent="0.2">
      <c r="A54">
        <f>ROW(Source!A41)</f>
        <v>41</v>
      </c>
      <c r="B54">
        <v>16812721</v>
      </c>
      <c r="C54">
        <v>16813102</v>
      </c>
      <c r="D54">
        <v>15204330</v>
      </c>
      <c r="E54">
        <v>1</v>
      </c>
      <c r="F54">
        <v>1</v>
      </c>
      <c r="G54">
        <v>1</v>
      </c>
      <c r="H54">
        <v>3</v>
      </c>
      <c r="I54" t="s">
        <v>794</v>
      </c>
      <c r="J54" t="s">
        <v>795</v>
      </c>
      <c r="K54" t="s">
        <v>796</v>
      </c>
      <c r="L54">
        <v>1354</v>
      </c>
      <c r="N54">
        <v>1010</v>
      </c>
      <c r="O54" t="s">
        <v>62</v>
      </c>
      <c r="P54" t="s">
        <v>62</v>
      </c>
      <c r="Q54">
        <v>1</v>
      </c>
      <c r="W54">
        <v>0</v>
      </c>
      <c r="X54">
        <v>-1075270488</v>
      </c>
      <c r="Y54">
        <v>0.1</v>
      </c>
      <c r="AA54">
        <v>488.49</v>
      </c>
      <c r="AB54">
        <v>0</v>
      </c>
      <c r="AC54">
        <v>0</v>
      </c>
      <c r="AD54">
        <v>0</v>
      </c>
      <c r="AE54">
        <v>72.8</v>
      </c>
      <c r="AF54">
        <v>0</v>
      </c>
      <c r="AG54">
        <v>0</v>
      </c>
      <c r="AH54">
        <v>0</v>
      </c>
      <c r="AI54">
        <v>6.71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6</v>
      </c>
      <c r="AT54">
        <v>0.1</v>
      </c>
      <c r="AU54" t="s">
        <v>6</v>
      </c>
      <c r="AV54">
        <v>0</v>
      </c>
      <c r="AW54">
        <v>2</v>
      </c>
      <c r="AX54">
        <v>16813120</v>
      </c>
      <c r="AY54">
        <v>1</v>
      </c>
      <c r="AZ54">
        <v>0</v>
      </c>
      <c r="BA54">
        <v>64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Y54*Source!I41</f>
        <v>1.143</v>
      </c>
      <c r="CY54">
        <f t="shared" si="2"/>
        <v>488.49</v>
      </c>
      <c r="CZ54">
        <f t="shared" si="3"/>
        <v>72.8</v>
      </c>
      <c r="DA54">
        <f t="shared" si="4"/>
        <v>6.71</v>
      </c>
      <c r="DB54">
        <f t="shared" si="5"/>
        <v>7.28</v>
      </c>
      <c r="DC54">
        <f t="shared" si="6"/>
        <v>0</v>
      </c>
    </row>
    <row r="55" spans="1:107" x14ac:dyDescent="0.2">
      <c r="A55">
        <f>ROW(Source!A45)</f>
        <v>45</v>
      </c>
      <c r="B55">
        <v>16812721</v>
      </c>
      <c r="C55">
        <v>16814238</v>
      </c>
      <c r="D55">
        <v>15430397</v>
      </c>
      <c r="E55">
        <v>1</v>
      </c>
      <c r="F55">
        <v>1</v>
      </c>
      <c r="G55">
        <v>1</v>
      </c>
      <c r="H55">
        <v>1</v>
      </c>
      <c r="I55" t="s">
        <v>838</v>
      </c>
      <c r="J55" t="s">
        <v>6</v>
      </c>
      <c r="K55" t="s">
        <v>839</v>
      </c>
      <c r="L55">
        <v>1191</v>
      </c>
      <c r="N55">
        <v>1013</v>
      </c>
      <c r="O55" t="s">
        <v>773</v>
      </c>
      <c r="P55" t="s">
        <v>773</v>
      </c>
      <c r="Q55">
        <v>1</v>
      </c>
      <c r="W55">
        <v>0</v>
      </c>
      <c r="X55">
        <v>-1081351934</v>
      </c>
      <c r="Y55">
        <v>81.09</v>
      </c>
      <c r="AA55">
        <v>0</v>
      </c>
      <c r="AB55">
        <v>0</v>
      </c>
      <c r="AC55">
        <v>0</v>
      </c>
      <c r="AD55">
        <v>63.07</v>
      </c>
      <c r="AE55">
        <v>0</v>
      </c>
      <c r="AF55">
        <v>0</v>
      </c>
      <c r="AG55">
        <v>0</v>
      </c>
      <c r="AH55">
        <v>9.4</v>
      </c>
      <c r="AI55">
        <v>1</v>
      </c>
      <c r="AJ55">
        <v>1</v>
      </c>
      <c r="AK55">
        <v>1</v>
      </c>
      <c r="AL55">
        <v>6.71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6</v>
      </c>
      <c r="AT55">
        <v>81.09</v>
      </c>
      <c r="AU55" t="s">
        <v>6</v>
      </c>
      <c r="AV55">
        <v>1</v>
      </c>
      <c r="AW55">
        <v>2</v>
      </c>
      <c r="AX55">
        <v>16814239</v>
      </c>
      <c r="AY55">
        <v>1</v>
      </c>
      <c r="AZ55">
        <v>0</v>
      </c>
      <c r="BA55">
        <v>65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Y55*Source!I45</f>
        <v>5.408703</v>
      </c>
      <c r="CY55">
        <f>AD55</f>
        <v>63.07</v>
      </c>
      <c r="CZ55">
        <f>AH55</f>
        <v>9.4</v>
      </c>
      <c r="DA55">
        <f>AL55</f>
        <v>6.71</v>
      </c>
      <c r="DB55">
        <f t="shared" si="5"/>
        <v>762.25</v>
      </c>
      <c r="DC55">
        <f t="shared" si="6"/>
        <v>0</v>
      </c>
    </row>
    <row r="56" spans="1:107" x14ac:dyDescent="0.2">
      <c r="A56">
        <f>ROW(Source!A45)</f>
        <v>45</v>
      </c>
      <c r="B56">
        <v>16812721</v>
      </c>
      <c r="C56">
        <v>16814238</v>
      </c>
      <c r="D56">
        <v>15430395</v>
      </c>
      <c r="E56">
        <v>1</v>
      </c>
      <c r="F56">
        <v>1</v>
      </c>
      <c r="G56">
        <v>1</v>
      </c>
      <c r="H56">
        <v>1</v>
      </c>
      <c r="I56" t="s">
        <v>774</v>
      </c>
      <c r="J56" t="s">
        <v>6</v>
      </c>
      <c r="K56" t="s">
        <v>775</v>
      </c>
      <c r="L56">
        <v>1191</v>
      </c>
      <c r="N56">
        <v>1013</v>
      </c>
      <c r="O56" t="s">
        <v>773</v>
      </c>
      <c r="P56" t="s">
        <v>773</v>
      </c>
      <c r="Q56">
        <v>1</v>
      </c>
      <c r="W56">
        <v>0</v>
      </c>
      <c r="X56">
        <v>-1417349443</v>
      </c>
      <c r="Y56">
        <v>9.15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6.71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6</v>
      </c>
      <c r="AT56">
        <v>9.15</v>
      </c>
      <c r="AU56" t="s">
        <v>6</v>
      </c>
      <c r="AV56">
        <v>2</v>
      </c>
      <c r="AW56">
        <v>2</v>
      </c>
      <c r="AX56">
        <v>16814240</v>
      </c>
      <c r="AY56">
        <v>1</v>
      </c>
      <c r="AZ56">
        <v>0</v>
      </c>
      <c r="BA56">
        <v>66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0.61030499999999999</v>
      </c>
      <c r="CY56">
        <f>AD56</f>
        <v>0</v>
      </c>
      <c r="CZ56">
        <f>AH56</f>
        <v>0</v>
      </c>
      <c r="DA56">
        <f>AL56</f>
        <v>1</v>
      </c>
      <c r="DB56">
        <f t="shared" si="5"/>
        <v>0</v>
      </c>
      <c r="DC56">
        <f t="shared" si="6"/>
        <v>0</v>
      </c>
    </row>
    <row r="57" spans="1:107" x14ac:dyDescent="0.2">
      <c r="A57">
        <f>ROW(Source!A45)</f>
        <v>45</v>
      </c>
      <c r="B57">
        <v>16812721</v>
      </c>
      <c r="C57">
        <v>16814238</v>
      </c>
      <c r="D57">
        <v>15247578</v>
      </c>
      <c r="E57">
        <v>1</v>
      </c>
      <c r="F57">
        <v>1</v>
      </c>
      <c r="G57">
        <v>1</v>
      </c>
      <c r="H57">
        <v>2</v>
      </c>
      <c r="I57" t="s">
        <v>840</v>
      </c>
      <c r="J57" t="s">
        <v>841</v>
      </c>
      <c r="K57" t="s">
        <v>842</v>
      </c>
      <c r="L57">
        <v>1368</v>
      </c>
      <c r="N57">
        <v>1011</v>
      </c>
      <c r="O57" t="s">
        <v>779</v>
      </c>
      <c r="P57" t="s">
        <v>779</v>
      </c>
      <c r="Q57">
        <v>1</v>
      </c>
      <c r="W57">
        <v>0</v>
      </c>
      <c r="X57">
        <v>-1460065968</v>
      </c>
      <c r="Y57">
        <v>7.08</v>
      </c>
      <c r="AA57">
        <v>0</v>
      </c>
      <c r="AB57">
        <v>579.74</v>
      </c>
      <c r="AC57">
        <v>13.5</v>
      </c>
      <c r="AD57">
        <v>0</v>
      </c>
      <c r="AE57">
        <v>0</v>
      </c>
      <c r="AF57">
        <v>86.4</v>
      </c>
      <c r="AG57">
        <v>13.5</v>
      </c>
      <c r="AH57">
        <v>0</v>
      </c>
      <c r="AI57">
        <v>1</v>
      </c>
      <c r="AJ57">
        <v>6.71</v>
      </c>
      <c r="AK57">
        <v>1</v>
      </c>
      <c r="AL57">
        <v>1</v>
      </c>
      <c r="AN57">
        <v>0</v>
      </c>
      <c r="AO57">
        <v>1</v>
      </c>
      <c r="AP57">
        <v>0</v>
      </c>
      <c r="AQ57">
        <v>0</v>
      </c>
      <c r="AR57">
        <v>0</v>
      </c>
      <c r="AS57" t="s">
        <v>6</v>
      </c>
      <c r="AT57">
        <v>7.08</v>
      </c>
      <c r="AU57" t="s">
        <v>6</v>
      </c>
      <c r="AV57">
        <v>0</v>
      </c>
      <c r="AW57">
        <v>2</v>
      </c>
      <c r="AX57">
        <v>16814241</v>
      </c>
      <c r="AY57">
        <v>1</v>
      </c>
      <c r="AZ57">
        <v>0</v>
      </c>
      <c r="BA57">
        <v>67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0.47223599999999999</v>
      </c>
      <c r="CY57">
        <f>AB57</f>
        <v>579.74</v>
      </c>
      <c r="CZ57">
        <f>AF57</f>
        <v>86.4</v>
      </c>
      <c r="DA57">
        <f>AJ57</f>
        <v>6.71</v>
      </c>
      <c r="DB57">
        <f t="shared" si="5"/>
        <v>611.71</v>
      </c>
      <c r="DC57">
        <f t="shared" si="6"/>
        <v>95.58</v>
      </c>
    </row>
    <row r="58" spans="1:107" x14ac:dyDescent="0.2">
      <c r="A58">
        <f>ROW(Source!A45)</f>
        <v>45</v>
      </c>
      <c r="B58">
        <v>16812721</v>
      </c>
      <c r="C58">
        <v>16814238</v>
      </c>
      <c r="D58">
        <v>15249073</v>
      </c>
      <c r="E58">
        <v>1</v>
      </c>
      <c r="F58">
        <v>1</v>
      </c>
      <c r="G58">
        <v>1</v>
      </c>
      <c r="H58">
        <v>2</v>
      </c>
      <c r="I58" t="s">
        <v>782</v>
      </c>
      <c r="J58" t="s">
        <v>783</v>
      </c>
      <c r="K58" t="s">
        <v>784</v>
      </c>
      <c r="L58">
        <v>1368</v>
      </c>
      <c r="N58">
        <v>1011</v>
      </c>
      <c r="O58" t="s">
        <v>779</v>
      </c>
      <c r="P58" t="s">
        <v>779</v>
      </c>
      <c r="Q58">
        <v>1</v>
      </c>
      <c r="W58">
        <v>0</v>
      </c>
      <c r="X58">
        <v>1372534845</v>
      </c>
      <c r="Y58">
        <v>2.0699999999999998</v>
      </c>
      <c r="AA58">
        <v>0</v>
      </c>
      <c r="AB58">
        <v>440.91</v>
      </c>
      <c r="AC58">
        <v>11.6</v>
      </c>
      <c r="AD58">
        <v>0</v>
      </c>
      <c r="AE58">
        <v>0</v>
      </c>
      <c r="AF58">
        <v>65.709999999999994</v>
      </c>
      <c r="AG58">
        <v>11.6</v>
      </c>
      <c r="AH58">
        <v>0</v>
      </c>
      <c r="AI58">
        <v>1</v>
      </c>
      <c r="AJ58">
        <v>6.71</v>
      </c>
      <c r="AK58">
        <v>1</v>
      </c>
      <c r="AL58">
        <v>1</v>
      </c>
      <c r="AN58">
        <v>0</v>
      </c>
      <c r="AO58">
        <v>1</v>
      </c>
      <c r="AP58">
        <v>0</v>
      </c>
      <c r="AQ58">
        <v>0</v>
      </c>
      <c r="AR58">
        <v>0</v>
      </c>
      <c r="AS58" t="s">
        <v>6</v>
      </c>
      <c r="AT58">
        <v>2.0699999999999998</v>
      </c>
      <c r="AU58" t="s">
        <v>6</v>
      </c>
      <c r="AV58">
        <v>0</v>
      </c>
      <c r="AW58">
        <v>2</v>
      </c>
      <c r="AX58">
        <v>16814242</v>
      </c>
      <c r="AY58">
        <v>1</v>
      </c>
      <c r="AZ58">
        <v>0</v>
      </c>
      <c r="BA58">
        <v>68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0.13806899999999997</v>
      </c>
      <c r="CY58">
        <f>AB58</f>
        <v>440.91</v>
      </c>
      <c r="CZ58">
        <f>AF58</f>
        <v>65.709999999999994</v>
      </c>
      <c r="DA58">
        <f>AJ58</f>
        <v>6.71</v>
      </c>
      <c r="DB58">
        <f t="shared" si="5"/>
        <v>136.02000000000001</v>
      </c>
      <c r="DC58">
        <f t="shared" si="6"/>
        <v>24.01</v>
      </c>
    </row>
    <row r="59" spans="1:107" x14ac:dyDescent="0.2">
      <c r="A59">
        <f>ROW(Source!A45)</f>
        <v>45</v>
      </c>
      <c r="B59">
        <v>16812721</v>
      </c>
      <c r="C59">
        <v>16814238</v>
      </c>
      <c r="D59">
        <v>15167338</v>
      </c>
      <c r="E59">
        <v>1</v>
      </c>
      <c r="F59">
        <v>1</v>
      </c>
      <c r="G59">
        <v>1</v>
      </c>
      <c r="H59">
        <v>3</v>
      </c>
      <c r="I59" t="s">
        <v>125</v>
      </c>
      <c r="J59" t="s">
        <v>128</v>
      </c>
      <c r="K59" t="s">
        <v>126</v>
      </c>
      <c r="L59">
        <v>1035</v>
      </c>
      <c r="N59">
        <v>1013</v>
      </c>
      <c r="O59" t="s">
        <v>127</v>
      </c>
      <c r="P59" t="s">
        <v>127</v>
      </c>
      <c r="Q59">
        <v>1</v>
      </c>
      <c r="W59">
        <v>0</v>
      </c>
      <c r="X59">
        <v>-1514276406</v>
      </c>
      <c r="Y59">
        <v>29.985007</v>
      </c>
      <c r="AA59">
        <v>635.29999999999995</v>
      </c>
      <c r="AB59">
        <v>0</v>
      </c>
      <c r="AC59">
        <v>0</v>
      </c>
      <c r="AD59">
        <v>0</v>
      </c>
      <c r="AE59">
        <v>94.68</v>
      </c>
      <c r="AF59">
        <v>0</v>
      </c>
      <c r="AG59">
        <v>0</v>
      </c>
      <c r="AH59">
        <v>0</v>
      </c>
      <c r="AI59">
        <v>6.71</v>
      </c>
      <c r="AJ59">
        <v>1</v>
      </c>
      <c r="AK59">
        <v>1</v>
      </c>
      <c r="AL59">
        <v>1</v>
      </c>
      <c r="AN59">
        <v>0</v>
      </c>
      <c r="AO59">
        <v>0</v>
      </c>
      <c r="AP59">
        <v>0</v>
      </c>
      <c r="AQ59">
        <v>0</v>
      </c>
      <c r="AR59">
        <v>0</v>
      </c>
      <c r="AS59" t="s">
        <v>6</v>
      </c>
      <c r="AT59">
        <v>29.985007</v>
      </c>
      <c r="AU59" t="s">
        <v>6</v>
      </c>
      <c r="AV59">
        <v>0</v>
      </c>
      <c r="AW59">
        <v>1</v>
      </c>
      <c r="AX59">
        <v>-1</v>
      </c>
      <c r="AY59">
        <v>0</v>
      </c>
      <c r="AZ59">
        <v>0</v>
      </c>
      <c r="BA59" t="s">
        <v>6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Y59*Source!I45</f>
        <v>1.9999999668999999</v>
      </c>
      <c r="CY59">
        <f t="shared" ref="CY59:CY64" si="7">AA59</f>
        <v>635.29999999999995</v>
      </c>
      <c r="CZ59">
        <f t="shared" ref="CZ59:CZ64" si="8">AE59</f>
        <v>94.68</v>
      </c>
      <c r="DA59">
        <f t="shared" ref="DA59:DA64" si="9">AI59</f>
        <v>6.71</v>
      </c>
      <c r="DB59">
        <f t="shared" si="5"/>
        <v>2838.98</v>
      </c>
      <c r="DC59">
        <f t="shared" si="6"/>
        <v>0</v>
      </c>
    </row>
    <row r="60" spans="1:107" x14ac:dyDescent="0.2">
      <c r="A60">
        <f>ROW(Source!A45)</f>
        <v>45</v>
      </c>
      <c r="B60">
        <v>16812721</v>
      </c>
      <c r="C60">
        <v>16814238</v>
      </c>
      <c r="D60">
        <v>15170039</v>
      </c>
      <c r="E60">
        <v>1</v>
      </c>
      <c r="F60">
        <v>1</v>
      </c>
      <c r="G60">
        <v>1</v>
      </c>
      <c r="H60">
        <v>3</v>
      </c>
      <c r="I60" t="s">
        <v>843</v>
      </c>
      <c r="J60" t="s">
        <v>844</v>
      </c>
      <c r="K60" t="s">
        <v>845</v>
      </c>
      <c r="L60">
        <v>1348</v>
      </c>
      <c r="N60">
        <v>1009</v>
      </c>
      <c r="O60" t="s">
        <v>145</v>
      </c>
      <c r="P60" t="s">
        <v>145</v>
      </c>
      <c r="Q60">
        <v>1000</v>
      </c>
      <c r="W60">
        <v>0</v>
      </c>
      <c r="X60">
        <v>1174701286</v>
      </c>
      <c r="Y60">
        <v>1.6800000000000001E-3</v>
      </c>
      <c r="AA60">
        <v>80372.38</v>
      </c>
      <c r="AB60">
        <v>0</v>
      </c>
      <c r="AC60">
        <v>0</v>
      </c>
      <c r="AD60">
        <v>0</v>
      </c>
      <c r="AE60">
        <v>11978</v>
      </c>
      <c r="AF60">
        <v>0</v>
      </c>
      <c r="AG60">
        <v>0</v>
      </c>
      <c r="AH60">
        <v>0</v>
      </c>
      <c r="AI60">
        <v>6.71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0</v>
      </c>
      <c r="AQ60">
        <v>0</v>
      </c>
      <c r="AR60">
        <v>0</v>
      </c>
      <c r="AS60" t="s">
        <v>6</v>
      </c>
      <c r="AT60">
        <v>1.6800000000000001E-3</v>
      </c>
      <c r="AU60" t="s">
        <v>6</v>
      </c>
      <c r="AV60">
        <v>0</v>
      </c>
      <c r="AW60">
        <v>2</v>
      </c>
      <c r="AX60">
        <v>16814244</v>
      </c>
      <c r="AY60">
        <v>1</v>
      </c>
      <c r="AZ60">
        <v>0</v>
      </c>
      <c r="BA60">
        <v>70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Y60*Source!I45</f>
        <v>1.12056E-4</v>
      </c>
      <c r="CY60">
        <f t="shared" si="7"/>
        <v>80372.38</v>
      </c>
      <c r="CZ60">
        <f t="shared" si="8"/>
        <v>11978</v>
      </c>
      <c r="DA60">
        <f t="shared" si="9"/>
        <v>6.71</v>
      </c>
      <c r="DB60">
        <f t="shared" si="5"/>
        <v>20.12</v>
      </c>
      <c r="DC60">
        <f t="shared" si="6"/>
        <v>0</v>
      </c>
    </row>
    <row r="61" spans="1:107" x14ac:dyDescent="0.2">
      <c r="A61">
        <f>ROW(Source!A45)</f>
        <v>45</v>
      </c>
      <c r="B61">
        <v>16812721</v>
      </c>
      <c r="C61">
        <v>16814238</v>
      </c>
      <c r="D61">
        <v>15172818</v>
      </c>
      <c r="E61">
        <v>1</v>
      </c>
      <c r="F61">
        <v>1</v>
      </c>
      <c r="G61">
        <v>1</v>
      </c>
      <c r="H61">
        <v>3</v>
      </c>
      <c r="I61" t="s">
        <v>846</v>
      </c>
      <c r="J61" t="s">
        <v>847</v>
      </c>
      <c r="K61" t="s">
        <v>848</v>
      </c>
      <c r="L61">
        <v>1339</v>
      </c>
      <c r="N61">
        <v>1007</v>
      </c>
      <c r="O61" t="s">
        <v>141</v>
      </c>
      <c r="P61" t="s">
        <v>141</v>
      </c>
      <c r="Q61">
        <v>1</v>
      </c>
      <c r="W61">
        <v>0</v>
      </c>
      <c r="X61">
        <v>-2072708995</v>
      </c>
      <c r="Y61">
        <v>7.5999999999999998E-2</v>
      </c>
      <c r="AA61">
        <v>3073.18</v>
      </c>
      <c r="AB61">
        <v>0</v>
      </c>
      <c r="AC61">
        <v>0</v>
      </c>
      <c r="AD61">
        <v>0</v>
      </c>
      <c r="AE61">
        <v>458</v>
      </c>
      <c r="AF61">
        <v>0</v>
      </c>
      <c r="AG61">
        <v>0</v>
      </c>
      <c r="AH61">
        <v>0</v>
      </c>
      <c r="AI61">
        <v>6.71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6</v>
      </c>
      <c r="AT61">
        <v>7.5999999999999998E-2</v>
      </c>
      <c r="AU61" t="s">
        <v>6</v>
      </c>
      <c r="AV61">
        <v>0</v>
      </c>
      <c r="AW61">
        <v>2</v>
      </c>
      <c r="AX61">
        <v>16814245</v>
      </c>
      <c r="AY61">
        <v>1</v>
      </c>
      <c r="AZ61">
        <v>0</v>
      </c>
      <c r="BA61">
        <v>71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Y61*Source!I45</f>
        <v>5.0691999999999994E-3</v>
      </c>
      <c r="CY61">
        <f t="shared" si="7"/>
        <v>3073.18</v>
      </c>
      <c r="CZ61">
        <f t="shared" si="8"/>
        <v>458</v>
      </c>
      <c r="DA61">
        <f t="shared" si="9"/>
        <v>6.71</v>
      </c>
      <c r="DB61">
        <f t="shared" si="5"/>
        <v>34.81</v>
      </c>
      <c r="DC61">
        <f t="shared" si="6"/>
        <v>0</v>
      </c>
    </row>
    <row r="62" spans="1:107" x14ac:dyDescent="0.2">
      <c r="A62">
        <f>ROW(Source!A45)</f>
        <v>45</v>
      </c>
      <c r="B62">
        <v>16812721</v>
      </c>
      <c r="C62">
        <v>16814238</v>
      </c>
      <c r="D62">
        <v>15196008</v>
      </c>
      <c r="E62">
        <v>1</v>
      </c>
      <c r="F62">
        <v>1</v>
      </c>
      <c r="G62">
        <v>1</v>
      </c>
      <c r="H62">
        <v>3</v>
      </c>
      <c r="I62" t="s">
        <v>849</v>
      </c>
      <c r="J62" t="s">
        <v>850</v>
      </c>
      <c r="K62" t="s">
        <v>851</v>
      </c>
      <c r="L62">
        <v>1339</v>
      </c>
      <c r="N62">
        <v>1007</v>
      </c>
      <c r="O62" t="s">
        <v>141</v>
      </c>
      <c r="P62" t="s">
        <v>141</v>
      </c>
      <c r="Q62">
        <v>1</v>
      </c>
      <c r="W62">
        <v>0</v>
      </c>
      <c r="X62">
        <v>2024089152</v>
      </c>
      <c r="Y62">
        <v>7.0000000000000007E-2</v>
      </c>
      <c r="AA62">
        <v>7381</v>
      </c>
      <c r="AB62">
        <v>0</v>
      </c>
      <c r="AC62">
        <v>0</v>
      </c>
      <c r="AD62">
        <v>0</v>
      </c>
      <c r="AE62">
        <v>1100</v>
      </c>
      <c r="AF62">
        <v>0</v>
      </c>
      <c r="AG62">
        <v>0</v>
      </c>
      <c r="AH62">
        <v>0</v>
      </c>
      <c r="AI62">
        <v>6.71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6</v>
      </c>
      <c r="AT62">
        <v>7.0000000000000007E-2</v>
      </c>
      <c r="AU62" t="s">
        <v>6</v>
      </c>
      <c r="AV62">
        <v>0</v>
      </c>
      <c r="AW62">
        <v>2</v>
      </c>
      <c r="AX62">
        <v>16814247</v>
      </c>
      <c r="AY62">
        <v>1</v>
      </c>
      <c r="AZ62">
        <v>0</v>
      </c>
      <c r="BA62">
        <v>73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Y62*Source!I45</f>
        <v>4.6690000000000004E-3</v>
      </c>
      <c r="CY62">
        <f t="shared" si="7"/>
        <v>7381</v>
      </c>
      <c r="CZ62">
        <f t="shared" si="8"/>
        <v>1100</v>
      </c>
      <c r="DA62">
        <f t="shared" si="9"/>
        <v>6.71</v>
      </c>
      <c r="DB62">
        <f t="shared" si="5"/>
        <v>77</v>
      </c>
      <c r="DC62">
        <f t="shared" si="6"/>
        <v>0</v>
      </c>
    </row>
    <row r="63" spans="1:107" x14ac:dyDescent="0.2">
      <c r="A63">
        <f>ROW(Source!A45)</f>
        <v>45</v>
      </c>
      <c r="B63">
        <v>16812721</v>
      </c>
      <c r="C63">
        <v>16814238</v>
      </c>
      <c r="D63">
        <v>15196122</v>
      </c>
      <c r="E63">
        <v>1</v>
      </c>
      <c r="F63">
        <v>1</v>
      </c>
      <c r="G63">
        <v>1</v>
      </c>
      <c r="H63">
        <v>3</v>
      </c>
      <c r="I63" t="s">
        <v>130</v>
      </c>
      <c r="J63" t="s">
        <v>132</v>
      </c>
      <c r="K63" t="s">
        <v>131</v>
      </c>
      <c r="L63">
        <v>1327</v>
      </c>
      <c r="N63">
        <v>1005</v>
      </c>
      <c r="O63" t="s">
        <v>28</v>
      </c>
      <c r="P63" t="s">
        <v>28</v>
      </c>
      <c r="Q63">
        <v>1</v>
      </c>
      <c r="W63">
        <v>0</v>
      </c>
      <c r="X63">
        <v>2137541679</v>
      </c>
      <c r="Y63">
        <v>100</v>
      </c>
      <c r="AA63">
        <v>8266.18</v>
      </c>
      <c r="AB63">
        <v>0</v>
      </c>
      <c r="AC63">
        <v>0</v>
      </c>
      <c r="AD63">
        <v>0</v>
      </c>
      <c r="AE63">
        <v>1231.92</v>
      </c>
      <c r="AF63">
        <v>0</v>
      </c>
      <c r="AG63">
        <v>0</v>
      </c>
      <c r="AH63">
        <v>0</v>
      </c>
      <c r="AI63">
        <v>6.71</v>
      </c>
      <c r="AJ63">
        <v>1</v>
      </c>
      <c r="AK63">
        <v>1</v>
      </c>
      <c r="AL63">
        <v>1</v>
      </c>
      <c r="AN63">
        <v>0</v>
      </c>
      <c r="AO63">
        <v>0</v>
      </c>
      <c r="AP63">
        <v>0</v>
      </c>
      <c r="AQ63">
        <v>0</v>
      </c>
      <c r="AR63">
        <v>0</v>
      </c>
      <c r="AS63" t="s">
        <v>6</v>
      </c>
      <c r="AT63">
        <v>100</v>
      </c>
      <c r="AU63" t="s">
        <v>6</v>
      </c>
      <c r="AV63">
        <v>0</v>
      </c>
      <c r="AW63">
        <v>1</v>
      </c>
      <c r="AX63">
        <v>-1</v>
      </c>
      <c r="AY63">
        <v>0</v>
      </c>
      <c r="AZ63">
        <v>0</v>
      </c>
      <c r="BA63" t="s">
        <v>6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Y63*Source!I45</f>
        <v>6.67</v>
      </c>
      <c r="CY63">
        <f t="shared" si="7"/>
        <v>8266.18</v>
      </c>
      <c r="CZ63">
        <f t="shared" si="8"/>
        <v>1231.92</v>
      </c>
      <c r="DA63">
        <f t="shared" si="9"/>
        <v>6.71</v>
      </c>
      <c r="DB63">
        <f t="shared" si="5"/>
        <v>123192</v>
      </c>
      <c r="DC63">
        <f t="shared" si="6"/>
        <v>0</v>
      </c>
    </row>
    <row r="64" spans="1:107" x14ac:dyDescent="0.2">
      <c r="A64">
        <f>ROW(Source!A45)</f>
        <v>45</v>
      </c>
      <c r="B64">
        <v>16812721</v>
      </c>
      <c r="C64">
        <v>16814238</v>
      </c>
      <c r="D64">
        <v>15204315</v>
      </c>
      <c r="E64">
        <v>1</v>
      </c>
      <c r="F64">
        <v>1</v>
      </c>
      <c r="G64">
        <v>1</v>
      </c>
      <c r="H64">
        <v>3</v>
      </c>
      <c r="I64" t="s">
        <v>852</v>
      </c>
      <c r="J64" t="s">
        <v>853</v>
      </c>
      <c r="K64" t="s">
        <v>854</v>
      </c>
      <c r="L64">
        <v>1296</v>
      </c>
      <c r="N64">
        <v>1002</v>
      </c>
      <c r="O64" t="s">
        <v>855</v>
      </c>
      <c r="P64" t="s">
        <v>855</v>
      </c>
      <c r="Q64">
        <v>1</v>
      </c>
      <c r="W64">
        <v>0</v>
      </c>
      <c r="X64">
        <v>-2122226716</v>
      </c>
      <c r="Y64">
        <v>22.2</v>
      </c>
      <c r="AA64">
        <v>314.43</v>
      </c>
      <c r="AB64">
        <v>0</v>
      </c>
      <c r="AC64">
        <v>0</v>
      </c>
      <c r="AD64">
        <v>0</v>
      </c>
      <c r="AE64">
        <v>46.86</v>
      </c>
      <c r="AF64">
        <v>0</v>
      </c>
      <c r="AG64">
        <v>0</v>
      </c>
      <c r="AH64">
        <v>0</v>
      </c>
      <c r="AI64">
        <v>6.71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6</v>
      </c>
      <c r="AT64">
        <v>22.2</v>
      </c>
      <c r="AU64" t="s">
        <v>6</v>
      </c>
      <c r="AV64">
        <v>0</v>
      </c>
      <c r="AW64">
        <v>2</v>
      </c>
      <c r="AX64">
        <v>16814249</v>
      </c>
      <c r="AY64">
        <v>1</v>
      </c>
      <c r="AZ64">
        <v>0</v>
      </c>
      <c r="BA64">
        <v>75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Y64*Source!I45</f>
        <v>1.4807399999999999</v>
      </c>
      <c r="CY64">
        <f t="shared" si="7"/>
        <v>314.43</v>
      </c>
      <c r="CZ64">
        <f t="shared" si="8"/>
        <v>46.86</v>
      </c>
      <c r="DA64">
        <f t="shared" si="9"/>
        <v>6.71</v>
      </c>
      <c r="DB64">
        <f t="shared" si="5"/>
        <v>1040.29</v>
      </c>
      <c r="DC64">
        <f t="shared" si="6"/>
        <v>0</v>
      </c>
    </row>
    <row r="65" spans="1:107" x14ac:dyDescent="0.2">
      <c r="A65">
        <f>ROW(Source!A48)</f>
        <v>48</v>
      </c>
      <c r="B65">
        <v>16812721</v>
      </c>
      <c r="C65">
        <v>16813123</v>
      </c>
      <c r="D65">
        <v>15430767</v>
      </c>
      <c r="E65">
        <v>1</v>
      </c>
      <c r="F65">
        <v>1</v>
      </c>
      <c r="G65">
        <v>1</v>
      </c>
      <c r="H65">
        <v>1</v>
      </c>
      <c r="I65" t="s">
        <v>799</v>
      </c>
      <c r="J65" t="s">
        <v>6</v>
      </c>
      <c r="K65" t="s">
        <v>800</v>
      </c>
      <c r="L65">
        <v>1191</v>
      </c>
      <c r="N65">
        <v>1013</v>
      </c>
      <c r="O65" t="s">
        <v>773</v>
      </c>
      <c r="P65" t="s">
        <v>773</v>
      </c>
      <c r="Q65">
        <v>1</v>
      </c>
      <c r="W65">
        <v>0</v>
      </c>
      <c r="X65">
        <v>-400197608</v>
      </c>
      <c r="Y65">
        <v>124.23</v>
      </c>
      <c r="AA65">
        <v>0</v>
      </c>
      <c r="AB65">
        <v>0</v>
      </c>
      <c r="AC65">
        <v>0</v>
      </c>
      <c r="AD65">
        <v>57.24</v>
      </c>
      <c r="AE65">
        <v>0</v>
      </c>
      <c r="AF65">
        <v>0</v>
      </c>
      <c r="AG65">
        <v>0</v>
      </c>
      <c r="AH65">
        <v>8.5299999999999994</v>
      </c>
      <c r="AI65">
        <v>1</v>
      </c>
      <c r="AJ65">
        <v>1</v>
      </c>
      <c r="AK65">
        <v>1</v>
      </c>
      <c r="AL65">
        <v>6.71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6</v>
      </c>
      <c r="AT65">
        <v>124.23</v>
      </c>
      <c r="AU65" t="s">
        <v>6</v>
      </c>
      <c r="AV65">
        <v>1</v>
      </c>
      <c r="AW65">
        <v>2</v>
      </c>
      <c r="AX65">
        <v>16813130</v>
      </c>
      <c r="AY65">
        <v>1</v>
      </c>
      <c r="AZ65">
        <v>0</v>
      </c>
      <c r="BA65">
        <v>76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Y65*Source!I48</f>
        <v>23.6037</v>
      </c>
      <c r="CY65">
        <f>AD65</f>
        <v>57.24</v>
      </c>
      <c r="CZ65">
        <f>AH65</f>
        <v>8.5299999999999994</v>
      </c>
      <c r="DA65">
        <f>AL65</f>
        <v>6.71</v>
      </c>
      <c r="DB65">
        <f t="shared" si="5"/>
        <v>1059.68</v>
      </c>
      <c r="DC65">
        <f t="shared" si="6"/>
        <v>0</v>
      </c>
    </row>
    <row r="66" spans="1:107" x14ac:dyDescent="0.2">
      <c r="A66">
        <f>ROW(Source!A48)</f>
        <v>48</v>
      </c>
      <c r="B66">
        <v>16812721</v>
      </c>
      <c r="C66">
        <v>16813123</v>
      </c>
      <c r="D66">
        <v>15249402</v>
      </c>
      <c r="E66">
        <v>1</v>
      </c>
      <c r="F66">
        <v>1</v>
      </c>
      <c r="G66">
        <v>1</v>
      </c>
      <c r="H66">
        <v>2</v>
      </c>
      <c r="I66" t="s">
        <v>856</v>
      </c>
      <c r="J66" t="s">
        <v>857</v>
      </c>
      <c r="K66" t="s">
        <v>858</v>
      </c>
      <c r="L66">
        <v>1368</v>
      </c>
      <c r="N66">
        <v>1011</v>
      </c>
      <c r="O66" t="s">
        <v>779</v>
      </c>
      <c r="P66" t="s">
        <v>779</v>
      </c>
      <c r="Q66">
        <v>1</v>
      </c>
      <c r="W66">
        <v>0</v>
      </c>
      <c r="X66">
        <v>-2111251057</v>
      </c>
      <c r="Y66">
        <v>1.38</v>
      </c>
      <c r="AA66">
        <v>0</v>
      </c>
      <c r="AB66">
        <v>218.08</v>
      </c>
      <c r="AC66">
        <v>0</v>
      </c>
      <c r="AD66">
        <v>0</v>
      </c>
      <c r="AE66">
        <v>0</v>
      </c>
      <c r="AF66">
        <v>32.5</v>
      </c>
      <c r="AG66">
        <v>0</v>
      </c>
      <c r="AH66">
        <v>0</v>
      </c>
      <c r="AI66">
        <v>1</v>
      </c>
      <c r="AJ66">
        <v>6.71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1.38</v>
      </c>
      <c r="AU66" t="s">
        <v>6</v>
      </c>
      <c r="AV66">
        <v>0</v>
      </c>
      <c r="AW66">
        <v>2</v>
      </c>
      <c r="AX66">
        <v>16813131</v>
      </c>
      <c r="AY66">
        <v>1</v>
      </c>
      <c r="AZ66">
        <v>0</v>
      </c>
      <c r="BA66">
        <v>77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Y66*Source!I48</f>
        <v>0.26219999999999999</v>
      </c>
      <c r="CY66">
        <f>AB66</f>
        <v>218.08</v>
      </c>
      <c r="CZ66">
        <f>AF66</f>
        <v>32.5</v>
      </c>
      <c r="DA66">
        <f>AJ66</f>
        <v>6.71</v>
      </c>
      <c r="DB66">
        <f t="shared" si="5"/>
        <v>44.85</v>
      </c>
      <c r="DC66">
        <f t="shared" si="6"/>
        <v>0</v>
      </c>
    </row>
    <row r="67" spans="1:107" x14ac:dyDescent="0.2">
      <c r="A67">
        <f>ROW(Source!A48)</f>
        <v>48</v>
      </c>
      <c r="B67">
        <v>16812721</v>
      </c>
      <c r="C67">
        <v>16813123</v>
      </c>
      <c r="D67">
        <v>15249998</v>
      </c>
      <c r="E67">
        <v>1</v>
      </c>
      <c r="F67">
        <v>1</v>
      </c>
      <c r="G67">
        <v>1</v>
      </c>
      <c r="H67">
        <v>2</v>
      </c>
      <c r="I67" t="s">
        <v>859</v>
      </c>
      <c r="J67" t="s">
        <v>860</v>
      </c>
      <c r="K67" t="s">
        <v>861</v>
      </c>
      <c r="L67">
        <v>1368</v>
      </c>
      <c r="N67">
        <v>1011</v>
      </c>
      <c r="O67" t="s">
        <v>779</v>
      </c>
      <c r="P67" t="s">
        <v>779</v>
      </c>
      <c r="Q67">
        <v>1</v>
      </c>
      <c r="W67">
        <v>0</v>
      </c>
      <c r="X67">
        <v>1518765163</v>
      </c>
      <c r="Y67">
        <v>1.38</v>
      </c>
      <c r="AA67">
        <v>0</v>
      </c>
      <c r="AB67">
        <v>10.27</v>
      </c>
      <c r="AC67">
        <v>0</v>
      </c>
      <c r="AD67">
        <v>0</v>
      </c>
      <c r="AE67">
        <v>0</v>
      </c>
      <c r="AF67">
        <v>1.53</v>
      </c>
      <c r="AG67">
        <v>0</v>
      </c>
      <c r="AH67">
        <v>0</v>
      </c>
      <c r="AI67">
        <v>1</v>
      </c>
      <c r="AJ67">
        <v>6.71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6</v>
      </c>
      <c r="AT67">
        <v>1.38</v>
      </c>
      <c r="AU67" t="s">
        <v>6</v>
      </c>
      <c r="AV67">
        <v>0</v>
      </c>
      <c r="AW67">
        <v>2</v>
      </c>
      <c r="AX67">
        <v>16813132</v>
      </c>
      <c r="AY67">
        <v>1</v>
      </c>
      <c r="AZ67">
        <v>0</v>
      </c>
      <c r="BA67">
        <v>78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Y67*Source!I48</f>
        <v>0.26219999999999999</v>
      </c>
      <c r="CY67">
        <f>AB67</f>
        <v>10.27</v>
      </c>
      <c r="CZ67">
        <f>AF67</f>
        <v>1.53</v>
      </c>
      <c r="DA67">
        <f>AJ67</f>
        <v>6.71</v>
      </c>
      <c r="DB67">
        <f t="shared" si="5"/>
        <v>2.11</v>
      </c>
      <c r="DC67">
        <f t="shared" si="6"/>
        <v>0</v>
      </c>
    </row>
    <row r="68" spans="1:107" x14ac:dyDescent="0.2">
      <c r="A68">
        <f>ROW(Source!A48)</f>
        <v>48</v>
      </c>
      <c r="B68">
        <v>16812721</v>
      </c>
      <c r="C68">
        <v>16813123</v>
      </c>
      <c r="D68">
        <v>15167286</v>
      </c>
      <c r="E68">
        <v>1</v>
      </c>
      <c r="F68">
        <v>1</v>
      </c>
      <c r="G68">
        <v>1</v>
      </c>
      <c r="H68">
        <v>3</v>
      </c>
      <c r="I68" t="s">
        <v>801</v>
      </c>
      <c r="J68" t="s">
        <v>802</v>
      </c>
      <c r="K68" t="s">
        <v>803</v>
      </c>
      <c r="L68">
        <v>1339</v>
      </c>
      <c r="N68">
        <v>1007</v>
      </c>
      <c r="O68" t="s">
        <v>141</v>
      </c>
      <c r="P68" t="s">
        <v>141</v>
      </c>
      <c r="Q68">
        <v>1</v>
      </c>
      <c r="W68">
        <v>0</v>
      </c>
      <c r="X68">
        <v>-1660354250</v>
      </c>
      <c r="Y68">
        <v>0.1</v>
      </c>
      <c r="AA68">
        <v>16.37</v>
      </c>
      <c r="AB68">
        <v>0</v>
      </c>
      <c r="AC68">
        <v>0</v>
      </c>
      <c r="AD68">
        <v>0</v>
      </c>
      <c r="AE68">
        <v>2.44</v>
      </c>
      <c r="AF68">
        <v>0</v>
      </c>
      <c r="AG68">
        <v>0</v>
      </c>
      <c r="AH68">
        <v>0</v>
      </c>
      <c r="AI68">
        <v>6.71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6</v>
      </c>
      <c r="AT68">
        <v>0.1</v>
      </c>
      <c r="AU68" t="s">
        <v>6</v>
      </c>
      <c r="AV68">
        <v>0</v>
      </c>
      <c r="AW68">
        <v>2</v>
      </c>
      <c r="AX68">
        <v>16813133</v>
      </c>
      <c r="AY68">
        <v>1</v>
      </c>
      <c r="AZ68">
        <v>0</v>
      </c>
      <c r="BA68">
        <v>79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Y68*Source!I48</f>
        <v>1.9000000000000003E-2</v>
      </c>
      <c r="CY68">
        <f>AA68</f>
        <v>16.37</v>
      </c>
      <c r="CZ68">
        <f>AE68</f>
        <v>2.44</v>
      </c>
      <c r="DA68">
        <f>AI68</f>
        <v>6.71</v>
      </c>
      <c r="DB68">
        <f t="shared" si="5"/>
        <v>0.24</v>
      </c>
      <c r="DC68">
        <f t="shared" si="6"/>
        <v>0</v>
      </c>
    </row>
    <row r="69" spans="1:107" x14ac:dyDescent="0.2">
      <c r="A69">
        <f>ROW(Source!A48)</f>
        <v>48</v>
      </c>
      <c r="B69">
        <v>16812721</v>
      </c>
      <c r="C69">
        <v>16813123</v>
      </c>
      <c r="D69">
        <v>15161703</v>
      </c>
      <c r="E69">
        <v>17</v>
      </c>
      <c r="F69">
        <v>1</v>
      </c>
      <c r="G69">
        <v>1</v>
      </c>
      <c r="H69">
        <v>3</v>
      </c>
      <c r="I69" t="s">
        <v>139</v>
      </c>
      <c r="J69" t="s">
        <v>6</v>
      </c>
      <c r="K69" t="s">
        <v>140</v>
      </c>
      <c r="L69">
        <v>1339</v>
      </c>
      <c r="N69">
        <v>1007</v>
      </c>
      <c r="O69" t="s">
        <v>141</v>
      </c>
      <c r="P69" t="s">
        <v>141</v>
      </c>
      <c r="Q69">
        <v>1</v>
      </c>
      <c r="W69">
        <v>0</v>
      </c>
      <c r="X69">
        <v>-2113302258</v>
      </c>
      <c r="Y69">
        <v>2.14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6.71</v>
      </c>
      <c r="AJ69">
        <v>1</v>
      </c>
      <c r="AK69">
        <v>1</v>
      </c>
      <c r="AL69">
        <v>1</v>
      </c>
      <c r="AN69">
        <v>0</v>
      </c>
      <c r="AO69">
        <v>0</v>
      </c>
      <c r="AP69">
        <v>0</v>
      </c>
      <c r="AQ69">
        <v>0</v>
      </c>
      <c r="AR69">
        <v>0</v>
      </c>
      <c r="AS69" t="s">
        <v>6</v>
      </c>
      <c r="AT69">
        <v>2.14</v>
      </c>
      <c r="AU69" t="s">
        <v>6</v>
      </c>
      <c r="AV69">
        <v>0</v>
      </c>
      <c r="AW69">
        <v>2</v>
      </c>
      <c r="AX69">
        <v>16813136</v>
      </c>
      <c r="AY69">
        <v>1</v>
      </c>
      <c r="AZ69">
        <v>0</v>
      </c>
      <c r="BA69">
        <v>82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Y69*Source!I48</f>
        <v>0.40660000000000002</v>
      </c>
      <c r="CY69">
        <f>AA69</f>
        <v>0</v>
      </c>
      <c r="CZ69">
        <f>AE69</f>
        <v>0</v>
      </c>
      <c r="DA69">
        <f>AI69</f>
        <v>6.71</v>
      </c>
      <c r="DB69">
        <f t="shared" si="5"/>
        <v>0</v>
      </c>
      <c r="DC69">
        <f t="shared" si="6"/>
        <v>0</v>
      </c>
    </row>
    <row r="70" spans="1:107" x14ac:dyDescent="0.2">
      <c r="A70">
        <f>ROW(Source!A48)</f>
        <v>48</v>
      </c>
      <c r="B70">
        <v>16812721</v>
      </c>
      <c r="C70">
        <v>16813123</v>
      </c>
      <c r="D70">
        <v>15173318</v>
      </c>
      <c r="E70">
        <v>1</v>
      </c>
      <c r="F70">
        <v>1</v>
      </c>
      <c r="G70">
        <v>1</v>
      </c>
      <c r="H70">
        <v>3</v>
      </c>
      <c r="I70" t="s">
        <v>143</v>
      </c>
      <c r="J70" t="s">
        <v>146</v>
      </c>
      <c r="K70" t="s">
        <v>144</v>
      </c>
      <c r="L70">
        <v>1348</v>
      </c>
      <c r="N70">
        <v>1009</v>
      </c>
      <c r="O70" t="s">
        <v>145</v>
      </c>
      <c r="P70" t="s">
        <v>145</v>
      </c>
      <c r="Q70">
        <v>1000</v>
      </c>
      <c r="W70">
        <v>0</v>
      </c>
      <c r="X70">
        <v>50694098</v>
      </c>
      <c r="Y70">
        <v>4.6431149999999999</v>
      </c>
      <c r="AA70">
        <v>4885.82</v>
      </c>
      <c r="AB70">
        <v>0</v>
      </c>
      <c r="AC70">
        <v>0</v>
      </c>
      <c r="AD70">
        <v>0</v>
      </c>
      <c r="AE70">
        <v>728.14</v>
      </c>
      <c r="AF70">
        <v>0</v>
      </c>
      <c r="AG70">
        <v>0</v>
      </c>
      <c r="AH70">
        <v>0</v>
      </c>
      <c r="AI70">
        <v>6.71</v>
      </c>
      <c r="AJ70">
        <v>1</v>
      </c>
      <c r="AK70">
        <v>1</v>
      </c>
      <c r="AL70">
        <v>1</v>
      </c>
      <c r="AN70">
        <v>0</v>
      </c>
      <c r="AO70">
        <v>0</v>
      </c>
      <c r="AP70">
        <v>0</v>
      </c>
      <c r="AQ70">
        <v>0</v>
      </c>
      <c r="AR70">
        <v>0</v>
      </c>
      <c r="AS70" t="s">
        <v>6</v>
      </c>
      <c r="AT70">
        <v>4.6431149999999999</v>
      </c>
      <c r="AU70" t="s">
        <v>6</v>
      </c>
      <c r="AV70">
        <v>0</v>
      </c>
      <c r="AW70">
        <v>1</v>
      </c>
      <c r="AX70">
        <v>-1</v>
      </c>
      <c r="AY70">
        <v>0</v>
      </c>
      <c r="AZ70">
        <v>0</v>
      </c>
      <c r="BA70" t="s">
        <v>6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Y70*Source!I48</f>
        <v>0.88219185</v>
      </c>
      <c r="CY70">
        <f>AA70</f>
        <v>4885.82</v>
      </c>
      <c r="CZ70">
        <f>AE70</f>
        <v>728.14</v>
      </c>
      <c r="DA70">
        <f>AI70</f>
        <v>6.71</v>
      </c>
      <c r="DB70">
        <f t="shared" si="5"/>
        <v>3380.84</v>
      </c>
      <c r="DC70">
        <f t="shared" si="6"/>
        <v>0</v>
      </c>
    </row>
    <row r="71" spans="1:107" x14ac:dyDescent="0.2">
      <c r="A71">
        <f>ROW(Source!A51)</f>
        <v>51</v>
      </c>
      <c r="B71">
        <v>16812721</v>
      </c>
      <c r="C71">
        <v>16813139</v>
      </c>
      <c r="D71">
        <v>15430767</v>
      </c>
      <c r="E71">
        <v>1</v>
      </c>
      <c r="F71">
        <v>1</v>
      </c>
      <c r="G71">
        <v>1</v>
      </c>
      <c r="H71">
        <v>1</v>
      </c>
      <c r="I71" t="s">
        <v>799</v>
      </c>
      <c r="J71" t="s">
        <v>6</v>
      </c>
      <c r="K71" t="s">
        <v>800</v>
      </c>
      <c r="L71">
        <v>1191</v>
      </c>
      <c r="N71">
        <v>1013</v>
      </c>
      <c r="O71" t="s">
        <v>773</v>
      </c>
      <c r="P71" t="s">
        <v>773</v>
      </c>
      <c r="Q71">
        <v>1</v>
      </c>
      <c r="W71">
        <v>0</v>
      </c>
      <c r="X71">
        <v>-400197608</v>
      </c>
      <c r="Y71">
        <v>43.320499999999996</v>
      </c>
      <c r="AA71">
        <v>0</v>
      </c>
      <c r="AB71">
        <v>0</v>
      </c>
      <c r="AC71">
        <v>0</v>
      </c>
      <c r="AD71">
        <v>57.24</v>
      </c>
      <c r="AE71">
        <v>0</v>
      </c>
      <c r="AF71">
        <v>0</v>
      </c>
      <c r="AG71">
        <v>0</v>
      </c>
      <c r="AH71">
        <v>8.5299999999999994</v>
      </c>
      <c r="AI71">
        <v>1</v>
      </c>
      <c r="AJ71">
        <v>1</v>
      </c>
      <c r="AK71">
        <v>1</v>
      </c>
      <c r="AL71">
        <v>6.71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37.67</v>
      </c>
      <c r="AU71" t="s">
        <v>104</v>
      </c>
      <c r="AV71">
        <v>1</v>
      </c>
      <c r="AW71">
        <v>2</v>
      </c>
      <c r="AX71">
        <v>16813147</v>
      </c>
      <c r="AY71">
        <v>1</v>
      </c>
      <c r="AZ71">
        <v>0</v>
      </c>
      <c r="BA71">
        <v>83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Y71*Source!I51</f>
        <v>58.231416099999997</v>
      </c>
      <c r="CY71">
        <f>AD71</f>
        <v>57.24</v>
      </c>
      <c r="CZ71">
        <f>AH71</f>
        <v>8.5299999999999994</v>
      </c>
      <c r="DA71">
        <f>AL71</f>
        <v>6.71</v>
      </c>
      <c r="DB71">
        <f>ROUND((ROUND(AT71*CZ71,2)*1.15),2)</f>
        <v>369.53</v>
      </c>
      <c r="DC71">
        <f>ROUND((ROUND(AT71*AG71,2)*1.15),2)</f>
        <v>0</v>
      </c>
    </row>
    <row r="72" spans="1:107" x14ac:dyDescent="0.2">
      <c r="A72">
        <f>ROW(Source!A51)</f>
        <v>51</v>
      </c>
      <c r="B72">
        <v>16812721</v>
      </c>
      <c r="C72">
        <v>16813139</v>
      </c>
      <c r="D72">
        <v>15430395</v>
      </c>
      <c r="E72">
        <v>1</v>
      </c>
      <c r="F72">
        <v>1</v>
      </c>
      <c r="G72">
        <v>1</v>
      </c>
      <c r="H72">
        <v>1</v>
      </c>
      <c r="I72" t="s">
        <v>774</v>
      </c>
      <c r="J72" t="s">
        <v>6</v>
      </c>
      <c r="K72" t="s">
        <v>775</v>
      </c>
      <c r="L72">
        <v>1191</v>
      </c>
      <c r="N72">
        <v>1013</v>
      </c>
      <c r="O72" t="s">
        <v>773</v>
      </c>
      <c r="P72" t="s">
        <v>773</v>
      </c>
      <c r="Q72">
        <v>1</v>
      </c>
      <c r="W72">
        <v>0</v>
      </c>
      <c r="X72">
        <v>-1417349443</v>
      </c>
      <c r="Y72">
        <v>0.17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6.71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0.17</v>
      </c>
      <c r="AU72" t="s">
        <v>6</v>
      </c>
      <c r="AV72">
        <v>2</v>
      </c>
      <c r="AW72">
        <v>2</v>
      </c>
      <c r="AX72">
        <v>16813148</v>
      </c>
      <c r="AY72">
        <v>1</v>
      </c>
      <c r="AZ72">
        <v>2048</v>
      </c>
      <c r="BA72">
        <v>84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Y72*Source!I51</f>
        <v>0.22851400000000002</v>
      </c>
      <c r="CY72">
        <f>AD72</f>
        <v>0</v>
      </c>
      <c r="CZ72">
        <f>AH72</f>
        <v>0</v>
      </c>
      <c r="DA72">
        <f>AL72</f>
        <v>1</v>
      </c>
      <c r="DB72">
        <f>ROUND(ROUND(AT72*CZ72,2),2)</f>
        <v>0</v>
      </c>
      <c r="DC72">
        <f>ROUND(ROUND(AT72*AG72,2),2)</f>
        <v>0</v>
      </c>
    </row>
    <row r="73" spans="1:107" x14ac:dyDescent="0.2">
      <c r="A73">
        <f>ROW(Source!A51)</f>
        <v>51</v>
      </c>
      <c r="B73">
        <v>16812721</v>
      </c>
      <c r="C73">
        <v>16813139</v>
      </c>
      <c r="D73">
        <v>15247970</v>
      </c>
      <c r="E73">
        <v>1</v>
      </c>
      <c r="F73">
        <v>1</v>
      </c>
      <c r="G73">
        <v>1</v>
      </c>
      <c r="H73">
        <v>2</v>
      </c>
      <c r="I73" t="s">
        <v>862</v>
      </c>
      <c r="J73" t="s">
        <v>863</v>
      </c>
      <c r="K73" t="s">
        <v>864</v>
      </c>
      <c r="L73">
        <v>1368</v>
      </c>
      <c r="N73">
        <v>1011</v>
      </c>
      <c r="O73" t="s">
        <v>779</v>
      </c>
      <c r="P73" t="s">
        <v>779</v>
      </c>
      <c r="Q73">
        <v>1</v>
      </c>
      <c r="W73">
        <v>0</v>
      </c>
      <c r="X73">
        <v>368031958</v>
      </c>
      <c r="Y73">
        <v>0.16250000000000001</v>
      </c>
      <c r="AA73">
        <v>0</v>
      </c>
      <c r="AB73">
        <v>185.6</v>
      </c>
      <c r="AC73">
        <v>11.6</v>
      </c>
      <c r="AD73">
        <v>0</v>
      </c>
      <c r="AE73">
        <v>0</v>
      </c>
      <c r="AF73">
        <v>27.66</v>
      </c>
      <c r="AG73">
        <v>11.6</v>
      </c>
      <c r="AH73">
        <v>0</v>
      </c>
      <c r="AI73">
        <v>1</v>
      </c>
      <c r="AJ73">
        <v>6.71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0.13</v>
      </c>
      <c r="AU73" t="s">
        <v>103</v>
      </c>
      <c r="AV73">
        <v>0</v>
      </c>
      <c r="AW73">
        <v>2</v>
      </c>
      <c r="AX73">
        <v>16813149</v>
      </c>
      <c r="AY73">
        <v>1</v>
      </c>
      <c r="AZ73">
        <v>0</v>
      </c>
      <c r="BA73">
        <v>85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Y73*Source!I51</f>
        <v>0.21843250000000003</v>
      </c>
      <c r="CY73">
        <f>AB73</f>
        <v>185.6</v>
      </c>
      <c r="CZ73">
        <f>AF73</f>
        <v>27.66</v>
      </c>
      <c r="DA73">
        <f>AJ73</f>
        <v>6.71</v>
      </c>
      <c r="DB73">
        <f>ROUND((ROUND(AT73*CZ73,2)*1.25),2)</f>
        <v>4.5</v>
      </c>
      <c r="DC73">
        <f>ROUND((ROUND(AT73*AG73,2)*1.25),2)</f>
        <v>1.89</v>
      </c>
    </row>
    <row r="74" spans="1:107" x14ac:dyDescent="0.2">
      <c r="A74">
        <f>ROW(Source!A51)</f>
        <v>51</v>
      </c>
      <c r="B74">
        <v>16812721</v>
      </c>
      <c r="C74">
        <v>16813139</v>
      </c>
      <c r="D74">
        <v>15249073</v>
      </c>
      <c r="E74">
        <v>1</v>
      </c>
      <c r="F74">
        <v>1</v>
      </c>
      <c r="G74">
        <v>1</v>
      </c>
      <c r="H74">
        <v>2</v>
      </c>
      <c r="I74" t="s">
        <v>782</v>
      </c>
      <c r="J74" t="s">
        <v>783</v>
      </c>
      <c r="K74" t="s">
        <v>784</v>
      </c>
      <c r="L74">
        <v>1368</v>
      </c>
      <c r="N74">
        <v>1011</v>
      </c>
      <c r="O74" t="s">
        <v>779</v>
      </c>
      <c r="P74" t="s">
        <v>779</v>
      </c>
      <c r="Q74">
        <v>1</v>
      </c>
      <c r="W74">
        <v>0</v>
      </c>
      <c r="X74">
        <v>1372534845</v>
      </c>
      <c r="Y74">
        <v>0.05</v>
      </c>
      <c r="AA74">
        <v>0</v>
      </c>
      <c r="AB74">
        <v>440.91</v>
      </c>
      <c r="AC74">
        <v>11.6</v>
      </c>
      <c r="AD74">
        <v>0</v>
      </c>
      <c r="AE74">
        <v>0</v>
      </c>
      <c r="AF74">
        <v>65.709999999999994</v>
      </c>
      <c r="AG74">
        <v>11.6</v>
      </c>
      <c r="AH74">
        <v>0</v>
      </c>
      <c r="AI74">
        <v>1</v>
      </c>
      <c r="AJ74">
        <v>6.71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0.04</v>
      </c>
      <c r="AU74" t="s">
        <v>103</v>
      </c>
      <c r="AV74">
        <v>0</v>
      </c>
      <c r="AW74">
        <v>2</v>
      </c>
      <c r="AX74">
        <v>16813150</v>
      </c>
      <c r="AY74">
        <v>1</v>
      </c>
      <c r="AZ74">
        <v>0</v>
      </c>
      <c r="BA74">
        <v>86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Y74*Source!I51</f>
        <v>6.7210000000000006E-2</v>
      </c>
      <c r="CY74">
        <f>AB74</f>
        <v>440.91</v>
      </c>
      <c r="CZ74">
        <f>AF74</f>
        <v>65.709999999999994</v>
      </c>
      <c r="DA74">
        <f>AJ74</f>
        <v>6.71</v>
      </c>
      <c r="DB74">
        <f>ROUND((ROUND(AT74*CZ74,2)*1.25),2)</f>
        <v>3.29</v>
      </c>
      <c r="DC74">
        <f>ROUND((ROUND(AT74*AG74,2)*1.25),2)</f>
        <v>0.57999999999999996</v>
      </c>
    </row>
    <row r="75" spans="1:107" x14ac:dyDescent="0.2">
      <c r="A75">
        <f>ROW(Source!A51)</f>
        <v>51</v>
      </c>
      <c r="B75">
        <v>16812721</v>
      </c>
      <c r="C75">
        <v>16813139</v>
      </c>
      <c r="D75">
        <v>15167286</v>
      </c>
      <c r="E75">
        <v>1</v>
      </c>
      <c r="F75">
        <v>1</v>
      </c>
      <c r="G75">
        <v>1</v>
      </c>
      <c r="H75">
        <v>3</v>
      </c>
      <c r="I75" t="s">
        <v>801</v>
      </c>
      <c r="J75" t="s">
        <v>802</v>
      </c>
      <c r="K75" t="s">
        <v>803</v>
      </c>
      <c r="L75">
        <v>1339</v>
      </c>
      <c r="N75">
        <v>1007</v>
      </c>
      <c r="O75" t="s">
        <v>141</v>
      </c>
      <c r="P75" t="s">
        <v>141</v>
      </c>
      <c r="Q75">
        <v>1</v>
      </c>
      <c r="W75">
        <v>0</v>
      </c>
      <c r="X75">
        <v>-1660354250</v>
      </c>
      <c r="Y75">
        <v>0.17399999999999999</v>
      </c>
      <c r="AA75">
        <v>16.37</v>
      </c>
      <c r="AB75">
        <v>0</v>
      </c>
      <c r="AC75">
        <v>0</v>
      </c>
      <c r="AD75">
        <v>0</v>
      </c>
      <c r="AE75">
        <v>2.44</v>
      </c>
      <c r="AF75">
        <v>0</v>
      </c>
      <c r="AG75">
        <v>0</v>
      </c>
      <c r="AH75">
        <v>0</v>
      </c>
      <c r="AI75">
        <v>6.71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6</v>
      </c>
      <c r="AT75">
        <v>0.17399999999999999</v>
      </c>
      <c r="AU75" t="s">
        <v>6</v>
      </c>
      <c r="AV75">
        <v>0</v>
      </c>
      <c r="AW75">
        <v>2</v>
      </c>
      <c r="AX75">
        <v>16813151</v>
      </c>
      <c r="AY75">
        <v>1</v>
      </c>
      <c r="AZ75">
        <v>0</v>
      </c>
      <c r="BA75">
        <v>87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Y75*Source!I51</f>
        <v>0.23389079999999998</v>
      </c>
      <c r="CY75">
        <f>AA75</f>
        <v>16.37</v>
      </c>
      <c r="CZ75">
        <f>AE75</f>
        <v>2.44</v>
      </c>
      <c r="DA75">
        <f>AI75</f>
        <v>6.71</v>
      </c>
      <c r="DB75">
        <f>ROUND(ROUND(AT75*CZ75,2),2)</f>
        <v>0.42</v>
      </c>
      <c r="DC75">
        <f>ROUND(ROUND(AT75*AG75,2),2)</f>
        <v>0</v>
      </c>
    </row>
    <row r="76" spans="1:107" x14ac:dyDescent="0.2">
      <c r="A76">
        <f>ROW(Source!A51)</f>
        <v>51</v>
      </c>
      <c r="B76">
        <v>16812721</v>
      </c>
      <c r="C76">
        <v>16813139</v>
      </c>
      <c r="D76">
        <v>15172906</v>
      </c>
      <c r="E76">
        <v>1</v>
      </c>
      <c r="F76">
        <v>1</v>
      </c>
      <c r="G76">
        <v>1</v>
      </c>
      <c r="H76">
        <v>3</v>
      </c>
      <c r="I76" t="s">
        <v>865</v>
      </c>
      <c r="J76" t="s">
        <v>866</v>
      </c>
      <c r="K76" t="s">
        <v>867</v>
      </c>
      <c r="L76">
        <v>1348</v>
      </c>
      <c r="N76">
        <v>1009</v>
      </c>
      <c r="O76" t="s">
        <v>145</v>
      </c>
      <c r="P76" t="s">
        <v>145</v>
      </c>
      <c r="Q76">
        <v>1000</v>
      </c>
      <c r="W76">
        <v>0</v>
      </c>
      <c r="X76">
        <v>-2114578287</v>
      </c>
      <c r="Y76">
        <v>0.9</v>
      </c>
      <c r="AA76">
        <v>76370.33</v>
      </c>
      <c r="AB76">
        <v>0</v>
      </c>
      <c r="AC76">
        <v>0</v>
      </c>
      <c r="AD76">
        <v>0</v>
      </c>
      <c r="AE76">
        <v>11381.57</v>
      </c>
      <c r="AF76">
        <v>0</v>
      </c>
      <c r="AG76">
        <v>0</v>
      </c>
      <c r="AH76">
        <v>0</v>
      </c>
      <c r="AI76">
        <v>6.71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6</v>
      </c>
      <c r="AT76">
        <v>0.9</v>
      </c>
      <c r="AU76" t="s">
        <v>6</v>
      </c>
      <c r="AV76">
        <v>0</v>
      </c>
      <c r="AW76">
        <v>2</v>
      </c>
      <c r="AX76">
        <v>16813152</v>
      </c>
      <c r="AY76">
        <v>1</v>
      </c>
      <c r="AZ76">
        <v>0</v>
      </c>
      <c r="BA76">
        <v>88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Y76*Source!I51</f>
        <v>1.2097800000000001</v>
      </c>
      <c r="CY76">
        <f>AA76</f>
        <v>76370.33</v>
      </c>
      <c r="CZ76">
        <f>AE76</f>
        <v>11381.57</v>
      </c>
      <c r="DA76">
        <f>AI76</f>
        <v>6.71</v>
      </c>
      <c r="DB76">
        <f>ROUND(ROUND(AT76*CZ76,2),2)</f>
        <v>10243.41</v>
      </c>
      <c r="DC76">
        <f>ROUND(ROUND(AT76*AG76,2),2)</f>
        <v>0</v>
      </c>
    </row>
    <row r="77" spans="1:107" x14ac:dyDescent="0.2">
      <c r="A77">
        <f>ROW(Source!A51)</f>
        <v>51</v>
      </c>
      <c r="B77">
        <v>16812721</v>
      </c>
      <c r="C77">
        <v>16813139</v>
      </c>
      <c r="D77">
        <v>15203485</v>
      </c>
      <c r="E77">
        <v>1</v>
      </c>
      <c r="F77">
        <v>1</v>
      </c>
      <c r="G77">
        <v>1</v>
      </c>
      <c r="H77">
        <v>3</v>
      </c>
      <c r="I77" t="s">
        <v>868</v>
      </c>
      <c r="J77" t="s">
        <v>869</v>
      </c>
      <c r="K77" t="s">
        <v>870</v>
      </c>
      <c r="L77">
        <v>1346</v>
      </c>
      <c r="N77">
        <v>1009</v>
      </c>
      <c r="O77" t="s">
        <v>277</v>
      </c>
      <c r="P77" t="s">
        <v>277</v>
      </c>
      <c r="Q77">
        <v>1</v>
      </c>
      <c r="W77">
        <v>0</v>
      </c>
      <c r="X77">
        <v>303141801</v>
      </c>
      <c r="Y77">
        <v>30</v>
      </c>
      <c r="AA77">
        <v>102.33</v>
      </c>
      <c r="AB77">
        <v>0</v>
      </c>
      <c r="AC77">
        <v>0</v>
      </c>
      <c r="AD77">
        <v>0</v>
      </c>
      <c r="AE77">
        <v>15.25</v>
      </c>
      <c r="AF77">
        <v>0</v>
      </c>
      <c r="AG77">
        <v>0</v>
      </c>
      <c r="AH77">
        <v>0</v>
      </c>
      <c r="AI77">
        <v>6.71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0</v>
      </c>
      <c r="AQ77">
        <v>0</v>
      </c>
      <c r="AR77">
        <v>0</v>
      </c>
      <c r="AS77" t="s">
        <v>6</v>
      </c>
      <c r="AT77">
        <v>30</v>
      </c>
      <c r="AU77" t="s">
        <v>6</v>
      </c>
      <c r="AV77">
        <v>0</v>
      </c>
      <c r="AW77">
        <v>2</v>
      </c>
      <c r="AX77">
        <v>16813153</v>
      </c>
      <c r="AY77">
        <v>1</v>
      </c>
      <c r="AZ77">
        <v>0</v>
      </c>
      <c r="BA77">
        <v>89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Y77*Source!I51</f>
        <v>40.326000000000001</v>
      </c>
      <c r="CY77">
        <f>AA77</f>
        <v>102.33</v>
      </c>
      <c r="CZ77">
        <f>AE77</f>
        <v>15.25</v>
      </c>
      <c r="DA77">
        <f>AI77</f>
        <v>6.71</v>
      </c>
      <c r="DB77">
        <f>ROUND(ROUND(AT77*CZ77,2),2)</f>
        <v>457.5</v>
      </c>
      <c r="DC77">
        <f>ROUND(ROUND(AT77*AG77,2),2)</f>
        <v>0</v>
      </c>
    </row>
    <row r="78" spans="1:107" x14ac:dyDescent="0.2">
      <c r="A78">
        <f>ROW(Source!A52)</f>
        <v>52</v>
      </c>
      <c r="B78">
        <v>16812721</v>
      </c>
      <c r="C78">
        <v>16813154</v>
      </c>
      <c r="D78">
        <v>15430767</v>
      </c>
      <c r="E78">
        <v>1</v>
      </c>
      <c r="F78">
        <v>1</v>
      </c>
      <c r="G78">
        <v>1</v>
      </c>
      <c r="H78">
        <v>1</v>
      </c>
      <c r="I78" t="s">
        <v>799</v>
      </c>
      <c r="J78" t="s">
        <v>6</v>
      </c>
      <c r="K78" t="s">
        <v>800</v>
      </c>
      <c r="L78">
        <v>1191</v>
      </c>
      <c r="N78">
        <v>1013</v>
      </c>
      <c r="O78" t="s">
        <v>773</v>
      </c>
      <c r="P78" t="s">
        <v>773</v>
      </c>
      <c r="Q78">
        <v>1</v>
      </c>
      <c r="W78">
        <v>0</v>
      </c>
      <c r="X78">
        <v>-400197608</v>
      </c>
      <c r="Y78">
        <v>13.914999999999999</v>
      </c>
      <c r="AA78">
        <v>0</v>
      </c>
      <c r="AB78">
        <v>0</v>
      </c>
      <c r="AC78">
        <v>0</v>
      </c>
      <c r="AD78">
        <v>57.24</v>
      </c>
      <c r="AE78">
        <v>0</v>
      </c>
      <c r="AF78">
        <v>0</v>
      </c>
      <c r="AG78">
        <v>0</v>
      </c>
      <c r="AH78">
        <v>8.5299999999999994</v>
      </c>
      <c r="AI78">
        <v>1</v>
      </c>
      <c r="AJ78">
        <v>1</v>
      </c>
      <c r="AK78">
        <v>1</v>
      </c>
      <c r="AL78">
        <v>6.71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2.42</v>
      </c>
      <c r="AU78" t="s">
        <v>158</v>
      </c>
      <c r="AV78">
        <v>1</v>
      </c>
      <c r="AW78">
        <v>2</v>
      </c>
      <c r="AX78">
        <v>16813161</v>
      </c>
      <c r="AY78">
        <v>1</v>
      </c>
      <c r="AZ78">
        <v>0</v>
      </c>
      <c r="BA78">
        <v>90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Y78*Source!I52</f>
        <v>18.704543000000001</v>
      </c>
      <c r="CY78">
        <f>AD78</f>
        <v>57.24</v>
      </c>
      <c r="CZ78">
        <f>AH78</f>
        <v>8.5299999999999994</v>
      </c>
      <c r="DA78">
        <f>AL78</f>
        <v>6.71</v>
      </c>
      <c r="DB78">
        <f>ROUND((ROUND(AT78*CZ78,2)*1.15*5),2)</f>
        <v>118.68</v>
      </c>
      <c r="DC78">
        <f>ROUND((ROUND(AT78*AG78,2)*1.15*5),2)</f>
        <v>0</v>
      </c>
    </row>
    <row r="79" spans="1:107" x14ac:dyDescent="0.2">
      <c r="A79">
        <f>ROW(Source!A52)</f>
        <v>52</v>
      </c>
      <c r="B79">
        <v>16812721</v>
      </c>
      <c r="C79">
        <v>16813154</v>
      </c>
      <c r="D79">
        <v>15430395</v>
      </c>
      <c r="E79">
        <v>1</v>
      </c>
      <c r="F79">
        <v>1</v>
      </c>
      <c r="G79">
        <v>1</v>
      </c>
      <c r="H79">
        <v>1</v>
      </c>
      <c r="I79" t="s">
        <v>774</v>
      </c>
      <c r="J79" t="s">
        <v>6</v>
      </c>
      <c r="K79" t="s">
        <v>775</v>
      </c>
      <c r="L79">
        <v>1191</v>
      </c>
      <c r="N79">
        <v>1013</v>
      </c>
      <c r="O79" t="s">
        <v>773</v>
      </c>
      <c r="P79" t="s">
        <v>773</v>
      </c>
      <c r="Q79">
        <v>1</v>
      </c>
      <c r="W79">
        <v>0</v>
      </c>
      <c r="X79">
        <v>-1417349443</v>
      </c>
      <c r="Y79">
        <v>0.03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6.71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0.03</v>
      </c>
      <c r="AU79" t="s">
        <v>6</v>
      </c>
      <c r="AV79">
        <v>2</v>
      </c>
      <c r="AW79">
        <v>2</v>
      </c>
      <c r="AX79">
        <v>16813162</v>
      </c>
      <c r="AY79">
        <v>1</v>
      </c>
      <c r="AZ79">
        <v>2048</v>
      </c>
      <c r="BA79">
        <v>91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Y79*Source!I52</f>
        <v>4.0326000000000001E-2</v>
      </c>
      <c r="CY79">
        <f>AD79</f>
        <v>0</v>
      </c>
      <c r="CZ79">
        <f>AH79</f>
        <v>0</v>
      </c>
      <c r="DA79">
        <f>AL79</f>
        <v>1</v>
      </c>
      <c r="DB79">
        <f>ROUND(ROUND(AT79*CZ79,2),2)</f>
        <v>0</v>
      </c>
      <c r="DC79">
        <f>ROUND(ROUND(AT79*AG79,2),2)</f>
        <v>0</v>
      </c>
    </row>
    <row r="80" spans="1:107" x14ac:dyDescent="0.2">
      <c r="A80">
        <f>ROW(Source!A52)</f>
        <v>52</v>
      </c>
      <c r="B80">
        <v>16812721</v>
      </c>
      <c r="C80">
        <v>16813154</v>
      </c>
      <c r="D80">
        <v>15247970</v>
      </c>
      <c r="E80">
        <v>1</v>
      </c>
      <c r="F80">
        <v>1</v>
      </c>
      <c r="G80">
        <v>1</v>
      </c>
      <c r="H80">
        <v>2</v>
      </c>
      <c r="I80" t="s">
        <v>862</v>
      </c>
      <c r="J80" t="s">
        <v>863</v>
      </c>
      <c r="K80" t="s">
        <v>864</v>
      </c>
      <c r="L80">
        <v>1368</v>
      </c>
      <c r="N80">
        <v>1011</v>
      </c>
      <c r="O80" t="s">
        <v>779</v>
      </c>
      <c r="P80" t="s">
        <v>779</v>
      </c>
      <c r="Q80">
        <v>1</v>
      </c>
      <c r="W80">
        <v>0</v>
      </c>
      <c r="X80">
        <v>368031958</v>
      </c>
      <c r="Y80">
        <v>0.125</v>
      </c>
      <c r="AA80">
        <v>0</v>
      </c>
      <c r="AB80">
        <v>185.6</v>
      </c>
      <c r="AC80">
        <v>11.6</v>
      </c>
      <c r="AD80">
        <v>0</v>
      </c>
      <c r="AE80">
        <v>0</v>
      </c>
      <c r="AF80">
        <v>27.66</v>
      </c>
      <c r="AG80">
        <v>11.6</v>
      </c>
      <c r="AH80">
        <v>0</v>
      </c>
      <c r="AI80">
        <v>1</v>
      </c>
      <c r="AJ80">
        <v>6.71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0.02</v>
      </c>
      <c r="AU80" t="s">
        <v>157</v>
      </c>
      <c r="AV80">
        <v>0</v>
      </c>
      <c r="AW80">
        <v>2</v>
      </c>
      <c r="AX80">
        <v>16813163</v>
      </c>
      <c r="AY80">
        <v>1</v>
      </c>
      <c r="AZ80">
        <v>0</v>
      </c>
      <c r="BA80">
        <v>92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Y80*Source!I52</f>
        <v>0.16802500000000001</v>
      </c>
      <c r="CY80">
        <f>AB80</f>
        <v>185.6</v>
      </c>
      <c r="CZ80">
        <f>AF80</f>
        <v>27.66</v>
      </c>
      <c r="DA80">
        <f>AJ80</f>
        <v>6.71</v>
      </c>
      <c r="DB80">
        <f>ROUND((ROUND(AT80*CZ80,2)*1.25*5),2)</f>
        <v>3.44</v>
      </c>
      <c r="DC80">
        <f>ROUND((ROUND(AT80*AG80,2)*1.25*5),2)</f>
        <v>1.44</v>
      </c>
    </row>
    <row r="81" spans="1:107" x14ac:dyDescent="0.2">
      <c r="A81">
        <f>ROW(Source!A52)</f>
        <v>52</v>
      </c>
      <c r="B81">
        <v>16812721</v>
      </c>
      <c r="C81">
        <v>16813154</v>
      </c>
      <c r="D81">
        <v>15249073</v>
      </c>
      <c r="E81">
        <v>1</v>
      </c>
      <c r="F81">
        <v>1</v>
      </c>
      <c r="G81">
        <v>1</v>
      </c>
      <c r="H81">
        <v>2</v>
      </c>
      <c r="I81" t="s">
        <v>782</v>
      </c>
      <c r="J81" t="s">
        <v>783</v>
      </c>
      <c r="K81" t="s">
        <v>784</v>
      </c>
      <c r="L81">
        <v>1368</v>
      </c>
      <c r="N81">
        <v>1011</v>
      </c>
      <c r="O81" t="s">
        <v>779</v>
      </c>
      <c r="P81" t="s">
        <v>779</v>
      </c>
      <c r="Q81">
        <v>1</v>
      </c>
      <c r="W81">
        <v>0</v>
      </c>
      <c r="X81">
        <v>1372534845</v>
      </c>
      <c r="Y81">
        <v>6.25E-2</v>
      </c>
      <c r="AA81">
        <v>0</v>
      </c>
      <c r="AB81">
        <v>440.91</v>
      </c>
      <c r="AC81">
        <v>11.6</v>
      </c>
      <c r="AD81">
        <v>0</v>
      </c>
      <c r="AE81">
        <v>0</v>
      </c>
      <c r="AF81">
        <v>65.709999999999994</v>
      </c>
      <c r="AG81">
        <v>11.6</v>
      </c>
      <c r="AH81">
        <v>0</v>
      </c>
      <c r="AI81">
        <v>1</v>
      </c>
      <c r="AJ81">
        <v>6.71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0.01</v>
      </c>
      <c r="AU81" t="s">
        <v>157</v>
      </c>
      <c r="AV81">
        <v>0</v>
      </c>
      <c r="AW81">
        <v>2</v>
      </c>
      <c r="AX81">
        <v>16813164</v>
      </c>
      <c r="AY81">
        <v>1</v>
      </c>
      <c r="AZ81">
        <v>0</v>
      </c>
      <c r="BA81">
        <v>93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Y81*Source!I52</f>
        <v>8.4012500000000004E-2</v>
      </c>
      <c r="CY81">
        <f>AB81</f>
        <v>440.91</v>
      </c>
      <c r="CZ81">
        <f>AF81</f>
        <v>65.709999999999994</v>
      </c>
      <c r="DA81">
        <f>AJ81</f>
        <v>6.71</v>
      </c>
      <c r="DB81">
        <f>ROUND((ROUND(AT81*CZ81,2)*1.25*5),2)</f>
        <v>4.13</v>
      </c>
      <c r="DC81">
        <f>ROUND((ROUND(AT81*AG81,2)*1.25*5),2)</f>
        <v>0.75</v>
      </c>
    </row>
    <row r="82" spans="1:107" x14ac:dyDescent="0.2">
      <c r="A82">
        <f>ROW(Source!A52)</f>
        <v>52</v>
      </c>
      <c r="B82">
        <v>16812721</v>
      </c>
      <c r="C82">
        <v>16813154</v>
      </c>
      <c r="D82">
        <v>15167286</v>
      </c>
      <c r="E82">
        <v>1</v>
      </c>
      <c r="F82">
        <v>1</v>
      </c>
      <c r="G82">
        <v>1</v>
      </c>
      <c r="H82">
        <v>3</v>
      </c>
      <c r="I82" t="s">
        <v>801</v>
      </c>
      <c r="J82" t="s">
        <v>802</v>
      </c>
      <c r="K82" t="s">
        <v>803</v>
      </c>
      <c r="L82">
        <v>1339</v>
      </c>
      <c r="N82">
        <v>1007</v>
      </c>
      <c r="O82" t="s">
        <v>141</v>
      </c>
      <c r="P82" t="s">
        <v>141</v>
      </c>
      <c r="Q82">
        <v>1</v>
      </c>
      <c r="W82">
        <v>0</v>
      </c>
      <c r="X82">
        <v>-1660354250</v>
      </c>
      <c r="Y82">
        <v>0.15</v>
      </c>
      <c r="AA82">
        <v>16.37</v>
      </c>
      <c r="AB82">
        <v>0</v>
      </c>
      <c r="AC82">
        <v>0</v>
      </c>
      <c r="AD82">
        <v>0</v>
      </c>
      <c r="AE82">
        <v>2.44</v>
      </c>
      <c r="AF82">
        <v>0</v>
      </c>
      <c r="AG82">
        <v>0</v>
      </c>
      <c r="AH82">
        <v>0</v>
      </c>
      <c r="AI82">
        <v>6.71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0.03</v>
      </c>
      <c r="AU82" t="s">
        <v>156</v>
      </c>
      <c r="AV82">
        <v>0</v>
      </c>
      <c r="AW82">
        <v>2</v>
      </c>
      <c r="AX82">
        <v>16813165</v>
      </c>
      <c r="AY82">
        <v>1</v>
      </c>
      <c r="AZ82">
        <v>0</v>
      </c>
      <c r="BA82">
        <v>94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Y82*Source!I52</f>
        <v>0.20163</v>
      </c>
      <c r="CY82">
        <f>AA82</f>
        <v>16.37</v>
      </c>
      <c r="CZ82">
        <f>AE82</f>
        <v>2.44</v>
      </c>
      <c r="DA82">
        <f>AI82</f>
        <v>6.71</v>
      </c>
      <c r="DB82">
        <f>ROUND((ROUND(AT82*CZ82,2)*5),2)</f>
        <v>0.35</v>
      </c>
      <c r="DC82">
        <f>ROUND((ROUND(AT82*AG82,2)*5),2)</f>
        <v>0</v>
      </c>
    </row>
    <row r="83" spans="1:107" x14ac:dyDescent="0.2">
      <c r="A83">
        <f>ROW(Source!A52)</f>
        <v>52</v>
      </c>
      <c r="B83">
        <v>16812721</v>
      </c>
      <c r="C83">
        <v>16813154</v>
      </c>
      <c r="D83">
        <v>15172906</v>
      </c>
      <c r="E83">
        <v>1</v>
      </c>
      <c r="F83">
        <v>1</v>
      </c>
      <c r="G83">
        <v>1</v>
      </c>
      <c r="H83">
        <v>3</v>
      </c>
      <c r="I83" t="s">
        <v>865</v>
      </c>
      <c r="J83" t="s">
        <v>866</v>
      </c>
      <c r="K83" t="s">
        <v>867</v>
      </c>
      <c r="L83">
        <v>1348</v>
      </c>
      <c r="N83">
        <v>1009</v>
      </c>
      <c r="O83" t="s">
        <v>145</v>
      </c>
      <c r="P83" t="s">
        <v>145</v>
      </c>
      <c r="Q83">
        <v>1000</v>
      </c>
      <c r="W83">
        <v>0</v>
      </c>
      <c r="X83">
        <v>-2114578287</v>
      </c>
      <c r="Y83">
        <v>0.89999999999999991</v>
      </c>
      <c r="AA83">
        <v>76370.33</v>
      </c>
      <c r="AB83">
        <v>0</v>
      </c>
      <c r="AC83">
        <v>0</v>
      </c>
      <c r="AD83">
        <v>0</v>
      </c>
      <c r="AE83">
        <v>11381.57</v>
      </c>
      <c r="AF83">
        <v>0</v>
      </c>
      <c r="AG83">
        <v>0</v>
      </c>
      <c r="AH83">
        <v>0</v>
      </c>
      <c r="AI83">
        <v>6.71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0.18</v>
      </c>
      <c r="AU83" t="s">
        <v>156</v>
      </c>
      <c r="AV83">
        <v>0</v>
      </c>
      <c r="AW83">
        <v>2</v>
      </c>
      <c r="AX83">
        <v>16813166</v>
      </c>
      <c r="AY83">
        <v>1</v>
      </c>
      <c r="AZ83">
        <v>0</v>
      </c>
      <c r="BA83">
        <v>95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Y83*Source!I52</f>
        <v>1.2097799999999999</v>
      </c>
      <c r="CY83">
        <f>AA83</f>
        <v>76370.33</v>
      </c>
      <c r="CZ83">
        <f>AE83</f>
        <v>11381.57</v>
      </c>
      <c r="DA83">
        <f>AI83</f>
        <v>6.71</v>
      </c>
      <c r="DB83">
        <f>ROUND((ROUND(AT83*CZ83,2)*5),2)</f>
        <v>10243.4</v>
      </c>
      <c r="DC83">
        <f>ROUND((ROUND(AT83*AG83,2)*5),2)</f>
        <v>0</v>
      </c>
    </row>
    <row r="84" spans="1:107" x14ac:dyDescent="0.2">
      <c r="A84">
        <f>ROW(Source!A53)</f>
        <v>53</v>
      </c>
      <c r="B84">
        <v>16812721</v>
      </c>
      <c r="C84">
        <v>16814257</v>
      </c>
      <c r="D84">
        <v>15430397</v>
      </c>
      <c r="E84">
        <v>1</v>
      </c>
      <c r="F84">
        <v>1</v>
      </c>
      <c r="G84">
        <v>1</v>
      </c>
      <c r="H84">
        <v>1</v>
      </c>
      <c r="I84" t="s">
        <v>838</v>
      </c>
      <c r="J84" t="s">
        <v>6</v>
      </c>
      <c r="K84" t="s">
        <v>839</v>
      </c>
      <c r="L84">
        <v>1191</v>
      </c>
      <c r="N84">
        <v>1013</v>
      </c>
      <c r="O84" t="s">
        <v>773</v>
      </c>
      <c r="P84" t="s">
        <v>773</v>
      </c>
      <c r="Q84">
        <v>1</v>
      </c>
      <c r="W84">
        <v>0</v>
      </c>
      <c r="X84">
        <v>-1081351934</v>
      </c>
      <c r="Y84">
        <v>29.451499999999996</v>
      </c>
      <c r="AA84">
        <v>0</v>
      </c>
      <c r="AB84">
        <v>0</v>
      </c>
      <c r="AC84">
        <v>0</v>
      </c>
      <c r="AD84">
        <v>63.07</v>
      </c>
      <c r="AE84">
        <v>0</v>
      </c>
      <c r="AF84">
        <v>0</v>
      </c>
      <c r="AG84">
        <v>0</v>
      </c>
      <c r="AH84">
        <v>9.4</v>
      </c>
      <c r="AI84">
        <v>1</v>
      </c>
      <c r="AJ84">
        <v>1</v>
      </c>
      <c r="AK84">
        <v>1</v>
      </c>
      <c r="AL84">
        <v>6.71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25.61</v>
      </c>
      <c r="AU84" t="s">
        <v>104</v>
      </c>
      <c r="AV84">
        <v>1</v>
      </c>
      <c r="AW84">
        <v>2</v>
      </c>
      <c r="AX84">
        <v>16814258</v>
      </c>
      <c r="AY84">
        <v>1</v>
      </c>
      <c r="AZ84">
        <v>0</v>
      </c>
      <c r="BA84">
        <v>96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Y84*Source!I53</f>
        <v>39.588706299999998</v>
      </c>
      <c r="CY84">
        <f>AD84</f>
        <v>63.07</v>
      </c>
      <c r="CZ84">
        <f>AH84</f>
        <v>9.4</v>
      </c>
      <c r="DA84">
        <f>AL84</f>
        <v>6.71</v>
      </c>
      <c r="DB84">
        <f>ROUND((ROUND(AT84*CZ84,2)*1.15),2)</f>
        <v>276.83999999999997</v>
      </c>
      <c r="DC84">
        <f>ROUND((ROUND(AT84*AG84,2)*1.15),2)</f>
        <v>0</v>
      </c>
    </row>
    <row r="85" spans="1:107" x14ac:dyDescent="0.2">
      <c r="A85">
        <f>ROW(Source!A53)</f>
        <v>53</v>
      </c>
      <c r="B85">
        <v>16812721</v>
      </c>
      <c r="C85">
        <v>16814257</v>
      </c>
      <c r="D85">
        <v>15430395</v>
      </c>
      <c r="E85">
        <v>1</v>
      </c>
      <c r="F85">
        <v>1</v>
      </c>
      <c r="G85">
        <v>1</v>
      </c>
      <c r="H85">
        <v>1</v>
      </c>
      <c r="I85" t="s">
        <v>774</v>
      </c>
      <c r="J85" t="s">
        <v>6</v>
      </c>
      <c r="K85" t="s">
        <v>775</v>
      </c>
      <c r="L85">
        <v>1191</v>
      </c>
      <c r="N85">
        <v>1013</v>
      </c>
      <c r="O85" t="s">
        <v>773</v>
      </c>
      <c r="P85" t="s">
        <v>773</v>
      </c>
      <c r="Q85">
        <v>1</v>
      </c>
      <c r="W85">
        <v>0</v>
      </c>
      <c r="X85">
        <v>-1417349443</v>
      </c>
      <c r="Y85">
        <v>0.1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1</v>
      </c>
      <c r="AJ85">
        <v>1</v>
      </c>
      <c r="AK85">
        <v>6.71</v>
      </c>
      <c r="AL85">
        <v>1</v>
      </c>
      <c r="AN85">
        <v>0</v>
      </c>
      <c r="AO85">
        <v>1</v>
      </c>
      <c r="AP85">
        <v>0</v>
      </c>
      <c r="AQ85">
        <v>0</v>
      </c>
      <c r="AR85">
        <v>0</v>
      </c>
      <c r="AS85" t="s">
        <v>6</v>
      </c>
      <c r="AT85">
        <v>0.1</v>
      </c>
      <c r="AU85" t="s">
        <v>6</v>
      </c>
      <c r="AV85">
        <v>2</v>
      </c>
      <c r="AW85">
        <v>2</v>
      </c>
      <c r="AX85">
        <v>16814259</v>
      </c>
      <c r="AY85">
        <v>1</v>
      </c>
      <c r="AZ85">
        <v>2048</v>
      </c>
      <c r="BA85">
        <v>97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Y85*Source!I53</f>
        <v>0.13442000000000001</v>
      </c>
      <c r="CY85">
        <f>AD85</f>
        <v>0</v>
      </c>
      <c r="CZ85">
        <f>AH85</f>
        <v>0</v>
      </c>
      <c r="DA85">
        <f>AL85</f>
        <v>1</v>
      </c>
      <c r="DB85">
        <f>ROUND(ROUND(AT85*CZ85,2),2)</f>
        <v>0</v>
      </c>
      <c r="DC85">
        <f>ROUND(ROUND(AT85*AG85,2),2)</f>
        <v>0</v>
      </c>
    </row>
    <row r="86" spans="1:107" x14ac:dyDescent="0.2">
      <c r="A86">
        <f>ROW(Source!A53)</f>
        <v>53</v>
      </c>
      <c r="B86">
        <v>16812721</v>
      </c>
      <c r="C86">
        <v>16814257</v>
      </c>
      <c r="D86">
        <v>15249073</v>
      </c>
      <c r="E86">
        <v>1</v>
      </c>
      <c r="F86">
        <v>1</v>
      </c>
      <c r="G86">
        <v>1</v>
      </c>
      <c r="H86">
        <v>2</v>
      </c>
      <c r="I86" t="s">
        <v>782</v>
      </c>
      <c r="J86" t="s">
        <v>783</v>
      </c>
      <c r="K86" t="s">
        <v>784</v>
      </c>
      <c r="L86">
        <v>1368</v>
      </c>
      <c r="N86">
        <v>1011</v>
      </c>
      <c r="O86" t="s">
        <v>779</v>
      </c>
      <c r="P86" t="s">
        <v>779</v>
      </c>
      <c r="Q86">
        <v>1</v>
      </c>
      <c r="W86">
        <v>0</v>
      </c>
      <c r="X86">
        <v>1372534845</v>
      </c>
      <c r="Y86">
        <v>0.125</v>
      </c>
      <c r="AA86">
        <v>0</v>
      </c>
      <c r="AB86">
        <v>440.91</v>
      </c>
      <c r="AC86">
        <v>11.6</v>
      </c>
      <c r="AD86">
        <v>0</v>
      </c>
      <c r="AE86">
        <v>0</v>
      </c>
      <c r="AF86">
        <v>65.709999999999994</v>
      </c>
      <c r="AG86">
        <v>11.6</v>
      </c>
      <c r="AH86">
        <v>0</v>
      </c>
      <c r="AI86">
        <v>1</v>
      </c>
      <c r="AJ86">
        <v>6.71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0.1</v>
      </c>
      <c r="AU86" t="s">
        <v>103</v>
      </c>
      <c r="AV86">
        <v>0</v>
      </c>
      <c r="AW86">
        <v>2</v>
      </c>
      <c r="AX86">
        <v>16814260</v>
      </c>
      <c r="AY86">
        <v>1</v>
      </c>
      <c r="AZ86">
        <v>0</v>
      </c>
      <c r="BA86">
        <v>98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Y86*Source!I53</f>
        <v>0.16802500000000001</v>
      </c>
      <c r="CY86">
        <f>AB86</f>
        <v>440.91</v>
      </c>
      <c r="CZ86">
        <f>AF86</f>
        <v>65.709999999999994</v>
      </c>
      <c r="DA86">
        <f>AJ86</f>
        <v>6.71</v>
      </c>
      <c r="DB86">
        <f>ROUND((ROUND(AT86*CZ86,2)*1.25),2)</f>
        <v>8.2100000000000009</v>
      </c>
      <c r="DC86">
        <f>ROUND((ROUND(AT86*AG86,2)*1.25),2)</f>
        <v>1.45</v>
      </c>
    </row>
    <row r="87" spans="1:107" x14ac:dyDescent="0.2">
      <c r="A87">
        <f>ROW(Source!A53)</f>
        <v>53</v>
      </c>
      <c r="B87">
        <v>16812721</v>
      </c>
      <c r="C87">
        <v>16814257</v>
      </c>
      <c r="D87">
        <v>15162728</v>
      </c>
      <c r="E87">
        <v>17</v>
      </c>
      <c r="F87">
        <v>1</v>
      </c>
      <c r="G87">
        <v>1</v>
      </c>
      <c r="H87">
        <v>3</v>
      </c>
      <c r="I87" t="s">
        <v>164</v>
      </c>
      <c r="J87" t="s">
        <v>6</v>
      </c>
      <c r="K87" t="s">
        <v>165</v>
      </c>
      <c r="L87">
        <v>1327</v>
      </c>
      <c r="N87">
        <v>1005</v>
      </c>
      <c r="O87" t="s">
        <v>28</v>
      </c>
      <c r="P87" t="s">
        <v>28</v>
      </c>
      <c r="Q87">
        <v>1</v>
      </c>
      <c r="W87">
        <v>0</v>
      </c>
      <c r="X87">
        <v>-1235377378</v>
      </c>
      <c r="Y87">
        <v>102.5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6.71</v>
      </c>
      <c r="AJ87">
        <v>1</v>
      </c>
      <c r="AK87">
        <v>1</v>
      </c>
      <c r="AL87">
        <v>1</v>
      </c>
      <c r="AN87">
        <v>0</v>
      </c>
      <c r="AO87">
        <v>0</v>
      </c>
      <c r="AP87">
        <v>0</v>
      </c>
      <c r="AQ87">
        <v>0</v>
      </c>
      <c r="AR87">
        <v>0</v>
      </c>
      <c r="AS87" t="s">
        <v>6</v>
      </c>
      <c r="AT87">
        <v>102.5</v>
      </c>
      <c r="AU87" t="s">
        <v>6</v>
      </c>
      <c r="AV87">
        <v>0</v>
      </c>
      <c r="AW87">
        <v>2</v>
      </c>
      <c r="AX87">
        <v>16814261</v>
      </c>
      <c r="AY87">
        <v>1</v>
      </c>
      <c r="AZ87">
        <v>0</v>
      </c>
      <c r="BA87">
        <v>99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Y87*Source!I53</f>
        <v>137.78050000000002</v>
      </c>
      <c r="CY87">
        <f>AA87</f>
        <v>0</v>
      </c>
      <c r="CZ87">
        <f>AE87</f>
        <v>0</v>
      </c>
      <c r="DA87">
        <f>AI87</f>
        <v>6.71</v>
      </c>
      <c r="DB87">
        <f>ROUND(ROUND(AT87*CZ87,2),2)</f>
        <v>0</v>
      </c>
      <c r="DC87">
        <f>ROUND(ROUND(AT87*AG87,2),2)</f>
        <v>0</v>
      </c>
    </row>
    <row r="88" spans="1:107" x14ac:dyDescent="0.2">
      <c r="A88">
        <f>ROW(Source!A53)</f>
        <v>53</v>
      </c>
      <c r="B88">
        <v>16812721</v>
      </c>
      <c r="C88">
        <v>16814257</v>
      </c>
      <c r="D88">
        <v>15196295</v>
      </c>
      <c r="E88">
        <v>1</v>
      </c>
      <c r="F88">
        <v>1</v>
      </c>
      <c r="G88">
        <v>1</v>
      </c>
      <c r="H88">
        <v>3</v>
      </c>
      <c r="I88" t="s">
        <v>167</v>
      </c>
      <c r="J88" t="s">
        <v>169</v>
      </c>
      <c r="K88" t="s">
        <v>168</v>
      </c>
      <c r="L88">
        <v>1327</v>
      </c>
      <c r="N88">
        <v>1005</v>
      </c>
      <c r="O88" t="s">
        <v>28</v>
      </c>
      <c r="P88" t="s">
        <v>28</v>
      </c>
      <c r="Q88">
        <v>1</v>
      </c>
      <c r="W88">
        <v>0</v>
      </c>
      <c r="X88">
        <v>-666091860</v>
      </c>
      <c r="Y88">
        <v>102.5</v>
      </c>
      <c r="AA88">
        <v>2326.89</v>
      </c>
      <c r="AB88">
        <v>0</v>
      </c>
      <c r="AC88">
        <v>0</v>
      </c>
      <c r="AD88">
        <v>0</v>
      </c>
      <c r="AE88">
        <v>346.78</v>
      </c>
      <c r="AF88">
        <v>0</v>
      </c>
      <c r="AG88">
        <v>0</v>
      </c>
      <c r="AH88">
        <v>0</v>
      </c>
      <c r="AI88">
        <v>6.71</v>
      </c>
      <c r="AJ88">
        <v>1</v>
      </c>
      <c r="AK88">
        <v>1</v>
      </c>
      <c r="AL88">
        <v>1</v>
      </c>
      <c r="AN88">
        <v>0</v>
      </c>
      <c r="AO88">
        <v>0</v>
      </c>
      <c r="AP88">
        <v>0</v>
      </c>
      <c r="AQ88">
        <v>0</v>
      </c>
      <c r="AR88">
        <v>0</v>
      </c>
      <c r="AS88" t="s">
        <v>6</v>
      </c>
      <c r="AT88">
        <v>102.5</v>
      </c>
      <c r="AU88" t="s">
        <v>6</v>
      </c>
      <c r="AV88">
        <v>0</v>
      </c>
      <c r="AW88">
        <v>1</v>
      </c>
      <c r="AX88">
        <v>-1</v>
      </c>
      <c r="AY88">
        <v>0</v>
      </c>
      <c r="AZ88">
        <v>0</v>
      </c>
      <c r="BA88" t="s">
        <v>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Y88*Source!I53</f>
        <v>137.78050000000002</v>
      </c>
      <c r="CY88">
        <f>AA88</f>
        <v>2326.89</v>
      </c>
      <c r="CZ88">
        <f>AE88</f>
        <v>346.78</v>
      </c>
      <c r="DA88">
        <f>AI88</f>
        <v>6.71</v>
      </c>
      <c r="DB88">
        <f>ROUND(ROUND(AT88*CZ88,2),2)</f>
        <v>35544.949999999997</v>
      </c>
      <c r="DC88">
        <f>ROUND(ROUND(AT88*AG88,2),2)</f>
        <v>0</v>
      </c>
    </row>
    <row r="89" spans="1:107" x14ac:dyDescent="0.2">
      <c r="A89">
        <f>ROW(Source!A53)</f>
        <v>53</v>
      </c>
      <c r="B89">
        <v>16812721</v>
      </c>
      <c r="C89">
        <v>16814257</v>
      </c>
      <c r="D89">
        <v>15197694</v>
      </c>
      <c r="E89">
        <v>1</v>
      </c>
      <c r="F89">
        <v>1</v>
      </c>
      <c r="G89">
        <v>1</v>
      </c>
      <c r="H89">
        <v>3</v>
      </c>
      <c r="I89" t="s">
        <v>871</v>
      </c>
      <c r="J89" t="s">
        <v>872</v>
      </c>
      <c r="K89" t="s">
        <v>873</v>
      </c>
      <c r="L89">
        <v>1330</v>
      </c>
      <c r="N89">
        <v>1005</v>
      </c>
      <c r="O89" t="s">
        <v>300</v>
      </c>
      <c r="P89" t="s">
        <v>300</v>
      </c>
      <c r="Q89">
        <v>10</v>
      </c>
      <c r="W89">
        <v>0</v>
      </c>
      <c r="X89">
        <v>1442250580</v>
      </c>
      <c r="Y89">
        <v>10.5</v>
      </c>
      <c r="AA89">
        <v>234.18</v>
      </c>
      <c r="AB89">
        <v>0</v>
      </c>
      <c r="AC89">
        <v>0</v>
      </c>
      <c r="AD89">
        <v>0</v>
      </c>
      <c r="AE89">
        <v>34.9</v>
      </c>
      <c r="AF89">
        <v>0</v>
      </c>
      <c r="AG89">
        <v>0</v>
      </c>
      <c r="AH89">
        <v>0</v>
      </c>
      <c r="AI89">
        <v>6.71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6</v>
      </c>
      <c r="AT89">
        <v>10.5</v>
      </c>
      <c r="AU89" t="s">
        <v>6</v>
      </c>
      <c r="AV89">
        <v>0</v>
      </c>
      <c r="AW89">
        <v>2</v>
      </c>
      <c r="AX89">
        <v>16814262</v>
      </c>
      <c r="AY89">
        <v>1</v>
      </c>
      <c r="AZ89">
        <v>0</v>
      </c>
      <c r="BA89">
        <v>100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Y89*Source!I53</f>
        <v>14.114100000000001</v>
      </c>
      <c r="CY89">
        <f>AA89</f>
        <v>234.18</v>
      </c>
      <c r="CZ89">
        <f>AE89</f>
        <v>34.9</v>
      </c>
      <c r="DA89">
        <f>AI89</f>
        <v>6.71</v>
      </c>
      <c r="DB89">
        <f>ROUND(ROUND(AT89*CZ89,2),2)</f>
        <v>366.45</v>
      </c>
      <c r="DC89">
        <f>ROUND(ROUND(AT89*AG89,2),2)</f>
        <v>0</v>
      </c>
    </row>
    <row r="90" spans="1:107" x14ac:dyDescent="0.2">
      <c r="A90">
        <f>ROW(Source!A56)</f>
        <v>56</v>
      </c>
      <c r="B90">
        <v>16812721</v>
      </c>
      <c r="C90">
        <v>16813188</v>
      </c>
      <c r="D90">
        <v>15438286</v>
      </c>
      <c r="E90">
        <v>1</v>
      </c>
      <c r="F90">
        <v>1</v>
      </c>
      <c r="G90">
        <v>1</v>
      </c>
      <c r="H90">
        <v>1</v>
      </c>
      <c r="I90" t="s">
        <v>874</v>
      </c>
      <c r="J90" t="s">
        <v>6</v>
      </c>
      <c r="K90" t="s">
        <v>875</v>
      </c>
      <c r="L90">
        <v>1191</v>
      </c>
      <c r="N90">
        <v>1013</v>
      </c>
      <c r="O90" t="s">
        <v>773</v>
      </c>
      <c r="P90" t="s">
        <v>773</v>
      </c>
      <c r="Q90">
        <v>1</v>
      </c>
      <c r="W90">
        <v>0</v>
      </c>
      <c r="X90">
        <v>-1027537862</v>
      </c>
      <c r="Y90">
        <v>7.6819999999999995</v>
      </c>
      <c r="AA90">
        <v>0</v>
      </c>
      <c r="AB90">
        <v>0</v>
      </c>
      <c r="AC90">
        <v>0</v>
      </c>
      <c r="AD90">
        <v>61.6</v>
      </c>
      <c r="AE90">
        <v>0</v>
      </c>
      <c r="AF90">
        <v>0</v>
      </c>
      <c r="AG90">
        <v>0</v>
      </c>
      <c r="AH90">
        <v>9.18</v>
      </c>
      <c r="AI90">
        <v>1</v>
      </c>
      <c r="AJ90">
        <v>1</v>
      </c>
      <c r="AK90">
        <v>1</v>
      </c>
      <c r="AL90">
        <v>6.71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6</v>
      </c>
      <c r="AT90">
        <v>6.68</v>
      </c>
      <c r="AU90" t="s">
        <v>104</v>
      </c>
      <c r="AV90">
        <v>1</v>
      </c>
      <c r="AW90">
        <v>2</v>
      </c>
      <c r="AX90">
        <v>16813207</v>
      </c>
      <c r="AY90">
        <v>1</v>
      </c>
      <c r="AZ90">
        <v>0</v>
      </c>
      <c r="BA90">
        <v>101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Y90*Source!I56</f>
        <v>7.3439919999999992</v>
      </c>
      <c r="CY90">
        <f>AD90</f>
        <v>61.6</v>
      </c>
      <c r="CZ90">
        <f>AH90</f>
        <v>9.18</v>
      </c>
      <c r="DA90">
        <f>AL90</f>
        <v>6.71</v>
      </c>
      <c r="DB90">
        <f>ROUND((ROUND(AT90*CZ90,2)*1.15),2)</f>
        <v>70.52</v>
      </c>
      <c r="DC90">
        <f>ROUND((ROUND(AT90*AG90,2)*1.15),2)</f>
        <v>0</v>
      </c>
    </row>
    <row r="91" spans="1:107" x14ac:dyDescent="0.2">
      <c r="A91">
        <f>ROW(Source!A56)</f>
        <v>56</v>
      </c>
      <c r="B91">
        <v>16812721</v>
      </c>
      <c r="C91">
        <v>16813188</v>
      </c>
      <c r="D91">
        <v>15430395</v>
      </c>
      <c r="E91">
        <v>1</v>
      </c>
      <c r="F91">
        <v>1</v>
      </c>
      <c r="G91">
        <v>1</v>
      </c>
      <c r="H91">
        <v>1</v>
      </c>
      <c r="I91" t="s">
        <v>774</v>
      </c>
      <c r="J91" t="s">
        <v>6</v>
      </c>
      <c r="K91" t="s">
        <v>775</v>
      </c>
      <c r="L91">
        <v>1191</v>
      </c>
      <c r="N91">
        <v>1013</v>
      </c>
      <c r="O91" t="s">
        <v>773</v>
      </c>
      <c r="P91" t="s">
        <v>773</v>
      </c>
      <c r="Q91">
        <v>1</v>
      </c>
      <c r="W91">
        <v>0</v>
      </c>
      <c r="X91">
        <v>-1417349443</v>
      </c>
      <c r="Y91">
        <v>0.04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6.71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6</v>
      </c>
      <c r="AT91">
        <v>0.04</v>
      </c>
      <c r="AU91" t="s">
        <v>6</v>
      </c>
      <c r="AV91">
        <v>2</v>
      </c>
      <c r="AW91">
        <v>2</v>
      </c>
      <c r="AX91">
        <v>16813208</v>
      </c>
      <c r="AY91">
        <v>1</v>
      </c>
      <c r="AZ91">
        <v>2048</v>
      </c>
      <c r="BA91">
        <v>102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Y91*Source!I56</f>
        <v>3.8239999999999996E-2</v>
      </c>
      <c r="CY91">
        <f>AD91</f>
        <v>0</v>
      </c>
      <c r="CZ91">
        <f>AH91</f>
        <v>0</v>
      </c>
      <c r="DA91">
        <f>AL91</f>
        <v>1</v>
      </c>
      <c r="DB91">
        <f>ROUND(ROUND(AT91*CZ91,2),2)</f>
        <v>0</v>
      </c>
      <c r="DC91">
        <f>ROUND(ROUND(AT91*AG91,2),2)</f>
        <v>0</v>
      </c>
    </row>
    <row r="92" spans="1:107" x14ac:dyDescent="0.2">
      <c r="A92">
        <f>ROW(Source!A56)</f>
        <v>56</v>
      </c>
      <c r="B92">
        <v>16812721</v>
      </c>
      <c r="C92">
        <v>16813188</v>
      </c>
      <c r="D92">
        <v>15247974</v>
      </c>
      <c r="E92">
        <v>1</v>
      </c>
      <c r="F92">
        <v>1</v>
      </c>
      <c r="G92">
        <v>1</v>
      </c>
      <c r="H92">
        <v>2</v>
      </c>
      <c r="I92" t="s">
        <v>776</v>
      </c>
      <c r="J92" t="s">
        <v>777</v>
      </c>
      <c r="K92" t="s">
        <v>778</v>
      </c>
      <c r="L92">
        <v>1368</v>
      </c>
      <c r="N92">
        <v>1011</v>
      </c>
      <c r="O92" t="s">
        <v>779</v>
      </c>
      <c r="P92" t="s">
        <v>779</v>
      </c>
      <c r="Q92">
        <v>1</v>
      </c>
      <c r="W92">
        <v>0</v>
      </c>
      <c r="X92">
        <v>1188625873</v>
      </c>
      <c r="Y92">
        <v>6.2500000000000003E-3</v>
      </c>
      <c r="AA92">
        <v>0</v>
      </c>
      <c r="AB92">
        <v>209.75</v>
      </c>
      <c r="AC92">
        <v>13.5</v>
      </c>
      <c r="AD92">
        <v>0</v>
      </c>
      <c r="AE92">
        <v>0</v>
      </c>
      <c r="AF92">
        <v>31.26</v>
      </c>
      <c r="AG92">
        <v>13.5</v>
      </c>
      <c r="AH92">
        <v>0</v>
      </c>
      <c r="AI92">
        <v>1</v>
      </c>
      <c r="AJ92">
        <v>6.71</v>
      </c>
      <c r="AK92">
        <v>1</v>
      </c>
      <c r="AL92">
        <v>1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6</v>
      </c>
      <c r="AT92">
        <v>5.0000000000000001E-3</v>
      </c>
      <c r="AU92" t="s">
        <v>103</v>
      </c>
      <c r="AV92">
        <v>0</v>
      </c>
      <c r="AW92">
        <v>2</v>
      </c>
      <c r="AX92">
        <v>16813209</v>
      </c>
      <c r="AY92">
        <v>1</v>
      </c>
      <c r="AZ92">
        <v>0</v>
      </c>
      <c r="BA92">
        <v>103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Y92*Source!I56</f>
        <v>5.9750000000000003E-3</v>
      </c>
      <c r="CY92">
        <f>AB92</f>
        <v>209.75</v>
      </c>
      <c r="CZ92">
        <f>AF92</f>
        <v>31.26</v>
      </c>
      <c r="DA92">
        <f>AJ92</f>
        <v>6.71</v>
      </c>
      <c r="DB92">
        <f>ROUND((ROUND(AT92*CZ92,2)*1.25),2)</f>
        <v>0.2</v>
      </c>
      <c r="DC92">
        <f>ROUND((ROUND(AT92*AG92,2)*1.25),2)</f>
        <v>0.09</v>
      </c>
    </row>
    <row r="93" spans="1:107" x14ac:dyDescent="0.2">
      <c r="A93">
        <f>ROW(Source!A56)</f>
        <v>56</v>
      </c>
      <c r="B93">
        <v>16812721</v>
      </c>
      <c r="C93">
        <v>16813188</v>
      </c>
      <c r="D93">
        <v>15249073</v>
      </c>
      <c r="E93">
        <v>1</v>
      </c>
      <c r="F93">
        <v>1</v>
      </c>
      <c r="G93">
        <v>1</v>
      </c>
      <c r="H93">
        <v>2</v>
      </c>
      <c r="I93" t="s">
        <v>782</v>
      </c>
      <c r="J93" t="s">
        <v>783</v>
      </c>
      <c r="K93" t="s">
        <v>784</v>
      </c>
      <c r="L93">
        <v>1368</v>
      </c>
      <c r="N93">
        <v>1011</v>
      </c>
      <c r="O93" t="s">
        <v>779</v>
      </c>
      <c r="P93" t="s">
        <v>779</v>
      </c>
      <c r="Q93">
        <v>1</v>
      </c>
      <c r="W93">
        <v>0</v>
      </c>
      <c r="X93">
        <v>1372534845</v>
      </c>
      <c r="Y93">
        <v>3.7499999999999999E-2</v>
      </c>
      <c r="AA93">
        <v>0</v>
      </c>
      <c r="AB93">
        <v>440.91</v>
      </c>
      <c r="AC93">
        <v>11.6</v>
      </c>
      <c r="AD93">
        <v>0</v>
      </c>
      <c r="AE93">
        <v>0</v>
      </c>
      <c r="AF93">
        <v>65.709999999999994</v>
      </c>
      <c r="AG93">
        <v>11.6</v>
      </c>
      <c r="AH93">
        <v>0</v>
      </c>
      <c r="AI93">
        <v>1</v>
      </c>
      <c r="AJ93">
        <v>6.71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0.03</v>
      </c>
      <c r="AU93" t="s">
        <v>103</v>
      </c>
      <c r="AV93">
        <v>0</v>
      </c>
      <c r="AW93">
        <v>2</v>
      </c>
      <c r="AX93">
        <v>16813210</v>
      </c>
      <c r="AY93">
        <v>1</v>
      </c>
      <c r="AZ93">
        <v>0</v>
      </c>
      <c r="BA93">
        <v>104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Y93*Source!I56</f>
        <v>3.585E-2</v>
      </c>
      <c r="CY93">
        <f>AB93</f>
        <v>440.91</v>
      </c>
      <c r="CZ93">
        <f>AF93</f>
        <v>65.709999999999994</v>
      </c>
      <c r="DA93">
        <f>AJ93</f>
        <v>6.71</v>
      </c>
      <c r="DB93">
        <f>ROUND((ROUND(AT93*CZ93,2)*1.25),2)</f>
        <v>2.46</v>
      </c>
      <c r="DC93">
        <f>ROUND((ROUND(AT93*AG93,2)*1.25),2)</f>
        <v>0.44</v>
      </c>
    </row>
    <row r="94" spans="1:107" x14ac:dyDescent="0.2">
      <c r="A94">
        <f>ROW(Source!A56)</f>
        <v>56</v>
      </c>
      <c r="B94">
        <v>16812721</v>
      </c>
      <c r="C94">
        <v>16813188</v>
      </c>
      <c r="D94">
        <v>15169972</v>
      </c>
      <c r="E94">
        <v>1</v>
      </c>
      <c r="F94">
        <v>1</v>
      </c>
      <c r="G94">
        <v>1</v>
      </c>
      <c r="H94">
        <v>3</v>
      </c>
      <c r="I94" t="s">
        <v>876</v>
      </c>
      <c r="J94" t="s">
        <v>877</v>
      </c>
      <c r="K94" t="s">
        <v>878</v>
      </c>
      <c r="L94">
        <v>1355</v>
      </c>
      <c r="N94">
        <v>1010</v>
      </c>
      <c r="O94" t="s">
        <v>188</v>
      </c>
      <c r="P94" t="s">
        <v>188</v>
      </c>
      <c r="Q94">
        <v>100</v>
      </c>
      <c r="W94">
        <v>0</v>
      </c>
      <c r="X94">
        <v>-725528132</v>
      </c>
      <c r="Y94">
        <v>2.63</v>
      </c>
      <c r="AA94">
        <v>80.52</v>
      </c>
      <c r="AB94">
        <v>0</v>
      </c>
      <c r="AC94">
        <v>0</v>
      </c>
      <c r="AD94">
        <v>0</v>
      </c>
      <c r="AE94">
        <v>12</v>
      </c>
      <c r="AF94">
        <v>0</v>
      </c>
      <c r="AG94">
        <v>0</v>
      </c>
      <c r="AH94">
        <v>0</v>
      </c>
      <c r="AI94">
        <v>6.71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2.63</v>
      </c>
      <c r="AU94" t="s">
        <v>6</v>
      </c>
      <c r="AV94">
        <v>0</v>
      </c>
      <c r="AW94">
        <v>2</v>
      </c>
      <c r="AX94">
        <v>16813211</v>
      </c>
      <c r="AY94">
        <v>1</v>
      </c>
      <c r="AZ94">
        <v>0</v>
      </c>
      <c r="BA94">
        <v>105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Y94*Source!I56</f>
        <v>2.5142799999999998</v>
      </c>
      <c r="CY94">
        <f t="shared" ref="CY94:CY107" si="10">AA94</f>
        <v>80.52</v>
      </c>
      <c r="CZ94">
        <f t="shared" ref="CZ94:CZ107" si="11">AE94</f>
        <v>12</v>
      </c>
      <c r="DA94">
        <f t="shared" ref="DA94:DA107" si="12">AI94</f>
        <v>6.71</v>
      </c>
      <c r="DB94">
        <f t="shared" ref="DB94:DB107" si="13">ROUND(ROUND(AT94*CZ94,2),2)</f>
        <v>31.56</v>
      </c>
      <c r="DC94">
        <f t="shared" ref="DC94:DC107" si="14">ROUND(ROUND(AT94*AG94,2),2)</f>
        <v>0</v>
      </c>
    </row>
    <row r="95" spans="1:107" x14ac:dyDescent="0.2">
      <c r="A95">
        <f>ROW(Source!A56)</f>
        <v>56</v>
      </c>
      <c r="B95">
        <v>16812721</v>
      </c>
      <c r="C95">
        <v>16813188</v>
      </c>
      <c r="D95">
        <v>15170075</v>
      </c>
      <c r="E95">
        <v>1</v>
      </c>
      <c r="F95">
        <v>1</v>
      </c>
      <c r="G95">
        <v>1</v>
      </c>
      <c r="H95">
        <v>3</v>
      </c>
      <c r="I95" t="s">
        <v>879</v>
      </c>
      <c r="J95" t="s">
        <v>880</v>
      </c>
      <c r="K95" t="s">
        <v>881</v>
      </c>
      <c r="L95">
        <v>1356</v>
      </c>
      <c r="N95">
        <v>1010</v>
      </c>
      <c r="O95" t="s">
        <v>882</v>
      </c>
      <c r="P95" t="s">
        <v>882</v>
      </c>
      <c r="Q95">
        <v>1000</v>
      </c>
      <c r="W95">
        <v>0</v>
      </c>
      <c r="X95">
        <v>1130533903</v>
      </c>
      <c r="Y95">
        <v>0.26300000000000001</v>
      </c>
      <c r="AA95">
        <v>1073.5999999999999</v>
      </c>
      <c r="AB95">
        <v>0</v>
      </c>
      <c r="AC95">
        <v>0</v>
      </c>
      <c r="AD95">
        <v>0</v>
      </c>
      <c r="AE95">
        <v>160</v>
      </c>
      <c r="AF95">
        <v>0</v>
      </c>
      <c r="AG95">
        <v>0</v>
      </c>
      <c r="AH95">
        <v>0</v>
      </c>
      <c r="AI95">
        <v>6.71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6</v>
      </c>
      <c r="AT95">
        <v>0.26300000000000001</v>
      </c>
      <c r="AU95" t="s">
        <v>6</v>
      </c>
      <c r="AV95">
        <v>0</v>
      </c>
      <c r="AW95">
        <v>2</v>
      </c>
      <c r="AX95">
        <v>16813212</v>
      </c>
      <c r="AY95">
        <v>1</v>
      </c>
      <c r="AZ95">
        <v>0</v>
      </c>
      <c r="BA95">
        <v>106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Y95*Source!I56</f>
        <v>0.25142799999999998</v>
      </c>
      <c r="CY95">
        <f t="shared" si="10"/>
        <v>1073.5999999999999</v>
      </c>
      <c r="CZ95">
        <f t="shared" si="11"/>
        <v>160</v>
      </c>
      <c r="DA95">
        <f t="shared" si="12"/>
        <v>6.71</v>
      </c>
      <c r="DB95">
        <f t="shared" si="13"/>
        <v>42.08</v>
      </c>
      <c r="DC95">
        <f t="shared" si="14"/>
        <v>0</v>
      </c>
    </row>
    <row r="96" spans="1:107" x14ac:dyDescent="0.2">
      <c r="A96">
        <f>ROW(Source!A56)</f>
        <v>56</v>
      </c>
      <c r="B96">
        <v>16812721</v>
      </c>
      <c r="C96">
        <v>16813188</v>
      </c>
      <c r="D96">
        <v>15162756</v>
      </c>
      <c r="E96">
        <v>17</v>
      </c>
      <c r="F96">
        <v>1</v>
      </c>
      <c r="G96">
        <v>1</v>
      </c>
      <c r="H96">
        <v>3</v>
      </c>
      <c r="I96" t="s">
        <v>175</v>
      </c>
      <c r="J96" t="s">
        <v>6</v>
      </c>
      <c r="K96" t="s">
        <v>176</v>
      </c>
      <c r="L96">
        <v>1301</v>
      </c>
      <c r="N96">
        <v>1003</v>
      </c>
      <c r="O96" t="s">
        <v>177</v>
      </c>
      <c r="P96" t="s">
        <v>177</v>
      </c>
      <c r="Q96">
        <v>1</v>
      </c>
      <c r="W96">
        <v>0</v>
      </c>
      <c r="X96">
        <v>-2049262376</v>
      </c>
      <c r="Y96">
        <v>101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6.71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101</v>
      </c>
      <c r="AU96" t="s">
        <v>6</v>
      </c>
      <c r="AV96">
        <v>0</v>
      </c>
      <c r="AW96">
        <v>2</v>
      </c>
      <c r="AX96">
        <v>16813213</v>
      </c>
      <c r="AY96">
        <v>1</v>
      </c>
      <c r="AZ96">
        <v>0</v>
      </c>
      <c r="BA96">
        <v>107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Y96*Source!I56</f>
        <v>96.555999999999997</v>
      </c>
      <c r="CY96">
        <f t="shared" si="10"/>
        <v>0</v>
      </c>
      <c r="CZ96">
        <f t="shared" si="11"/>
        <v>0</v>
      </c>
      <c r="DA96">
        <f t="shared" si="12"/>
        <v>6.71</v>
      </c>
      <c r="DB96">
        <f t="shared" si="13"/>
        <v>0</v>
      </c>
      <c r="DC96">
        <f t="shared" si="14"/>
        <v>0</v>
      </c>
    </row>
    <row r="97" spans="1:107" x14ac:dyDescent="0.2">
      <c r="A97">
        <f>ROW(Source!A56)</f>
        <v>56</v>
      </c>
      <c r="B97">
        <v>16812721</v>
      </c>
      <c r="C97">
        <v>16813188</v>
      </c>
      <c r="D97">
        <v>15197682</v>
      </c>
      <c r="E97">
        <v>1</v>
      </c>
      <c r="F97">
        <v>1</v>
      </c>
      <c r="G97">
        <v>1</v>
      </c>
      <c r="H97">
        <v>3</v>
      </c>
      <c r="I97" t="s">
        <v>179</v>
      </c>
      <c r="J97" t="s">
        <v>181</v>
      </c>
      <c r="K97" t="s">
        <v>180</v>
      </c>
      <c r="L97">
        <v>1301</v>
      </c>
      <c r="N97">
        <v>1003</v>
      </c>
      <c r="O97" t="s">
        <v>177</v>
      </c>
      <c r="P97" t="s">
        <v>177</v>
      </c>
      <c r="Q97">
        <v>1</v>
      </c>
      <c r="W97">
        <v>0</v>
      </c>
      <c r="X97">
        <v>1744309368</v>
      </c>
      <c r="Y97">
        <v>101</v>
      </c>
      <c r="AA97">
        <v>82.53</v>
      </c>
      <c r="AB97">
        <v>0</v>
      </c>
      <c r="AC97">
        <v>0</v>
      </c>
      <c r="AD97">
        <v>0</v>
      </c>
      <c r="AE97">
        <v>12.3</v>
      </c>
      <c r="AF97">
        <v>0</v>
      </c>
      <c r="AG97">
        <v>0</v>
      </c>
      <c r="AH97">
        <v>0</v>
      </c>
      <c r="AI97">
        <v>6.71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101</v>
      </c>
      <c r="AU97" t="s">
        <v>6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Y97*Source!I56</f>
        <v>96.555999999999997</v>
      </c>
      <c r="CY97">
        <f t="shared" si="10"/>
        <v>82.53</v>
      </c>
      <c r="CZ97">
        <f t="shared" si="11"/>
        <v>12.3</v>
      </c>
      <c r="DA97">
        <f t="shared" si="12"/>
        <v>6.71</v>
      </c>
      <c r="DB97">
        <f t="shared" si="13"/>
        <v>1242.3</v>
      </c>
      <c r="DC97">
        <f t="shared" si="14"/>
        <v>0</v>
      </c>
    </row>
    <row r="98" spans="1:107" x14ac:dyDescent="0.2">
      <c r="A98">
        <f>ROW(Source!A56)</f>
        <v>56</v>
      </c>
      <c r="B98">
        <v>16812721</v>
      </c>
      <c r="C98">
        <v>16813188</v>
      </c>
      <c r="D98">
        <v>15162759</v>
      </c>
      <c r="E98">
        <v>17</v>
      </c>
      <c r="F98">
        <v>1</v>
      </c>
      <c r="G98">
        <v>1</v>
      </c>
      <c r="H98">
        <v>3</v>
      </c>
      <c r="I98" t="s">
        <v>183</v>
      </c>
      <c r="J98" t="s">
        <v>6</v>
      </c>
      <c r="K98" t="s">
        <v>184</v>
      </c>
      <c r="L98">
        <v>1354</v>
      </c>
      <c r="N98">
        <v>1010</v>
      </c>
      <c r="O98" t="s">
        <v>62</v>
      </c>
      <c r="P98" t="s">
        <v>62</v>
      </c>
      <c r="Q98">
        <v>1</v>
      </c>
      <c r="W98">
        <v>0</v>
      </c>
      <c r="X98">
        <v>457303772</v>
      </c>
      <c r="Y98">
        <v>7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6.71</v>
      </c>
      <c r="AJ98">
        <v>1</v>
      </c>
      <c r="AK98">
        <v>1</v>
      </c>
      <c r="AL98">
        <v>1</v>
      </c>
      <c r="AN98">
        <v>0</v>
      </c>
      <c r="AO98">
        <v>0</v>
      </c>
      <c r="AP98">
        <v>0</v>
      </c>
      <c r="AQ98">
        <v>0</v>
      </c>
      <c r="AR98">
        <v>0</v>
      </c>
      <c r="AS98" t="s">
        <v>6</v>
      </c>
      <c r="AT98">
        <v>7</v>
      </c>
      <c r="AU98" t="s">
        <v>6</v>
      </c>
      <c r="AV98">
        <v>0</v>
      </c>
      <c r="AW98">
        <v>2</v>
      </c>
      <c r="AX98">
        <v>16813214</v>
      </c>
      <c r="AY98">
        <v>1</v>
      </c>
      <c r="AZ98">
        <v>0</v>
      </c>
      <c r="BA98">
        <v>108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Y98*Source!I56</f>
        <v>6.6920000000000002</v>
      </c>
      <c r="CY98">
        <f t="shared" si="10"/>
        <v>0</v>
      </c>
      <c r="CZ98">
        <f t="shared" si="11"/>
        <v>0</v>
      </c>
      <c r="DA98">
        <f t="shared" si="12"/>
        <v>6.71</v>
      </c>
      <c r="DB98">
        <f t="shared" si="13"/>
        <v>0</v>
      </c>
      <c r="DC98">
        <f t="shared" si="14"/>
        <v>0</v>
      </c>
    </row>
    <row r="99" spans="1:107" x14ac:dyDescent="0.2">
      <c r="A99">
        <f>ROW(Source!A56)</f>
        <v>56</v>
      </c>
      <c r="B99">
        <v>16812721</v>
      </c>
      <c r="C99">
        <v>16813188</v>
      </c>
      <c r="D99">
        <v>15162759</v>
      </c>
      <c r="E99">
        <v>17</v>
      </c>
      <c r="F99">
        <v>1</v>
      </c>
      <c r="G99">
        <v>1</v>
      </c>
      <c r="H99">
        <v>3</v>
      </c>
      <c r="I99" t="s">
        <v>183</v>
      </c>
      <c r="J99" t="s">
        <v>6</v>
      </c>
      <c r="K99" t="s">
        <v>207</v>
      </c>
      <c r="L99">
        <v>1354</v>
      </c>
      <c r="N99">
        <v>1010</v>
      </c>
      <c r="O99" t="s">
        <v>62</v>
      </c>
      <c r="P99" t="s">
        <v>62</v>
      </c>
      <c r="Q99">
        <v>1</v>
      </c>
      <c r="W99">
        <v>0</v>
      </c>
      <c r="X99">
        <v>119324816</v>
      </c>
      <c r="Y99">
        <v>6.981344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6.71</v>
      </c>
      <c r="AJ99">
        <v>1</v>
      </c>
      <c r="AK99">
        <v>1</v>
      </c>
      <c r="AL99">
        <v>1</v>
      </c>
      <c r="AN99">
        <v>0</v>
      </c>
      <c r="AO99">
        <v>0</v>
      </c>
      <c r="AP99">
        <v>0</v>
      </c>
      <c r="AQ99">
        <v>0</v>
      </c>
      <c r="AR99">
        <v>0</v>
      </c>
      <c r="AS99" t="s">
        <v>6</v>
      </c>
      <c r="AT99">
        <v>6.981344</v>
      </c>
      <c r="AU99" t="s">
        <v>6</v>
      </c>
      <c r="AV99">
        <v>0</v>
      </c>
      <c r="AW99">
        <v>2</v>
      </c>
      <c r="AX99">
        <v>16813215</v>
      </c>
      <c r="AY99">
        <v>1</v>
      </c>
      <c r="AZ99">
        <v>6144</v>
      </c>
      <c r="BA99">
        <v>109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Y99*Source!I56</f>
        <v>6.6741648639999998</v>
      </c>
      <c r="CY99">
        <f t="shared" si="10"/>
        <v>0</v>
      </c>
      <c r="CZ99">
        <f t="shared" si="11"/>
        <v>0</v>
      </c>
      <c r="DA99">
        <f t="shared" si="12"/>
        <v>6.71</v>
      </c>
      <c r="DB99">
        <f t="shared" si="13"/>
        <v>0</v>
      </c>
      <c r="DC99">
        <f t="shared" si="14"/>
        <v>0</v>
      </c>
    </row>
    <row r="100" spans="1:107" x14ac:dyDescent="0.2">
      <c r="A100">
        <f>ROW(Source!A56)</f>
        <v>56</v>
      </c>
      <c r="B100">
        <v>16812721</v>
      </c>
      <c r="C100">
        <v>16813188</v>
      </c>
      <c r="D100">
        <v>15162759</v>
      </c>
      <c r="E100">
        <v>17</v>
      </c>
      <c r="F100">
        <v>1</v>
      </c>
      <c r="G100">
        <v>1</v>
      </c>
      <c r="H100">
        <v>3</v>
      </c>
      <c r="I100" t="s">
        <v>183</v>
      </c>
      <c r="J100" t="s">
        <v>6</v>
      </c>
      <c r="K100" t="s">
        <v>209</v>
      </c>
      <c r="L100">
        <v>1354</v>
      </c>
      <c r="N100">
        <v>1010</v>
      </c>
      <c r="O100" t="s">
        <v>62</v>
      </c>
      <c r="P100" t="s">
        <v>62</v>
      </c>
      <c r="Q100">
        <v>1</v>
      </c>
      <c r="W100">
        <v>0</v>
      </c>
      <c r="X100">
        <v>2133044040</v>
      </c>
      <c r="Y100">
        <v>39.948802999999998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6.71</v>
      </c>
      <c r="AJ100">
        <v>1</v>
      </c>
      <c r="AK100">
        <v>1</v>
      </c>
      <c r="AL100">
        <v>1</v>
      </c>
      <c r="AN100">
        <v>0</v>
      </c>
      <c r="AO100">
        <v>0</v>
      </c>
      <c r="AP100">
        <v>0</v>
      </c>
      <c r="AQ100">
        <v>0</v>
      </c>
      <c r="AR100">
        <v>0</v>
      </c>
      <c r="AS100" t="s">
        <v>6</v>
      </c>
      <c r="AT100">
        <v>39.948802999999998</v>
      </c>
      <c r="AU100" t="s">
        <v>6</v>
      </c>
      <c r="AV100">
        <v>0</v>
      </c>
      <c r="AW100">
        <v>2</v>
      </c>
      <c r="AX100">
        <v>16813216</v>
      </c>
      <c r="AY100">
        <v>1</v>
      </c>
      <c r="AZ100">
        <v>6144</v>
      </c>
      <c r="BA100">
        <v>110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Y100*Source!I56</f>
        <v>38.191055667999997</v>
      </c>
      <c r="CY100">
        <f t="shared" si="10"/>
        <v>0</v>
      </c>
      <c r="CZ100">
        <f t="shared" si="11"/>
        <v>0</v>
      </c>
      <c r="DA100">
        <f t="shared" si="12"/>
        <v>6.71</v>
      </c>
      <c r="DB100">
        <f t="shared" si="13"/>
        <v>0</v>
      </c>
      <c r="DC100">
        <f t="shared" si="14"/>
        <v>0</v>
      </c>
    </row>
    <row r="101" spans="1:107" x14ac:dyDescent="0.2">
      <c r="A101">
        <f>ROW(Source!A56)</f>
        <v>56</v>
      </c>
      <c r="B101">
        <v>16812721</v>
      </c>
      <c r="C101">
        <v>16813188</v>
      </c>
      <c r="D101">
        <v>15162759</v>
      </c>
      <c r="E101">
        <v>17</v>
      </c>
      <c r="F101">
        <v>1</v>
      </c>
      <c r="G101">
        <v>1</v>
      </c>
      <c r="H101">
        <v>3</v>
      </c>
      <c r="I101" t="s">
        <v>183</v>
      </c>
      <c r="J101" t="s">
        <v>6</v>
      </c>
      <c r="K101" t="s">
        <v>211</v>
      </c>
      <c r="L101">
        <v>1354</v>
      </c>
      <c r="N101">
        <v>1010</v>
      </c>
      <c r="O101" t="s">
        <v>62</v>
      </c>
      <c r="P101" t="s">
        <v>62</v>
      </c>
      <c r="Q101">
        <v>1</v>
      </c>
      <c r="W101">
        <v>0</v>
      </c>
      <c r="X101">
        <v>1953413105</v>
      </c>
      <c r="Y101">
        <v>7.9509749999999997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6.71</v>
      </c>
      <c r="AJ101">
        <v>1</v>
      </c>
      <c r="AK101">
        <v>1</v>
      </c>
      <c r="AL101">
        <v>1</v>
      </c>
      <c r="AN101">
        <v>0</v>
      </c>
      <c r="AO101">
        <v>0</v>
      </c>
      <c r="AP101">
        <v>0</v>
      </c>
      <c r="AQ101">
        <v>0</v>
      </c>
      <c r="AR101">
        <v>0</v>
      </c>
      <c r="AS101" t="s">
        <v>6</v>
      </c>
      <c r="AT101">
        <v>7.9509749999999997</v>
      </c>
      <c r="AU101" t="s">
        <v>6</v>
      </c>
      <c r="AV101">
        <v>0</v>
      </c>
      <c r="AW101">
        <v>2</v>
      </c>
      <c r="AX101">
        <v>16813217</v>
      </c>
      <c r="AY101">
        <v>1</v>
      </c>
      <c r="AZ101">
        <v>6144</v>
      </c>
      <c r="BA101">
        <v>111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Y101*Source!I56</f>
        <v>7.6011320999999992</v>
      </c>
      <c r="CY101">
        <f t="shared" si="10"/>
        <v>0</v>
      </c>
      <c r="CZ101">
        <f t="shared" si="11"/>
        <v>0</v>
      </c>
      <c r="DA101">
        <f t="shared" si="12"/>
        <v>6.71</v>
      </c>
      <c r="DB101">
        <f t="shared" si="13"/>
        <v>0</v>
      </c>
      <c r="DC101">
        <f t="shared" si="14"/>
        <v>0</v>
      </c>
    </row>
    <row r="102" spans="1:107" x14ac:dyDescent="0.2">
      <c r="A102">
        <f>ROW(Source!A56)</f>
        <v>56</v>
      </c>
      <c r="B102">
        <v>16812721</v>
      </c>
      <c r="C102">
        <v>16813188</v>
      </c>
      <c r="D102">
        <v>15162759</v>
      </c>
      <c r="E102">
        <v>17</v>
      </c>
      <c r="F102">
        <v>1</v>
      </c>
      <c r="G102">
        <v>1</v>
      </c>
      <c r="H102">
        <v>3</v>
      </c>
      <c r="I102" t="s">
        <v>183</v>
      </c>
      <c r="J102" t="s">
        <v>6</v>
      </c>
      <c r="K102" t="s">
        <v>213</v>
      </c>
      <c r="L102">
        <v>1354</v>
      </c>
      <c r="N102">
        <v>1010</v>
      </c>
      <c r="O102" t="s">
        <v>62</v>
      </c>
      <c r="P102" t="s">
        <v>62</v>
      </c>
      <c r="Q102">
        <v>1</v>
      </c>
      <c r="W102">
        <v>0</v>
      </c>
      <c r="X102">
        <v>-333106949</v>
      </c>
      <c r="Y102">
        <v>7.9509749999999997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6.71</v>
      </c>
      <c r="AJ102">
        <v>1</v>
      </c>
      <c r="AK102">
        <v>1</v>
      </c>
      <c r="AL102">
        <v>1</v>
      </c>
      <c r="AN102">
        <v>0</v>
      </c>
      <c r="AO102">
        <v>0</v>
      </c>
      <c r="AP102">
        <v>0</v>
      </c>
      <c r="AQ102">
        <v>0</v>
      </c>
      <c r="AR102">
        <v>0</v>
      </c>
      <c r="AS102" t="s">
        <v>6</v>
      </c>
      <c r="AT102">
        <v>7.9509749999999997</v>
      </c>
      <c r="AU102" t="s">
        <v>6</v>
      </c>
      <c r="AV102">
        <v>0</v>
      </c>
      <c r="AW102">
        <v>2</v>
      </c>
      <c r="AX102">
        <v>16813218</v>
      </c>
      <c r="AY102">
        <v>1</v>
      </c>
      <c r="AZ102">
        <v>6144</v>
      </c>
      <c r="BA102">
        <v>112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Y102*Source!I56</f>
        <v>7.6011320999999992</v>
      </c>
      <c r="CY102">
        <f t="shared" si="10"/>
        <v>0</v>
      </c>
      <c r="CZ102">
        <f t="shared" si="11"/>
        <v>0</v>
      </c>
      <c r="DA102">
        <f t="shared" si="12"/>
        <v>6.71</v>
      </c>
      <c r="DB102">
        <f t="shared" si="13"/>
        <v>0</v>
      </c>
      <c r="DC102">
        <f t="shared" si="14"/>
        <v>0</v>
      </c>
    </row>
    <row r="103" spans="1:107" x14ac:dyDescent="0.2">
      <c r="A103">
        <f>ROW(Source!A56)</f>
        <v>56</v>
      </c>
      <c r="B103">
        <v>16812721</v>
      </c>
      <c r="C103">
        <v>16813188</v>
      </c>
      <c r="D103">
        <v>15197768</v>
      </c>
      <c r="E103">
        <v>1</v>
      </c>
      <c r="F103">
        <v>1</v>
      </c>
      <c r="G103">
        <v>1</v>
      </c>
      <c r="H103">
        <v>3</v>
      </c>
      <c r="I103" t="s">
        <v>191</v>
      </c>
      <c r="J103" t="s">
        <v>193</v>
      </c>
      <c r="K103" t="s">
        <v>192</v>
      </c>
      <c r="L103">
        <v>1355</v>
      </c>
      <c r="N103">
        <v>1010</v>
      </c>
      <c r="O103" t="s">
        <v>188</v>
      </c>
      <c r="P103" t="s">
        <v>188</v>
      </c>
      <c r="Q103">
        <v>100</v>
      </c>
      <c r="W103">
        <v>0</v>
      </c>
      <c r="X103">
        <v>1345842772</v>
      </c>
      <c r="Y103">
        <v>7.3221999999999995E-2</v>
      </c>
      <c r="AA103">
        <v>422.73</v>
      </c>
      <c r="AB103">
        <v>0</v>
      </c>
      <c r="AC103">
        <v>0</v>
      </c>
      <c r="AD103">
        <v>0</v>
      </c>
      <c r="AE103">
        <v>63</v>
      </c>
      <c r="AF103">
        <v>0</v>
      </c>
      <c r="AG103">
        <v>0</v>
      </c>
      <c r="AH103">
        <v>0</v>
      </c>
      <c r="AI103">
        <v>6.71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</v>
      </c>
      <c r="AT103">
        <v>7.3221999999999995E-2</v>
      </c>
      <c r="AU103" t="s">
        <v>6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Y103*Source!I56</f>
        <v>7.0000231999999996E-2</v>
      </c>
      <c r="CY103">
        <f t="shared" si="10"/>
        <v>422.73</v>
      </c>
      <c r="CZ103">
        <f t="shared" si="11"/>
        <v>63</v>
      </c>
      <c r="DA103">
        <f t="shared" si="12"/>
        <v>6.71</v>
      </c>
      <c r="DB103">
        <f t="shared" si="13"/>
        <v>4.6100000000000003</v>
      </c>
      <c r="DC103">
        <f t="shared" si="14"/>
        <v>0</v>
      </c>
    </row>
    <row r="104" spans="1:107" x14ac:dyDescent="0.2">
      <c r="A104">
        <f>ROW(Source!A56)</f>
        <v>56</v>
      </c>
      <c r="B104">
        <v>16812721</v>
      </c>
      <c r="C104">
        <v>16813188</v>
      </c>
      <c r="D104">
        <v>15197770</v>
      </c>
      <c r="E104">
        <v>1</v>
      </c>
      <c r="F104">
        <v>1</v>
      </c>
      <c r="G104">
        <v>1</v>
      </c>
      <c r="H104">
        <v>3</v>
      </c>
      <c r="I104" t="s">
        <v>186</v>
      </c>
      <c r="J104" t="s">
        <v>189</v>
      </c>
      <c r="K104" t="s">
        <v>187</v>
      </c>
      <c r="L104">
        <v>1355</v>
      </c>
      <c r="N104">
        <v>1010</v>
      </c>
      <c r="O104" t="s">
        <v>188</v>
      </c>
      <c r="P104" t="s">
        <v>188</v>
      </c>
      <c r="Q104">
        <v>100</v>
      </c>
      <c r="W104">
        <v>0</v>
      </c>
      <c r="X104">
        <v>1906340979</v>
      </c>
      <c r="Y104">
        <v>7.3221999999999995E-2</v>
      </c>
      <c r="AA104">
        <v>422.73</v>
      </c>
      <c r="AB104">
        <v>0</v>
      </c>
      <c r="AC104">
        <v>0</v>
      </c>
      <c r="AD104">
        <v>0</v>
      </c>
      <c r="AE104">
        <v>63</v>
      </c>
      <c r="AF104">
        <v>0</v>
      </c>
      <c r="AG104">
        <v>0</v>
      </c>
      <c r="AH104">
        <v>0</v>
      </c>
      <c r="AI104">
        <v>6.71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7.3221999999999995E-2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Y104*Source!I56</f>
        <v>7.0000231999999996E-2</v>
      </c>
      <c r="CY104">
        <f t="shared" si="10"/>
        <v>422.73</v>
      </c>
      <c r="CZ104">
        <f t="shared" si="11"/>
        <v>63</v>
      </c>
      <c r="DA104">
        <f t="shared" si="12"/>
        <v>6.71</v>
      </c>
      <c r="DB104">
        <f t="shared" si="13"/>
        <v>4.6100000000000003</v>
      </c>
      <c r="DC104">
        <f t="shared" si="14"/>
        <v>0</v>
      </c>
    </row>
    <row r="105" spans="1:107" x14ac:dyDescent="0.2">
      <c r="A105">
        <f>ROW(Source!A56)</f>
        <v>56</v>
      </c>
      <c r="B105">
        <v>16812721</v>
      </c>
      <c r="C105">
        <v>16813188</v>
      </c>
      <c r="D105">
        <v>15197772</v>
      </c>
      <c r="E105">
        <v>1</v>
      </c>
      <c r="F105">
        <v>1</v>
      </c>
      <c r="G105">
        <v>1</v>
      </c>
      <c r="H105">
        <v>3</v>
      </c>
      <c r="I105" t="s">
        <v>195</v>
      </c>
      <c r="J105" t="s">
        <v>197</v>
      </c>
      <c r="K105" t="s">
        <v>196</v>
      </c>
      <c r="L105">
        <v>1355</v>
      </c>
      <c r="N105">
        <v>1010</v>
      </c>
      <c r="O105" t="s">
        <v>188</v>
      </c>
      <c r="P105" t="s">
        <v>188</v>
      </c>
      <c r="Q105">
        <v>100</v>
      </c>
      <c r="W105">
        <v>0</v>
      </c>
      <c r="X105">
        <v>848075668</v>
      </c>
      <c r="Y105">
        <v>0.39749000000000001</v>
      </c>
      <c r="AA105">
        <v>858.88</v>
      </c>
      <c r="AB105">
        <v>0</v>
      </c>
      <c r="AC105">
        <v>0</v>
      </c>
      <c r="AD105">
        <v>0</v>
      </c>
      <c r="AE105">
        <v>128</v>
      </c>
      <c r="AF105">
        <v>0</v>
      </c>
      <c r="AG105">
        <v>0</v>
      </c>
      <c r="AH105">
        <v>0</v>
      </c>
      <c r="AI105">
        <v>6.71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</v>
      </c>
      <c r="AT105">
        <v>0.39749000000000001</v>
      </c>
      <c r="AU105" t="s">
        <v>6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Y105*Source!I56</f>
        <v>0.38000043999999999</v>
      </c>
      <c r="CY105">
        <f t="shared" si="10"/>
        <v>858.88</v>
      </c>
      <c r="CZ105">
        <f t="shared" si="11"/>
        <v>128</v>
      </c>
      <c r="DA105">
        <f t="shared" si="12"/>
        <v>6.71</v>
      </c>
      <c r="DB105">
        <f t="shared" si="13"/>
        <v>50.88</v>
      </c>
      <c r="DC105">
        <f t="shared" si="14"/>
        <v>0</v>
      </c>
    </row>
    <row r="106" spans="1:107" x14ac:dyDescent="0.2">
      <c r="A106">
        <f>ROW(Source!A56)</f>
        <v>56</v>
      </c>
      <c r="B106">
        <v>16812721</v>
      </c>
      <c r="C106">
        <v>16813188</v>
      </c>
      <c r="D106">
        <v>15197774</v>
      </c>
      <c r="E106">
        <v>1</v>
      </c>
      <c r="F106">
        <v>1</v>
      </c>
      <c r="G106">
        <v>1</v>
      </c>
      <c r="H106">
        <v>3</v>
      </c>
      <c r="I106" t="s">
        <v>199</v>
      </c>
      <c r="J106" t="s">
        <v>201</v>
      </c>
      <c r="K106" t="s">
        <v>200</v>
      </c>
      <c r="L106">
        <v>1355</v>
      </c>
      <c r="N106">
        <v>1010</v>
      </c>
      <c r="O106" t="s">
        <v>188</v>
      </c>
      <c r="P106" t="s">
        <v>188</v>
      </c>
      <c r="Q106">
        <v>100</v>
      </c>
      <c r="W106">
        <v>0</v>
      </c>
      <c r="X106">
        <v>1508644261</v>
      </c>
      <c r="Y106">
        <v>6.2761999999999998E-2</v>
      </c>
      <c r="AA106">
        <v>858.88</v>
      </c>
      <c r="AB106">
        <v>0</v>
      </c>
      <c r="AC106">
        <v>0</v>
      </c>
      <c r="AD106">
        <v>0</v>
      </c>
      <c r="AE106">
        <v>128</v>
      </c>
      <c r="AF106">
        <v>0</v>
      </c>
      <c r="AG106">
        <v>0</v>
      </c>
      <c r="AH106">
        <v>0</v>
      </c>
      <c r="AI106">
        <v>6.71</v>
      </c>
      <c r="AJ106">
        <v>1</v>
      </c>
      <c r="AK106">
        <v>1</v>
      </c>
      <c r="AL106">
        <v>1</v>
      </c>
      <c r="AN106">
        <v>0</v>
      </c>
      <c r="AO106">
        <v>0</v>
      </c>
      <c r="AP106">
        <v>0</v>
      </c>
      <c r="AQ106">
        <v>0</v>
      </c>
      <c r="AR106">
        <v>0</v>
      </c>
      <c r="AS106" t="s">
        <v>6</v>
      </c>
      <c r="AT106">
        <v>6.2761999999999998E-2</v>
      </c>
      <c r="AU106" t="s">
        <v>6</v>
      </c>
      <c r="AV106">
        <v>0</v>
      </c>
      <c r="AW106">
        <v>1</v>
      </c>
      <c r="AX106">
        <v>-1</v>
      </c>
      <c r="AY106">
        <v>0</v>
      </c>
      <c r="AZ106">
        <v>0</v>
      </c>
      <c r="BA106" t="s">
        <v>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Y106*Source!I56</f>
        <v>6.0000471999999999E-2</v>
      </c>
      <c r="CY106">
        <f t="shared" si="10"/>
        <v>858.88</v>
      </c>
      <c r="CZ106">
        <f t="shared" si="11"/>
        <v>128</v>
      </c>
      <c r="DA106">
        <f t="shared" si="12"/>
        <v>6.71</v>
      </c>
      <c r="DB106">
        <f t="shared" si="13"/>
        <v>8.0299999999999994</v>
      </c>
      <c r="DC106">
        <f t="shared" si="14"/>
        <v>0</v>
      </c>
    </row>
    <row r="107" spans="1:107" x14ac:dyDescent="0.2">
      <c r="A107">
        <f>ROW(Source!A56)</f>
        <v>56</v>
      </c>
      <c r="B107">
        <v>16812721</v>
      </c>
      <c r="C107">
        <v>16813188</v>
      </c>
      <c r="D107">
        <v>15197776</v>
      </c>
      <c r="E107">
        <v>1</v>
      </c>
      <c r="F107">
        <v>1</v>
      </c>
      <c r="G107">
        <v>1</v>
      </c>
      <c r="H107">
        <v>3</v>
      </c>
      <c r="I107" t="s">
        <v>203</v>
      </c>
      <c r="J107" t="s">
        <v>205</v>
      </c>
      <c r="K107" t="s">
        <v>204</v>
      </c>
      <c r="L107">
        <v>1355</v>
      </c>
      <c r="N107">
        <v>1010</v>
      </c>
      <c r="O107" t="s">
        <v>188</v>
      </c>
      <c r="P107" t="s">
        <v>188</v>
      </c>
      <c r="Q107">
        <v>100</v>
      </c>
      <c r="W107">
        <v>0</v>
      </c>
      <c r="X107">
        <v>-1530028590</v>
      </c>
      <c r="Y107">
        <v>6.2761999999999998E-2</v>
      </c>
      <c r="AA107">
        <v>858.88</v>
      </c>
      <c r="AB107">
        <v>0</v>
      </c>
      <c r="AC107">
        <v>0</v>
      </c>
      <c r="AD107">
        <v>0</v>
      </c>
      <c r="AE107">
        <v>128</v>
      </c>
      <c r="AF107">
        <v>0</v>
      </c>
      <c r="AG107">
        <v>0</v>
      </c>
      <c r="AH107">
        <v>0</v>
      </c>
      <c r="AI107">
        <v>6.71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</v>
      </c>
      <c r="AT107">
        <v>6.2761999999999998E-2</v>
      </c>
      <c r="AU107" t="s">
        <v>6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Y107*Source!I56</f>
        <v>6.0000471999999999E-2</v>
      </c>
      <c r="CY107">
        <f t="shared" si="10"/>
        <v>858.88</v>
      </c>
      <c r="CZ107">
        <f t="shared" si="11"/>
        <v>128</v>
      </c>
      <c r="DA107">
        <f t="shared" si="12"/>
        <v>6.71</v>
      </c>
      <c r="DB107">
        <f t="shared" si="13"/>
        <v>8.0299999999999994</v>
      </c>
      <c r="DC107">
        <f t="shared" si="14"/>
        <v>0</v>
      </c>
    </row>
    <row r="108" spans="1:107" x14ac:dyDescent="0.2">
      <c r="A108">
        <f>ROW(Source!A69)</f>
        <v>69</v>
      </c>
      <c r="B108">
        <v>16812721</v>
      </c>
      <c r="C108">
        <v>16813231</v>
      </c>
      <c r="D108">
        <v>15436014</v>
      </c>
      <c r="E108">
        <v>1</v>
      </c>
      <c r="F108">
        <v>1</v>
      </c>
      <c r="G108">
        <v>1</v>
      </c>
      <c r="H108">
        <v>1</v>
      </c>
      <c r="I108" t="s">
        <v>883</v>
      </c>
      <c r="J108" t="s">
        <v>6</v>
      </c>
      <c r="K108" t="s">
        <v>884</v>
      </c>
      <c r="L108">
        <v>1191</v>
      </c>
      <c r="N108">
        <v>1013</v>
      </c>
      <c r="O108" t="s">
        <v>773</v>
      </c>
      <c r="P108" t="s">
        <v>773</v>
      </c>
      <c r="Q108">
        <v>1</v>
      </c>
      <c r="W108">
        <v>0</v>
      </c>
      <c r="X108">
        <v>-784637506</v>
      </c>
      <c r="Y108">
        <v>19.135999999999999</v>
      </c>
      <c r="AA108">
        <v>0</v>
      </c>
      <c r="AB108">
        <v>0</v>
      </c>
      <c r="AC108">
        <v>0</v>
      </c>
      <c r="AD108">
        <v>58.65</v>
      </c>
      <c r="AE108">
        <v>0</v>
      </c>
      <c r="AF108">
        <v>0</v>
      </c>
      <c r="AG108">
        <v>0</v>
      </c>
      <c r="AH108">
        <v>8.74</v>
      </c>
      <c r="AI108">
        <v>1</v>
      </c>
      <c r="AJ108">
        <v>1</v>
      </c>
      <c r="AK108">
        <v>1</v>
      </c>
      <c r="AL108">
        <v>6.71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6</v>
      </c>
      <c r="AT108">
        <v>16.64</v>
      </c>
      <c r="AU108" t="s">
        <v>104</v>
      </c>
      <c r="AV108">
        <v>1</v>
      </c>
      <c r="AW108">
        <v>2</v>
      </c>
      <c r="AX108">
        <v>16813237</v>
      </c>
      <c r="AY108">
        <v>1</v>
      </c>
      <c r="AZ108">
        <v>0</v>
      </c>
      <c r="BA108">
        <v>113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Y108*Source!I69</f>
        <v>1.033344</v>
      </c>
      <c r="CY108">
        <f>AD108</f>
        <v>58.65</v>
      </c>
      <c r="CZ108">
        <f>AH108</f>
        <v>8.74</v>
      </c>
      <c r="DA108">
        <f>AL108</f>
        <v>6.71</v>
      </c>
      <c r="DB108">
        <f>ROUND((ROUND(AT108*CZ108,2)*1.15),2)</f>
        <v>167.24</v>
      </c>
      <c r="DC108">
        <f>ROUND((ROUND(AT108*AG108,2)*1.15),2)</f>
        <v>0</v>
      </c>
    </row>
    <row r="109" spans="1:107" x14ac:dyDescent="0.2">
      <c r="A109">
        <f>ROW(Source!A69)</f>
        <v>69</v>
      </c>
      <c r="B109">
        <v>16812721</v>
      </c>
      <c r="C109">
        <v>16813231</v>
      </c>
      <c r="D109">
        <v>15169972</v>
      </c>
      <c r="E109">
        <v>1</v>
      </c>
      <c r="F109">
        <v>1</v>
      </c>
      <c r="G109">
        <v>1</v>
      </c>
      <c r="H109">
        <v>3</v>
      </c>
      <c r="I109" t="s">
        <v>876</v>
      </c>
      <c r="J109" t="s">
        <v>877</v>
      </c>
      <c r="K109" t="s">
        <v>878</v>
      </c>
      <c r="L109">
        <v>1355</v>
      </c>
      <c r="N109">
        <v>1010</v>
      </c>
      <c r="O109" t="s">
        <v>188</v>
      </c>
      <c r="P109" t="s">
        <v>188</v>
      </c>
      <c r="Q109">
        <v>100</v>
      </c>
      <c r="W109">
        <v>0</v>
      </c>
      <c r="X109">
        <v>-725528132</v>
      </c>
      <c r="Y109">
        <v>6.7</v>
      </c>
      <c r="AA109">
        <v>80.52</v>
      </c>
      <c r="AB109">
        <v>0</v>
      </c>
      <c r="AC109">
        <v>0</v>
      </c>
      <c r="AD109">
        <v>0</v>
      </c>
      <c r="AE109">
        <v>12</v>
      </c>
      <c r="AF109">
        <v>0</v>
      </c>
      <c r="AG109">
        <v>0</v>
      </c>
      <c r="AH109">
        <v>0</v>
      </c>
      <c r="AI109">
        <v>6.71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6.7</v>
      </c>
      <c r="AU109" t="s">
        <v>6</v>
      </c>
      <c r="AV109">
        <v>0</v>
      </c>
      <c r="AW109">
        <v>2</v>
      </c>
      <c r="AX109">
        <v>16813238</v>
      </c>
      <c r="AY109">
        <v>1</v>
      </c>
      <c r="AZ109">
        <v>0</v>
      </c>
      <c r="BA109">
        <v>114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Y109*Source!I69</f>
        <v>0.36180000000000001</v>
      </c>
      <c r="CY109">
        <f>AA109</f>
        <v>80.52</v>
      </c>
      <c r="CZ109">
        <f>AE109</f>
        <v>12</v>
      </c>
      <c r="DA109">
        <f>AI109</f>
        <v>6.71</v>
      </c>
      <c r="DB109">
        <f>ROUND(ROUND(AT109*CZ109,2),2)</f>
        <v>80.400000000000006</v>
      </c>
      <c r="DC109">
        <f>ROUND(ROUND(AT109*AG109,2),2)</f>
        <v>0</v>
      </c>
    </row>
    <row r="110" spans="1:107" x14ac:dyDescent="0.2">
      <c r="A110">
        <f>ROW(Source!A69)</f>
        <v>69</v>
      </c>
      <c r="B110">
        <v>16812721</v>
      </c>
      <c r="C110">
        <v>16813231</v>
      </c>
      <c r="D110">
        <v>15162775</v>
      </c>
      <c r="E110">
        <v>17</v>
      </c>
      <c r="F110">
        <v>1</v>
      </c>
      <c r="G110">
        <v>1</v>
      </c>
      <c r="H110">
        <v>3</v>
      </c>
      <c r="I110" t="s">
        <v>227</v>
      </c>
      <c r="J110" t="s">
        <v>6</v>
      </c>
      <c r="K110" t="s">
        <v>228</v>
      </c>
      <c r="L110">
        <v>1301</v>
      </c>
      <c r="N110">
        <v>1003</v>
      </c>
      <c r="O110" t="s">
        <v>177</v>
      </c>
      <c r="P110" t="s">
        <v>177</v>
      </c>
      <c r="Q110">
        <v>1</v>
      </c>
      <c r="W110">
        <v>0</v>
      </c>
      <c r="X110">
        <v>2101938969</v>
      </c>
      <c r="Y110">
        <v>105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6.71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0</v>
      </c>
      <c r="AQ110">
        <v>0</v>
      </c>
      <c r="AR110">
        <v>0</v>
      </c>
      <c r="AS110" t="s">
        <v>6</v>
      </c>
      <c r="AT110">
        <v>105</v>
      </c>
      <c r="AU110" t="s">
        <v>6</v>
      </c>
      <c r="AV110">
        <v>0</v>
      </c>
      <c r="AW110">
        <v>2</v>
      </c>
      <c r="AX110">
        <v>16813239</v>
      </c>
      <c r="AY110">
        <v>1</v>
      </c>
      <c r="AZ110">
        <v>0</v>
      </c>
      <c r="BA110">
        <v>115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Y110*Source!I69</f>
        <v>5.67</v>
      </c>
      <c r="CY110">
        <f>AA110</f>
        <v>0</v>
      </c>
      <c r="CZ110">
        <f>AE110</f>
        <v>0</v>
      </c>
      <c r="DA110">
        <f>AI110</f>
        <v>6.71</v>
      </c>
      <c r="DB110">
        <f>ROUND(ROUND(AT110*CZ110,2),2)</f>
        <v>0</v>
      </c>
      <c r="DC110">
        <f>ROUND(ROUND(AT110*AG110,2),2)</f>
        <v>0</v>
      </c>
    </row>
    <row r="111" spans="1:107" x14ac:dyDescent="0.2">
      <c r="A111">
        <f>ROW(Source!A69)</f>
        <v>69</v>
      </c>
      <c r="B111">
        <v>16812721</v>
      </c>
      <c r="C111">
        <v>16813231</v>
      </c>
      <c r="D111">
        <v>15192878</v>
      </c>
      <c r="E111">
        <v>1</v>
      </c>
      <c r="F111">
        <v>1</v>
      </c>
      <c r="G111">
        <v>1</v>
      </c>
      <c r="H111">
        <v>3</v>
      </c>
      <c r="I111" t="s">
        <v>223</v>
      </c>
      <c r="J111" t="s">
        <v>225</v>
      </c>
      <c r="K111" t="s">
        <v>224</v>
      </c>
      <c r="L111">
        <v>1354</v>
      </c>
      <c r="N111">
        <v>1010</v>
      </c>
      <c r="O111" t="s">
        <v>62</v>
      </c>
      <c r="P111" t="s">
        <v>62</v>
      </c>
      <c r="Q111">
        <v>1</v>
      </c>
      <c r="W111">
        <v>0</v>
      </c>
      <c r="X111">
        <v>-1858633972</v>
      </c>
      <c r="Y111">
        <v>18.518519000000001</v>
      </c>
      <c r="AA111">
        <v>101.12</v>
      </c>
      <c r="AB111">
        <v>0</v>
      </c>
      <c r="AC111">
        <v>0</v>
      </c>
      <c r="AD111">
        <v>0</v>
      </c>
      <c r="AE111">
        <v>15.07</v>
      </c>
      <c r="AF111">
        <v>0</v>
      </c>
      <c r="AG111">
        <v>0</v>
      </c>
      <c r="AH111">
        <v>0</v>
      </c>
      <c r="AI111">
        <v>6.71</v>
      </c>
      <c r="AJ111">
        <v>1</v>
      </c>
      <c r="AK111">
        <v>1</v>
      </c>
      <c r="AL111">
        <v>1</v>
      </c>
      <c r="AN111">
        <v>0</v>
      </c>
      <c r="AO111">
        <v>0</v>
      </c>
      <c r="AP111">
        <v>0</v>
      </c>
      <c r="AQ111">
        <v>0</v>
      </c>
      <c r="AR111">
        <v>0</v>
      </c>
      <c r="AS111" t="s">
        <v>6</v>
      </c>
      <c r="AT111">
        <v>18.518519000000001</v>
      </c>
      <c r="AU111" t="s">
        <v>6</v>
      </c>
      <c r="AV111">
        <v>0</v>
      </c>
      <c r="AW111">
        <v>1</v>
      </c>
      <c r="AX111">
        <v>-1</v>
      </c>
      <c r="AY111">
        <v>0</v>
      </c>
      <c r="AZ111">
        <v>0</v>
      </c>
      <c r="BA111" t="s">
        <v>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Y111*Source!I69</f>
        <v>1.0000000260000002</v>
      </c>
      <c r="CY111">
        <f>AA111</f>
        <v>101.12</v>
      </c>
      <c r="CZ111">
        <f>AE111</f>
        <v>15.07</v>
      </c>
      <c r="DA111">
        <f>AI111</f>
        <v>6.71</v>
      </c>
      <c r="DB111">
        <f>ROUND(ROUND(AT111*CZ111,2),2)</f>
        <v>279.07</v>
      </c>
      <c r="DC111">
        <f>ROUND(ROUND(AT111*AG111,2),2)</f>
        <v>0</v>
      </c>
    </row>
    <row r="112" spans="1:107" x14ac:dyDescent="0.2">
      <c r="A112">
        <f>ROW(Source!A69)</f>
        <v>69</v>
      </c>
      <c r="B112">
        <v>16812721</v>
      </c>
      <c r="C112">
        <v>16813231</v>
      </c>
      <c r="D112">
        <v>15192879</v>
      </c>
      <c r="E112">
        <v>1</v>
      </c>
      <c r="F112">
        <v>1</v>
      </c>
      <c r="G112">
        <v>1</v>
      </c>
      <c r="H112">
        <v>3</v>
      </c>
      <c r="I112" t="s">
        <v>219</v>
      </c>
      <c r="J112" t="s">
        <v>221</v>
      </c>
      <c r="K112" t="s">
        <v>220</v>
      </c>
      <c r="L112">
        <v>1354</v>
      </c>
      <c r="N112">
        <v>1010</v>
      </c>
      <c r="O112" t="s">
        <v>62</v>
      </c>
      <c r="P112" t="s">
        <v>62</v>
      </c>
      <c r="Q112">
        <v>1</v>
      </c>
      <c r="W112">
        <v>0</v>
      </c>
      <c r="X112">
        <v>577992781</v>
      </c>
      <c r="Y112">
        <v>55.555556000000003</v>
      </c>
      <c r="AA112">
        <v>209.89</v>
      </c>
      <c r="AB112">
        <v>0</v>
      </c>
      <c r="AC112">
        <v>0</v>
      </c>
      <c r="AD112">
        <v>0</v>
      </c>
      <c r="AE112">
        <v>31.28</v>
      </c>
      <c r="AF112">
        <v>0</v>
      </c>
      <c r="AG112">
        <v>0</v>
      </c>
      <c r="AH112">
        <v>0</v>
      </c>
      <c r="AI112">
        <v>6.71</v>
      </c>
      <c r="AJ112">
        <v>1</v>
      </c>
      <c r="AK112">
        <v>1</v>
      </c>
      <c r="AL112">
        <v>1</v>
      </c>
      <c r="AN112">
        <v>0</v>
      </c>
      <c r="AO112">
        <v>0</v>
      </c>
      <c r="AP112">
        <v>0</v>
      </c>
      <c r="AQ112">
        <v>0</v>
      </c>
      <c r="AR112">
        <v>0</v>
      </c>
      <c r="AS112" t="s">
        <v>6</v>
      </c>
      <c r="AT112">
        <v>55.555556000000003</v>
      </c>
      <c r="AU112" t="s">
        <v>6</v>
      </c>
      <c r="AV112">
        <v>0</v>
      </c>
      <c r="AW112">
        <v>1</v>
      </c>
      <c r="AX112">
        <v>-1</v>
      </c>
      <c r="AY112">
        <v>0</v>
      </c>
      <c r="AZ112">
        <v>0</v>
      </c>
      <c r="BA112" t="s">
        <v>6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Y112*Source!I69</f>
        <v>3.0000000240000002</v>
      </c>
      <c r="CY112">
        <f>AA112</f>
        <v>209.89</v>
      </c>
      <c r="CZ112">
        <f>AE112</f>
        <v>31.28</v>
      </c>
      <c r="DA112">
        <f>AI112</f>
        <v>6.71</v>
      </c>
      <c r="DB112">
        <f>ROUND(ROUND(AT112*CZ112,2),2)</f>
        <v>1737.78</v>
      </c>
      <c r="DC112">
        <f>ROUND(ROUND(AT112*AG112,2),2)</f>
        <v>0</v>
      </c>
    </row>
    <row r="113" spans="1:107" x14ac:dyDescent="0.2">
      <c r="A113">
        <f>ROW(Source!A73)</f>
        <v>73</v>
      </c>
      <c r="B113">
        <v>16812721</v>
      </c>
      <c r="C113">
        <v>16813260</v>
      </c>
      <c r="D113">
        <v>15430397</v>
      </c>
      <c r="E113">
        <v>1</v>
      </c>
      <c r="F113">
        <v>1</v>
      </c>
      <c r="G113">
        <v>1</v>
      </c>
      <c r="H113">
        <v>1</v>
      </c>
      <c r="I113" t="s">
        <v>838</v>
      </c>
      <c r="J113" t="s">
        <v>6</v>
      </c>
      <c r="K113" t="s">
        <v>839</v>
      </c>
      <c r="L113">
        <v>1191</v>
      </c>
      <c r="N113">
        <v>1013</v>
      </c>
      <c r="O113" t="s">
        <v>773</v>
      </c>
      <c r="P113" t="s">
        <v>773</v>
      </c>
      <c r="Q113">
        <v>1</v>
      </c>
      <c r="W113">
        <v>0</v>
      </c>
      <c r="X113">
        <v>-1081351934</v>
      </c>
      <c r="Y113">
        <v>117.82899999999998</v>
      </c>
      <c r="AA113">
        <v>0</v>
      </c>
      <c r="AB113">
        <v>0</v>
      </c>
      <c r="AC113">
        <v>0</v>
      </c>
      <c r="AD113">
        <v>63.07</v>
      </c>
      <c r="AE113">
        <v>0</v>
      </c>
      <c r="AF113">
        <v>0</v>
      </c>
      <c r="AG113">
        <v>0</v>
      </c>
      <c r="AH113">
        <v>9.4</v>
      </c>
      <c r="AI113">
        <v>1</v>
      </c>
      <c r="AJ113">
        <v>1</v>
      </c>
      <c r="AK113">
        <v>1</v>
      </c>
      <c r="AL113">
        <v>6.71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102.46</v>
      </c>
      <c r="AU113" t="s">
        <v>104</v>
      </c>
      <c r="AV113">
        <v>1</v>
      </c>
      <c r="AW113">
        <v>2</v>
      </c>
      <c r="AX113">
        <v>16813266</v>
      </c>
      <c r="AY113">
        <v>1</v>
      </c>
      <c r="AZ113">
        <v>0</v>
      </c>
      <c r="BA113">
        <v>116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Y113*Source!I73</f>
        <v>155.41645099999997</v>
      </c>
      <c r="CY113">
        <f>AD113</f>
        <v>63.07</v>
      </c>
      <c r="CZ113">
        <f>AH113</f>
        <v>9.4</v>
      </c>
      <c r="DA113">
        <f>AL113</f>
        <v>6.71</v>
      </c>
      <c r="DB113">
        <f>ROUND((ROUND(AT113*CZ113,2)*1.15),2)</f>
        <v>1107.5899999999999</v>
      </c>
      <c r="DC113">
        <f>ROUND((ROUND(AT113*AG113,2)*1.15),2)</f>
        <v>0</v>
      </c>
    </row>
    <row r="114" spans="1:107" x14ac:dyDescent="0.2">
      <c r="A114">
        <f>ROW(Source!A73)</f>
        <v>73</v>
      </c>
      <c r="B114">
        <v>16812721</v>
      </c>
      <c r="C114">
        <v>16813260</v>
      </c>
      <c r="D114">
        <v>15430395</v>
      </c>
      <c r="E114">
        <v>1</v>
      </c>
      <c r="F114">
        <v>1</v>
      </c>
      <c r="G114">
        <v>1</v>
      </c>
      <c r="H114">
        <v>1</v>
      </c>
      <c r="I114" t="s">
        <v>774</v>
      </c>
      <c r="J114" t="s">
        <v>6</v>
      </c>
      <c r="K114" t="s">
        <v>775</v>
      </c>
      <c r="L114">
        <v>1191</v>
      </c>
      <c r="N114">
        <v>1013</v>
      </c>
      <c r="O114" t="s">
        <v>773</v>
      </c>
      <c r="P114" t="s">
        <v>773</v>
      </c>
      <c r="Q114">
        <v>1</v>
      </c>
      <c r="W114">
        <v>0</v>
      </c>
      <c r="X114">
        <v>-1417349443</v>
      </c>
      <c r="Y114">
        <v>5.34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6.71</v>
      </c>
      <c r="AL114">
        <v>1</v>
      </c>
      <c r="AN114">
        <v>0</v>
      </c>
      <c r="AO114">
        <v>1</v>
      </c>
      <c r="AP114">
        <v>0</v>
      </c>
      <c r="AQ114">
        <v>0</v>
      </c>
      <c r="AR114">
        <v>0</v>
      </c>
      <c r="AS114" t="s">
        <v>6</v>
      </c>
      <c r="AT114">
        <v>5.34</v>
      </c>
      <c r="AU114" t="s">
        <v>6</v>
      </c>
      <c r="AV114">
        <v>2</v>
      </c>
      <c r="AW114">
        <v>2</v>
      </c>
      <c r="AX114">
        <v>16813267</v>
      </c>
      <c r="AY114">
        <v>1</v>
      </c>
      <c r="AZ114">
        <v>2048</v>
      </c>
      <c r="BA114">
        <v>117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Y114*Source!I73</f>
        <v>7.0434599999999996</v>
      </c>
      <c r="CY114">
        <f>AD114</f>
        <v>0</v>
      </c>
      <c r="CZ114">
        <f>AH114</f>
        <v>0</v>
      </c>
      <c r="DA114">
        <f>AL114</f>
        <v>1</v>
      </c>
      <c r="DB114">
        <f>ROUND(ROUND(AT114*CZ114,2),2)</f>
        <v>0</v>
      </c>
      <c r="DC114">
        <f>ROUND(ROUND(AT114*AG114,2),2)</f>
        <v>0</v>
      </c>
    </row>
    <row r="115" spans="1:107" x14ac:dyDescent="0.2">
      <c r="A115">
        <f>ROW(Source!A73)</f>
        <v>73</v>
      </c>
      <c r="B115">
        <v>16812721</v>
      </c>
      <c r="C115">
        <v>16813260</v>
      </c>
      <c r="D115">
        <v>15247974</v>
      </c>
      <c r="E115">
        <v>1</v>
      </c>
      <c r="F115">
        <v>1</v>
      </c>
      <c r="G115">
        <v>1</v>
      </c>
      <c r="H115">
        <v>2</v>
      </c>
      <c r="I115" t="s">
        <v>776</v>
      </c>
      <c r="J115" t="s">
        <v>777</v>
      </c>
      <c r="K115" t="s">
        <v>778</v>
      </c>
      <c r="L115">
        <v>1368</v>
      </c>
      <c r="N115">
        <v>1011</v>
      </c>
      <c r="O115" t="s">
        <v>779</v>
      </c>
      <c r="P115" t="s">
        <v>779</v>
      </c>
      <c r="Q115">
        <v>1</v>
      </c>
      <c r="W115">
        <v>0</v>
      </c>
      <c r="X115">
        <v>1188625873</v>
      </c>
      <c r="Y115">
        <v>0.95</v>
      </c>
      <c r="AA115">
        <v>0</v>
      </c>
      <c r="AB115">
        <v>209.75</v>
      </c>
      <c r="AC115">
        <v>13.5</v>
      </c>
      <c r="AD115">
        <v>0</v>
      </c>
      <c r="AE115">
        <v>0</v>
      </c>
      <c r="AF115">
        <v>31.26</v>
      </c>
      <c r="AG115">
        <v>13.5</v>
      </c>
      <c r="AH115">
        <v>0</v>
      </c>
      <c r="AI115">
        <v>1</v>
      </c>
      <c r="AJ115">
        <v>6.71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6</v>
      </c>
      <c r="AT115">
        <v>0.76</v>
      </c>
      <c r="AU115" t="s">
        <v>103</v>
      </c>
      <c r="AV115">
        <v>0</v>
      </c>
      <c r="AW115">
        <v>2</v>
      </c>
      <c r="AX115">
        <v>16813268</v>
      </c>
      <c r="AY115">
        <v>1</v>
      </c>
      <c r="AZ115">
        <v>0</v>
      </c>
      <c r="BA115">
        <v>118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Y115*Source!I73</f>
        <v>1.25305</v>
      </c>
      <c r="CY115">
        <f>AB115</f>
        <v>209.75</v>
      </c>
      <c r="CZ115">
        <f>AF115</f>
        <v>31.26</v>
      </c>
      <c r="DA115">
        <f>AJ115</f>
        <v>6.71</v>
      </c>
      <c r="DB115">
        <f>ROUND((ROUND(AT115*CZ115,2)*1.25),2)</f>
        <v>29.7</v>
      </c>
      <c r="DC115">
        <f>ROUND((ROUND(AT115*AG115,2)*1.25),2)</f>
        <v>12.83</v>
      </c>
    </row>
    <row r="116" spans="1:107" x14ac:dyDescent="0.2">
      <c r="A116">
        <f>ROW(Source!A73)</f>
        <v>73</v>
      </c>
      <c r="B116">
        <v>16812721</v>
      </c>
      <c r="C116">
        <v>16813260</v>
      </c>
      <c r="D116">
        <v>15249073</v>
      </c>
      <c r="E116">
        <v>1</v>
      </c>
      <c r="F116">
        <v>1</v>
      </c>
      <c r="G116">
        <v>1</v>
      </c>
      <c r="H116">
        <v>2</v>
      </c>
      <c r="I116" t="s">
        <v>782</v>
      </c>
      <c r="J116" t="s">
        <v>783</v>
      </c>
      <c r="K116" t="s">
        <v>784</v>
      </c>
      <c r="L116">
        <v>1368</v>
      </c>
      <c r="N116">
        <v>1011</v>
      </c>
      <c r="O116" t="s">
        <v>779</v>
      </c>
      <c r="P116" t="s">
        <v>779</v>
      </c>
      <c r="Q116">
        <v>1</v>
      </c>
      <c r="W116">
        <v>0</v>
      </c>
      <c r="X116">
        <v>1372534845</v>
      </c>
      <c r="Y116">
        <v>5.7249999999999996</v>
      </c>
      <c r="AA116">
        <v>0</v>
      </c>
      <c r="AB116">
        <v>440.91</v>
      </c>
      <c r="AC116">
        <v>11.6</v>
      </c>
      <c r="AD116">
        <v>0</v>
      </c>
      <c r="AE116">
        <v>0</v>
      </c>
      <c r="AF116">
        <v>65.709999999999994</v>
      </c>
      <c r="AG116">
        <v>11.6</v>
      </c>
      <c r="AH116">
        <v>0</v>
      </c>
      <c r="AI116">
        <v>1</v>
      </c>
      <c r="AJ116">
        <v>6.71</v>
      </c>
      <c r="AK116">
        <v>1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6</v>
      </c>
      <c r="AT116">
        <v>4.58</v>
      </c>
      <c r="AU116" t="s">
        <v>103</v>
      </c>
      <c r="AV116">
        <v>0</v>
      </c>
      <c r="AW116">
        <v>2</v>
      </c>
      <c r="AX116">
        <v>16813269</v>
      </c>
      <c r="AY116">
        <v>1</v>
      </c>
      <c r="AZ116">
        <v>0</v>
      </c>
      <c r="BA116">
        <v>119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Y116*Source!I73</f>
        <v>7.5512749999999995</v>
      </c>
      <c r="CY116">
        <f>AB116</f>
        <v>440.91</v>
      </c>
      <c r="CZ116">
        <f>AF116</f>
        <v>65.709999999999994</v>
      </c>
      <c r="DA116">
        <f>AJ116</f>
        <v>6.71</v>
      </c>
      <c r="DB116">
        <f>ROUND((ROUND(AT116*CZ116,2)*1.25),2)</f>
        <v>376.19</v>
      </c>
      <c r="DC116">
        <f>ROUND((ROUND(AT116*AG116,2)*1.25),2)</f>
        <v>66.41</v>
      </c>
    </row>
    <row r="117" spans="1:107" x14ac:dyDescent="0.2">
      <c r="A117">
        <f>ROW(Source!A73)</f>
        <v>73</v>
      </c>
      <c r="B117">
        <v>16812721</v>
      </c>
      <c r="C117">
        <v>16813260</v>
      </c>
      <c r="D117">
        <v>15167143</v>
      </c>
      <c r="E117">
        <v>1</v>
      </c>
      <c r="F117">
        <v>1</v>
      </c>
      <c r="G117">
        <v>1</v>
      </c>
      <c r="H117">
        <v>3</v>
      </c>
      <c r="I117" t="s">
        <v>885</v>
      </c>
      <c r="J117" t="s">
        <v>886</v>
      </c>
      <c r="K117" t="s">
        <v>887</v>
      </c>
      <c r="L117">
        <v>1327</v>
      </c>
      <c r="N117">
        <v>1005</v>
      </c>
      <c r="O117" t="s">
        <v>28</v>
      </c>
      <c r="P117" t="s">
        <v>28</v>
      </c>
      <c r="Q117">
        <v>1</v>
      </c>
      <c r="W117">
        <v>0</v>
      </c>
      <c r="X117">
        <v>1385600515</v>
      </c>
      <c r="Y117">
        <v>103</v>
      </c>
      <c r="AA117">
        <v>347.58</v>
      </c>
      <c r="AB117">
        <v>0</v>
      </c>
      <c r="AC117">
        <v>0</v>
      </c>
      <c r="AD117">
        <v>0</v>
      </c>
      <c r="AE117">
        <v>51.8</v>
      </c>
      <c r="AF117">
        <v>0</v>
      </c>
      <c r="AG117">
        <v>0</v>
      </c>
      <c r="AH117">
        <v>0</v>
      </c>
      <c r="AI117">
        <v>6.71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6</v>
      </c>
      <c r="AT117">
        <v>103</v>
      </c>
      <c r="AU117" t="s">
        <v>6</v>
      </c>
      <c r="AV117">
        <v>0</v>
      </c>
      <c r="AW117">
        <v>2</v>
      </c>
      <c r="AX117">
        <v>16813270</v>
      </c>
      <c r="AY117">
        <v>1</v>
      </c>
      <c r="AZ117">
        <v>0</v>
      </c>
      <c r="BA117">
        <v>120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Y117*Source!I73</f>
        <v>135.857</v>
      </c>
      <c r="CY117">
        <f>AA117</f>
        <v>347.58</v>
      </c>
      <c r="CZ117">
        <f>AE117</f>
        <v>51.8</v>
      </c>
      <c r="DA117">
        <f>AI117</f>
        <v>6.71</v>
      </c>
      <c r="DB117">
        <f>ROUND(ROUND(AT117*CZ117,2),2)</f>
        <v>5335.4</v>
      </c>
      <c r="DC117">
        <f>ROUND(ROUND(AT117*AG117,2),2)</f>
        <v>0</v>
      </c>
    </row>
    <row r="118" spans="1:107" x14ac:dyDescent="0.2">
      <c r="A118">
        <f>ROW(Source!A74)</f>
        <v>74</v>
      </c>
      <c r="B118">
        <v>16812721</v>
      </c>
      <c r="C118">
        <v>16814266</v>
      </c>
      <c r="D118">
        <v>15430447</v>
      </c>
      <c r="E118">
        <v>1</v>
      </c>
      <c r="F118">
        <v>1</v>
      </c>
      <c r="G118">
        <v>1</v>
      </c>
      <c r="H118">
        <v>1</v>
      </c>
      <c r="I118" t="s">
        <v>888</v>
      </c>
      <c r="J118" t="s">
        <v>6</v>
      </c>
      <c r="K118" t="s">
        <v>889</v>
      </c>
      <c r="L118">
        <v>1191</v>
      </c>
      <c r="N118">
        <v>1013</v>
      </c>
      <c r="O118" t="s">
        <v>773</v>
      </c>
      <c r="P118" t="s">
        <v>773</v>
      </c>
      <c r="Q118">
        <v>1</v>
      </c>
      <c r="W118">
        <v>0</v>
      </c>
      <c r="X118">
        <v>145020957</v>
      </c>
      <c r="Y118">
        <v>112.69999999999999</v>
      </c>
      <c r="AA118">
        <v>0</v>
      </c>
      <c r="AB118">
        <v>0</v>
      </c>
      <c r="AC118">
        <v>0</v>
      </c>
      <c r="AD118">
        <v>60.86</v>
      </c>
      <c r="AE118">
        <v>0</v>
      </c>
      <c r="AF118">
        <v>0</v>
      </c>
      <c r="AG118">
        <v>0</v>
      </c>
      <c r="AH118">
        <v>9.07</v>
      </c>
      <c r="AI118">
        <v>1</v>
      </c>
      <c r="AJ118">
        <v>1</v>
      </c>
      <c r="AK118">
        <v>1</v>
      </c>
      <c r="AL118">
        <v>6.71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6</v>
      </c>
      <c r="AT118">
        <v>98</v>
      </c>
      <c r="AU118" t="s">
        <v>104</v>
      </c>
      <c r="AV118">
        <v>1</v>
      </c>
      <c r="AW118">
        <v>2</v>
      </c>
      <c r="AX118">
        <v>16814267</v>
      </c>
      <c r="AY118">
        <v>1</v>
      </c>
      <c r="AZ118">
        <v>0</v>
      </c>
      <c r="BA118">
        <v>121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Y118*Source!I74</f>
        <v>1.6904999999999997</v>
      </c>
      <c r="CY118">
        <f>AD118</f>
        <v>60.86</v>
      </c>
      <c r="CZ118">
        <f>AH118</f>
        <v>9.07</v>
      </c>
      <c r="DA118">
        <f>AL118</f>
        <v>6.71</v>
      </c>
      <c r="DB118">
        <f>ROUND((ROUND(AT118*CZ118,2)*1.15),2)</f>
        <v>1022.19</v>
      </c>
      <c r="DC118">
        <f>ROUND((ROUND(AT118*AG118,2)*1.15),2)</f>
        <v>0</v>
      </c>
    </row>
    <row r="119" spans="1:107" x14ac:dyDescent="0.2">
      <c r="A119">
        <f>ROW(Source!A74)</f>
        <v>74</v>
      </c>
      <c r="B119">
        <v>16812721</v>
      </c>
      <c r="C119">
        <v>16814266</v>
      </c>
      <c r="D119">
        <v>15250017</v>
      </c>
      <c r="E119">
        <v>1</v>
      </c>
      <c r="F119">
        <v>1</v>
      </c>
      <c r="G119">
        <v>1</v>
      </c>
      <c r="H119">
        <v>2</v>
      </c>
      <c r="I119" t="s">
        <v>890</v>
      </c>
      <c r="J119" t="s">
        <v>891</v>
      </c>
      <c r="K119" t="s">
        <v>892</v>
      </c>
      <c r="L119">
        <v>1368</v>
      </c>
      <c r="N119">
        <v>1011</v>
      </c>
      <c r="O119" t="s">
        <v>779</v>
      </c>
      <c r="P119" t="s">
        <v>779</v>
      </c>
      <c r="Q119">
        <v>1</v>
      </c>
      <c r="W119">
        <v>0</v>
      </c>
      <c r="X119">
        <v>612354663</v>
      </c>
      <c r="Y119">
        <v>0.70000000000000007</v>
      </c>
      <c r="AA119">
        <v>0</v>
      </c>
      <c r="AB119">
        <v>225.39</v>
      </c>
      <c r="AC119">
        <v>0</v>
      </c>
      <c r="AD119">
        <v>0</v>
      </c>
      <c r="AE119">
        <v>0</v>
      </c>
      <c r="AF119">
        <v>33.590000000000003</v>
      </c>
      <c r="AG119">
        <v>0</v>
      </c>
      <c r="AH119">
        <v>0</v>
      </c>
      <c r="AI119">
        <v>1</v>
      </c>
      <c r="AJ119">
        <v>6.71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6</v>
      </c>
      <c r="AT119">
        <v>0.56000000000000005</v>
      </c>
      <c r="AU119" t="s">
        <v>103</v>
      </c>
      <c r="AV119">
        <v>0</v>
      </c>
      <c r="AW119">
        <v>2</v>
      </c>
      <c r="AX119">
        <v>16814268</v>
      </c>
      <c r="AY119">
        <v>1</v>
      </c>
      <c r="AZ119">
        <v>0</v>
      </c>
      <c r="BA119">
        <v>122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Y119*Source!I74</f>
        <v>1.0500000000000001E-2</v>
      </c>
      <c r="CY119">
        <f>AB119</f>
        <v>225.39</v>
      </c>
      <c r="CZ119">
        <f>AF119</f>
        <v>33.590000000000003</v>
      </c>
      <c r="DA119">
        <f>AJ119</f>
        <v>6.71</v>
      </c>
      <c r="DB119">
        <f>ROUND((ROUND(AT119*CZ119,2)*1.25),2)</f>
        <v>23.51</v>
      </c>
      <c r="DC119">
        <f>ROUND((ROUND(AT119*AG119,2)*1.25),2)</f>
        <v>0</v>
      </c>
    </row>
    <row r="120" spans="1:107" x14ac:dyDescent="0.2">
      <c r="A120">
        <f>ROW(Source!A74)</f>
        <v>74</v>
      </c>
      <c r="B120">
        <v>16812721</v>
      </c>
      <c r="C120">
        <v>16814266</v>
      </c>
      <c r="D120">
        <v>15162588</v>
      </c>
      <c r="E120">
        <v>17</v>
      </c>
      <c r="F120">
        <v>1</v>
      </c>
      <c r="G120">
        <v>1</v>
      </c>
      <c r="H120">
        <v>3</v>
      </c>
      <c r="I120" t="s">
        <v>238</v>
      </c>
      <c r="J120" t="s">
        <v>6</v>
      </c>
      <c r="K120" t="s">
        <v>239</v>
      </c>
      <c r="L120">
        <v>1327</v>
      </c>
      <c r="N120">
        <v>1005</v>
      </c>
      <c r="O120" t="s">
        <v>28</v>
      </c>
      <c r="P120" t="s">
        <v>28</v>
      </c>
      <c r="Q120">
        <v>1</v>
      </c>
      <c r="W120">
        <v>0</v>
      </c>
      <c r="X120">
        <v>-354280000</v>
      </c>
      <c r="Y120">
        <v>210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6.71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210</v>
      </c>
      <c r="AU120" t="s">
        <v>6</v>
      </c>
      <c r="AV120">
        <v>0</v>
      </c>
      <c r="AW120">
        <v>2</v>
      </c>
      <c r="AX120">
        <v>16814269</v>
      </c>
      <c r="AY120">
        <v>1</v>
      </c>
      <c r="AZ120">
        <v>0</v>
      </c>
      <c r="BA120">
        <v>123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Y120*Source!I74</f>
        <v>3.15</v>
      </c>
      <c r="CY120">
        <f t="shared" ref="CY120:CY135" si="15">AA120</f>
        <v>0</v>
      </c>
      <c r="CZ120">
        <f t="shared" ref="CZ120:CZ135" si="16">AE120</f>
        <v>0</v>
      </c>
      <c r="DA120">
        <f t="shared" ref="DA120:DA135" si="17">AI120</f>
        <v>6.71</v>
      </c>
      <c r="DB120">
        <f t="shared" ref="DB120:DB141" si="18">ROUND(ROUND(AT120*CZ120,2),2)</f>
        <v>0</v>
      </c>
      <c r="DC120">
        <f t="shared" ref="DC120:DC141" si="19">ROUND(ROUND(AT120*AG120,2),2)</f>
        <v>0</v>
      </c>
    </row>
    <row r="121" spans="1:107" x14ac:dyDescent="0.2">
      <c r="A121">
        <f>ROW(Source!A74)</f>
        <v>74</v>
      </c>
      <c r="B121">
        <v>16812721</v>
      </c>
      <c r="C121">
        <v>16814266</v>
      </c>
      <c r="D121">
        <v>15166814</v>
      </c>
      <c r="E121">
        <v>1</v>
      </c>
      <c r="F121">
        <v>1</v>
      </c>
      <c r="G121">
        <v>1</v>
      </c>
      <c r="H121">
        <v>3</v>
      </c>
      <c r="I121" t="s">
        <v>241</v>
      </c>
      <c r="J121" t="s">
        <v>243</v>
      </c>
      <c r="K121" t="s">
        <v>242</v>
      </c>
      <c r="L121">
        <v>1327</v>
      </c>
      <c r="N121">
        <v>1005</v>
      </c>
      <c r="O121" t="s">
        <v>28</v>
      </c>
      <c r="P121" t="s">
        <v>28</v>
      </c>
      <c r="Q121">
        <v>1</v>
      </c>
      <c r="W121">
        <v>0</v>
      </c>
      <c r="X121">
        <v>148619590</v>
      </c>
      <c r="Y121">
        <v>210</v>
      </c>
      <c r="AA121">
        <v>100.65</v>
      </c>
      <c r="AB121">
        <v>0</v>
      </c>
      <c r="AC121">
        <v>0</v>
      </c>
      <c r="AD121">
        <v>0</v>
      </c>
      <c r="AE121">
        <v>15</v>
      </c>
      <c r="AF121">
        <v>0</v>
      </c>
      <c r="AG121">
        <v>0</v>
      </c>
      <c r="AH121">
        <v>0</v>
      </c>
      <c r="AI121">
        <v>6.71</v>
      </c>
      <c r="AJ121">
        <v>1</v>
      </c>
      <c r="AK121">
        <v>1</v>
      </c>
      <c r="AL121">
        <v>1</v>
      </c>
      <c r="AN121">
        <v>0</v>
      </c>
      <c r="AO121">
        <v>0</v>
      </c>
      <c r="AP121">
        <v>0</v>
      </c>
      <c r="AQ121">
        <v>0</v>
      </c>
      <c r="AR121">
        <v>0</v>
      </c>
      <c r="AS121" t="s">
        <v>6</v>
      </c>
      <c r="AT121">
        <v>210</v>
      </c>
      <c r="AU121" t="s">
        <v>6</v>
      </c>
      <c r="AV121">
        <v>0</v>
      </c>
      <c r="AW121">
        <v>1</v>
      </c>
      <c r="AX121">
        <v>-1</v>
      </c>
      <c r="AY121">
        <v>0</v>
      </c>
      <c r="AZ121">
        <v>0</v>
      </c>
      <c r="BA121" t="s">
        <v>6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Y121*Source!I74</f>
        <v>3.15</v>
      </c>
      <c r="CY121">
        <f t="shared" si="15"/>
        <v>100.65</v>
      </c>
      <c r="CZ121">
        <f t="shared" si="16"/>
        <v>15</v>
      </c>
      <c r="DA121">
        <f t="shared" si="17"/>
        <v>6.71</v>
      </c>
      <c r="DB121">
        <f t="shared" si="18"/>
        <v>3150</v>
      </c>
      <c r="DC121">
        <f t="shared" si="19"/>
        <v>0</v>
      </c>
    </row>
    <row r="122" spans="1:107" x14ac:dyDescent="0.2">
      <c r="A122">
        <f>ROW(Source!A74)</f>
        <v>74</v>
      </c>
      <c r="B122">
        <v>16812721</v>
      </c>
      <c r="C122">
        <v>16814266</v>
      </c>
      <c r="D122">
        <v>15167286</v>
      </c>
      <c r="E122">
        <v>1</v>
      </c>
      <c r="F122">
        <v>1</v>
      </c>
      <c r="G122">
        <v>1</v>
      </c>
      <c r="H122">
        <v>3</v>
      </c>
      <c r="I122" t="s">
        <v>801</v>
      </c>
      <c r="J122" t="s">
        <v>802</v>
      </c>
      <c r="K122" t="s">
        <v>803</v>
      </c>
      <c r="L122">
        <v>1339</v>
      </c>
      <c r="N122">
        <v>1007</v>
      </c>
      <c r="O122" t="s">
        <v>141</v>
      </c>
      <c r="P122" t="s">
        <v>141</v>
      </c>
      <c r="Q122">
        <v>1</v>
      </c>
      <c r="W122">
        <v>0</v>
      </c>
      <c r="X122">
        <v>-1660354250</v>
      </c>
      <c r="Y122">
        <v>6.7000000000000004E-2</v>
      </c>
      <c r="AA122">
        <v>16.37</v>
      </c>
      <c r="AB122">
        <v>0</v>
      </c>
      <c r="AC122">
        <v>0</v>
      </c>
      <c r="AD122">
        <v>0</v>
      </c>
      <c r="AE122">
        <v>2.44</v>
      </c>
      <c r="AF122">
        <v>0</v>
      </c>
      <c r="AG122">
        <v>0</v>
      </c>
      <c r="AH122">
        <v>0</v>
      </c>
      <c r="AI122">
        <v>6.71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6.7000000000000004E-2</v>
      </c>
      <c r="AU122" t="s">
        <v>6</v>
      </c>
      <c r="AV122">
        <v>0</v>
      </c>
      <c r="AW122">
        <v>2</v>
      </c>
      <c r="AX122">
        <v>16814270</v>
      </c>
      <c r="AY122">
        <v>1</v>
      </c>
      <c r="AZ122">
        <v>0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Y122*Source!I74</f>
        <v>1.005E-3</v>
      </c>
      <c r="CY122">
        <f t="shared" si="15"/>
        <v>16.37</v>
      </c>
      <c r="CZ122">
        <f t="shared" si="16"/>
        <v>2.44</v>
      </c>
      <c r="DA122">
        <f t="shared" si="17"/>
        <v>6.71</v>
      </c>
      <c r="DB122">
        <f t="shared" si="18"/>
        <v>0.16</v>
      </c>
      <c r="DC122">
        <f t="shared" si="19"/>
        <v>0</v>
      </c>
    </row>
    <row r="123" spans="1:107" x14ac:dyDescent="0.2">
      <c r="A123">
        <f>ROW(Source!A74)</f>
        <v>74</v>
      </c>
      <c r="B123">
        <v>16812721</v>
      </c>
      <c r="C123">
        <v>16814266</v>
      </c>
      <c r="D123">
        <v>15167547</v>
      </c>
      <c r="E123">
        <v>1</v>
      </c>
      <c r="F123">
        <v>1</v>
      </c>
      <c r="G123">
        <v>1</v>
      </c>
      <c r="H123">
        <v>3</v>
      </c>
      <c r="I123" t="s">
        <v>245</v>
      </c>
      <c r="J123" t="s">
        <v>247</v>
      </c>
      <c r="K123" t="s">
        <v>246</v>
      </c>
      <c r="L123">
        <v>1301</v>
      </c>
      <c r="N123">
        <v>1003</v>
      </c>
      <c r="O123" t="s">
        <v>177</v>
      </c>
      <c r="P123" t="s">
        <v>177</v>
      </c>
      <c r="Q123">
        <v>1</v>
      </c>
      <c r="W123">
        <v>0</v>
      </c>
      <c r="X123">
        <v>1872950600</v>
      </c>
      <c r="Y123">
        <v>126</v>
      </c>
      <c r="AA123">
        <v>2.48</v>
      </c>
      <c r="AB123">
        <v>0</v>
      </c>
      <c r="AC123">
        <v>0</v>
      </c>
      <c r="AD123">
        <v>0</v>
      </c>
      <c r="AE123">
        <v>0.37</v>
      </c>
      <c r="AF123">
        <v>0</v>
      </c>
      <c r="AG123">
        <v>0</v>
      </c>
      <c r="AH123">
        <v>0</v>
      </c>
      <c r="AI123">
        <v>6.71</v>
      </c>
      <c r="AJ123">
        <v>1</v>
      </c>
      <c r="AK123">
        <v>1</v>
      </c>
      <c r="AL123">
        <v>1</v>
      </c>
      <c r="AN123">
        <v>0</v>
      </c>
      <c r="AO123">
        <v>0</v>
      </c>
      <c r="AP123">
        <v>0</v>
      </c>
      <c r="AQ123">
        <v>0</v>
      </c>
      <c r="AR123">
        <v>0</v>
      </c>
      <c r="AS123" t="s">
        <v>6</v>
      </c>
      <c r="AT123">
        <v>126</v>
      </c>
      <c r="AU123" t="s">
        <v>6</v>
      </c>
      <c r="AV123">
        <v>0</v>
      </c>
      <c r="AW123">
        <v>1</v>
      </c>
      <c r="AX123">
        <v>-1</v>
      </c>
      <c r="AY123">
        <v>0</v>
      </c>
      <c r="AZ123">
        <v>0</v>
      </c>
      <c r="BA123" t="s">
        <v>6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Y123*Source!I74</f>
        <v>1.89</v>
      </c>
      <c r="CY123">
        <f t="shared" si="15"/>
        <v>2.48</v>
      </c>
      <c r="CZ123">
        <f t="shared" si="16"/>
        <v>0.37</v>
      </c>
      <c r="DA123">
        <f t="shared" si="17"/>
        <v>6.71</v>
      </c>
      <c r="DB123">
        <f t="shared" si="18"/>
        <v>46.62</v>
      </c>
      <c r="DC123">
        <f t="shared" si="19"/>
        <v>0</v>
      </c>
    </row>
    <row r="124" spans="1:107" x14ac:dyDescent="0.2">
      <c r="A124">
        <f>ROW(Source!A74)</f>
        <v>74</v>
      </c>
      <c r="B124">
        <v>16812721</v>
      </c>
      <c r="C124">
        <v>16814266</v>
      </c>
      <c r="D124">
        <v>15167572</v>
      </c>
      <c r="E124">
        <v>1</v>
      </c>
      <c r="F124">
        <v>1</v>
      </c>
      <c r="G124">
        <v>1</v>
      </c>
      <c r="H124">
        <v>3</v>
      </c>
      <c r="I124" t="s">
        <v>893</v>
      </c>
      <c r="J124" t="s">
        <v>894</v>
      </c>
      <c r="K124" t="s">
        <v>895</v>
      </c>
      <c r="L124">
        <v>1301</v>
      </c>
      <c r="N124">
        <v>1003</v>
      </c>
      <c r="O124" t="s">
        <v>177</v>
      </c>
      <c r="P124" t="s">
        <v>177</v>
      </c>
      <c r="Q124">
        <v>1</v>
      </c>
      <c r="W124">
        <v>0</v>
      </c>
      <c r="X124">
        <v>1016996156</v>
      </c>
      <c r="Y124">
        <v>152</v>
      </c>
      <c r="AA124">
        <v>1.1399999999999999</v>
      </c>
      <c r="AB124">
        <v>0</v>
      </c>
      <c r="AC124">
        <v>0</v>
      </c>
      <c r="AD124">
        <v>0</v>
      </c>
      <c r="AE124">
        <v>0.17</v>
      </c>
      <c r="AF124">
        <v>0</v>
      </c>
      <c r="AG124">
        <v>0</v>
      </c>
      <c r="AH124">
        <v>0</v>
      </c>
      <c r="AI124">
        <v>6.71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152</v>
      </c>
      <c r="AU124" t="s">
        <v>6</v>
      </c>
      <c r="AV124">
        <v>0</v>
      </c>
      <c r="AW124">
        <v>2</v>
      </c>
      <c r="AX124">
        <v>16814271</v>
      </c>
      <c r="AY124">
        <v>1</v>
      </c>
      <c r="AZ124">
        <v>0</v>
      </c>
      <c r="BA124">
        <v>125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Y124*Source!I74</f>
        <v>2.2799999999999998</v>
      </c>
      <c r="CY124">
        <f t="shared" si="15"/>
        <v>1.1399999999999999</v>
      </c>
      <c r="CZ124">
        <f t="shared" si="16"/>
        <v>0.17</v>
      </c>
      <c r="DA124">
        <f t="shared" si="17"/>
        <v>6.71</v>
      </c>
      <c r="DB124">
        <f t="shared" si="18"/>
        <v>25.84</v>
      </c>
      <c r="DC124">
        <f t="shared" si="19"/>
        <v>0</v>
      </c>
    </row>
    <row r="125" spans="1:107" x14ac:dyDescent="0.2">
      <c r="A125">
        <f>ROW(Source!A74)</f>
        <v>74</v>
      </c>
      <c r="B125">
        <v>16812721</v>
      </c>
      <c r="C125">
        <v>16814266</v>
      </c>
      <c r="D125">
        <v>15167577</v>
      </c>
      <c r="E125">
        <v>1</v>
      </c>
      <c r="F125">
        <v>1</v>
      </c>
      <c r="G125">
        <v>1</v>
      </c>
      <c r="H125">
        <v>3</v>
      </c>
      <c r="I125" t="s">
        <v>896</v>
      </c>
      <c r="J125" t="s">
        <v>897</v>
      </c>
      <c r="K125" t="s">
        <v>898</v>
      </c>
      <c r="L125">
        <v>1308</v>
      </c>
      <c r="N125">
        <v>1003</v>
      </c>
      <c r="O125" t="s">
        <v>39</v>
      </c>
      <c r="P125" t="s">
        <v>39</v>
      </c>
      <c r="Q125">
        <v>100</v>
      </c>
      <c r="W125">
        <v>0</v>
      </c>
      <c r="X125">
        <v>254035190</v>
      </c>
      <c r="Y125">
        <v>1.77</v>
      </c>
      <c r="AA125">
        <v>1160.83</v>
      </c>
      <c r="AB125">
        <v>0</v>
      </c>
      <c r="AC125">
        <v>0</v>
      </c>
      <c r="AD125">
        <v>0</v>
      </c>
      <c r="AE125">
        <v>173</v>
      </c>
      <c r="AF125">
        <v>0</v>
      </c>
      <c r="AG125">
        <v>0</v>
      </c>
      <c r="AH125">
        <v>0</v>
      </c>
      <c r="AI125">
        <v>6.71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0</v>
      </c>
      <c r="AQ125">
        <v>0</v>
      </c>
      <c r="AR125">
        <v>0</v>
      </c>
      <c r="AS125" t="s">
        <v>6</v>
      </c>
      <c r="AT125">
        <v>1.77</v>
      </c>
      <c r="AU125" t="s">
        <v>6</v>
      </c>
      <c r="AV125">
        <v>0</v>
      </c>
      <c r="AW125">
        <v>2</v>
      </c>
      <c r="AX125">
        <v>16814272</v>
      </c>
      <c r="AY125">
        <v>1</v>
      </c>
      <c r="AZ125">
        <v>0</v>
      </c>
      <c r="BA125">
        <v>126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Y125*Source!I74</f>
        <v>2.6550000000000001E-2</v>
      </c>
      <c r="CY125">
        <f t="shared" si="15"/>
        <v>1160.83</v>
      </c>
      <c r="CZ125">
        <f t="shared" si="16"/>
        <v>173</v>
      </c>
      <c r="DA125">
        <f t="shared" si="17"/>
        <v>6.71</v>
      </c>
      <c r="DB125">
        <f t="shared" si="18"/>
        <v>306.20999999999998</v>
      </c>
      <c r="DC125">
        <f t="shared" si="19"/>
        <v>0</v>
      </c>
    </row>
    <row r="126" spans="1:107" x14ac:dyDescent="0.2">
      <c r="A126">
        <f>ROW(Source!A74)</f>
        <v>74</v>
      </c>
      <c r="B126">
        <v>16812721</v>
      </c>
      <c r="C126">
        <v>16814266</v>
      </c>
      <c r="D126">
        <v>15162565</v>
      </c>
      <c r="E126">
        <v>17</v>
      </c>
      <c r="F126">
        <v>1</v>
      </c>
      <c r="G126">
        <v>1</v>
      </c>
      <c r="H126">
        <v>3</v>
      </c>
      <c r="I126" t="s">
        <v>249</v>
      </c>
      <c r="J126" t="s">
        <v>6</v>
      </c>
      <c r="K126" t="s">
        <v>250</v>
      </c>
      <c r="L126">
        <v>1301</v>
      </c>
      <c r="N126">
        <v>1003</v>
      </c>
      <c r="O126" t="s">
        <v>177</v>
      </c>
      <c r="P126" t="s">
        <v>177</v>
      </c>
      <c r="Q126">
        <v>1</v>
      </c>
      <c r="W126">
        <v>0</v>
      </c>
      <c r="X126">
        <v>-1225318320</v>
      </c>
      <c r="Y126">
        <v>126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6.71</v>
      </c>
      <c r="AJ126">
        <v>1</v>
      </c>
      <c r="AK126">
        <v>1</v>
      </c>
      <c r="AL126">
        <v>1</v>
      </c>
      <c r="AN126">
        <v>0</v>
      </c>
      <c r="AO126">
        <v>0</v>
      </c>
      <c r="AP126">
        <v>0</v>
      </c>
      <c r="AQ126">
        <v>0</v>
      </c>
      <c r="AR126">
        <v>0</v>
      </c>
      <c r="AS126" t="s">
        <v>6</v>
      </c>
      <c r="AT126">
        <v>126</v>
      </c>
      <c r="AU126" t="s">
        <v>6</v>
      </c>
      <c r="AV126">
        <v>0</v>
      </c>
      <c r="AW126">
        <v>2</v>
      </c>
      <c r="AX126">
        <v>16814273</v>
      </c>
      <c r="AY126">
        <v>1</v>
      </c>
      <c r="AZ126">
        <v>0</v>
      </c>
      <c r="BA126">
        <v>127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Y126*Source!I74</f>
        <v>1.89</v>
      </c>
      <c r="CY126">
        <f t="shared" si="15"/>
        <v>0</v>
      </c>
      <c r="CZ126">
        <f t="shared" si="16"/>
        <v>0</v>
      </c>
      <c r="DA126">
        <f t="shared" si="17"/>
        <v>6.71</v>
      </c>
      <c r="DB126">
        <f t="shared" si="18"/>
        <v>0</v>
      </c>
      <c r="DC126">
        <f t="shared" si="19"/>
        <v>0</v>
      </c>
    </row>
    <row r="127" spans="1:107" x14ac:dyDescent="0.2">
      <c r="A127">
        <f>ROW(Source!A74)</f>
        <v>74</v>
      </c>
      <c r="B127">
        <v>16812721</v>
      </c>
      <c r="C127">
        <v>16814266</v>
      </c>
      <c r="D127">
        <v>15170155</v>
      </c>
      <c r="E127">
        <v>1</v>
      </c>
      <c r="F127">
        <v>1</v>
      </c>
      <c r="G127">
        <v>1</v>
      </c>
      <c r="H127">
        <v>3</v>
      </c>
      <c r="I127" t="s">
        <v>899</v>
      </c>
      <c r="J127" t="s">
        <v>900</v>
      </c>
      <c r="K127" t="s">
        <v>901</v>
      </c>
      <c r="L127">
        <v>1355</v>
      </c>
      <c r="N127">
        <v>1010</v>
      </c>
      <c r="O127" t="s">
        <v>188</v>
      </c>
      <c r="P127" t="s">
        <v>188</v>
      </c>
      <c r="Q127">
        <v>100</v>
      </c>
      <c r="W127">
        <v>0</v>
      </c>
      <c r="X127">
        <v>1135215184</v>
      </c>
      <c r="Y127">
        <v>1.69</v>
      </c>
      <c r="AA127">
        <v>53.68</v>
      </c>
      <c r="AB127">
        <v>0</v>
      </c>
      <c r="AC127">
        <v>0</v>
      </c>
      <c r="AD127">
        <v>0</v>
      </c>
      <c r="AE127">
        <v>8</v>
      </c>
      <c r="AF127">
        <v>0</v>
      </c>
      <c r="AG127">
        <v>0</v>
      </c>
      <c r="AH127">
        <v>0</v>
      </c>
      <c r="AI127">
        <v>6.71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6</v>
      </c>
      <c r="AT127">
        <v>1.69</v>
      </c>
      <c r="AU127" t="s">
        <v>6</v>
      </c>
      <c r="AV127">
        <v>0</v>
      </c>
      <c r="AW127">
        <v>2</v>
      </c>
      <c r="AX127">
        <v>16814274</v>
      </c>
      <c r="AY127">
        <v>1</v>
      </c>
      <c r="AZ127">
        <v>0</v>
      </c>
      <c r="BA127">
        <v>128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Y127*Source!I74</f>
        <v>2.5349999999999998E-2</v>
      </c>
      <c r="CY127">
        <f t="shared" si="15"/>
        <v>53.68</v>
      </c>
      <c r="CZ127">
        <f t="shared" si="16"/>
        <v>8</v>
      </c>
      <c r="DA127">
        <f t="shared" si="17"/>
        <v>6.71</v>
      </c>
      <c r="DB127">
        <f t="shared" si="18"/>
        <v>13.52</v>
      </c>
      <c r="DC127">
        <f t="shared" si="19"/>
        <v>0</v>
      </c>
    </row>
    <row r="128" spans="1:107" x14ac:dyDescent="0.2">
      <c r="A128">
        <f>ROW(Source!A74)</f>
        <v>74</v>
      </c>
      <c r="B128">
        <v>16812721</v>
      </c>
      <c r="C128">
        <v>16814266</v>
      </c>
      <c r="D128">
        <v>15170385</v>
      </c>
      <c r="E128">
        <v>1</v>
      </c>
      <c r="F128">
        <v>1</v>
      </c>
      <c r="G128">
        <v>1</v>
      </c>
      <c r="H128">
        <v>3</v>
      </c>
      <c r="I128" t="s">
        <v>902</v>
      </c>
      <c r="J128" t="s">
        <v>903</v>
      </c>
      <c r="K128" t="s">
        <v>904</v>
      </c>
      <c r="L128">
        <v>1355</v>
      </c>
      <c r="N128">
        <v>1010</v>
      </c>
      <c r="O128" t="s">
        <v>188</v>
      </c>
      <c r="P128" t="s">
        <v>188</v>
      </c>
      <c r="Q128">
        <v>100</v>
      </c>
      <c r="W128">
        <v>0</v>
      </c>
      <c r="X128">
        <v>-1705958995</v>
      </c>
      <c r="Y128">
        <v>35.33</v>
      </c>
      <c r="AA128">
        <v>13.42</v>
      </c>
      <c r="AB128">
        <v>0</v>
      </c>
      <c r="AC128">
        <v>0</v>
      </c>
      <c r="AD128">
        <v>0</v>
      </c>
      <c r="AE128">
        <v>2</v>
      </c>
      <c r="AF128">
        <v>0</v>
      </c>
      <c r="AG128">
        <v>0</v>
      </c>
      <c r="AH128">
        <v>0</v>
      </c>
      <c r="AI128">
        <v>6.71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6</v>
      </c>
      <c r="AT128">
        <v>35.33</v>
      </c>
      <c r="AU128" t="s">
        <v>6</v>
      </c>
      <c r="AV128">
        <v>0</v>
      </c>
      <c r="AW128">
        <v>2</v>
      </c>
      <c r="AX128">
        <v>16814275</v>
      </c>
      <c r="AY128">
        <v>1</v>
      </c>
      <c r="AZ128">
        <v>0</v>
      </c>
      <c r="BA128">
        <v>129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Y128*Source!I74</f>
        <v>0.52994999999999992</v>
      </c>
      <c r="CY128">
        <f t="shared" si="15"/>
        <v>13.42</v>
      </c>
      <c r="CZ128">
        <f t="shared" si="16"/>
        <v>2</v>
      </c>
      <c r="DA128">
        <f t="shared" si="17"/>
        <v>6.71</v>
      </c>
      <c r="DB128">
        <f t="shared" si="18"/>
        <v>70.66</v>
      </c>
      <c r="DC128">
        <f t="shared" si="19"/>
        <v>0</v>
      </c>
    </row>
    <row r="129" spans="1:107" x14ac:dyDescent="0.2">
      <c r="A129">
        <f>ROW(Source!A74)</f>
        <v>74</v>
      </c>
      <c r="B129">
        <v>16812721</v>
      </c>
      <c r="C129">
        <v>16814266</v>
      </c>
      <c r="D129">
        <v>15162556</v>
      </c>
      <c r="E129">
        <v>17</v>
      </c>
      <c r="F129">
        <v>1</v>
      </c>
      <c r="G129">
        <v>1</v>
      </c>
      <c r="H129">
        <v>3</v>
      </c>
      <c r="I129" t="s">
        <v>252</v>
      </c>
      <c r="J129" t="s">
        <v>6</v>
      </c>
      <c r="K129" t="s">
        <v>253</v>
      </c>
      <c r="L129">
        <v>1301</v>
      </c>
      <c r="N129">
        <v>1003</v>
      </c>
      <c r="O129" t="s">
        <v>177</v>
      </c>
      <c r="P129" t="s">
        <v>177</v>
      </c>
      <c r="Q129">
        <v>1</v>
      </c>
      <c r="W129">
        <v>0</v>
      </c>
      <c r="X129">
        <v>-543280927</v>
      </c>
      <c r="Y129">
        <v>151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6.71</v>
      </c>
      <c r="AJ129">
        <v>1</v>
      </c>
      <c r="AK129">
        <v>1</v>
      </c>
      <c r="AL129">
        <v>1</v>
      </c>
      <c r="AN129">
        <v>0</v>
      </c>
      <c r="AO129">
        <v>0</v>
      </c>
      <c r="AP129">
        <v>0</v>
      </c>
      <c r="AQ129">
        <v>0</v>
      </c>
      <c r="AR129">
        <v>0</v>
      </c>
      <c r="AS129" t="s">
        <v>6</v>
      </c>
      <c r="AT129">
        <v>151</v>
      </c>
      <c r="AU129" t="s">
        <v>6</v>
      </c>
      <c r="AV129">
        <v>0</v>
      </c>
      <c r="AW129">
        <v>2</v>
      </c>
      <c r="AX129">
        <v>16814276</v>
      </c>
      <c r="AY129">
        <v>1</v>
      </c>
      <c r="AZ129">
        <v>0</v>
      </c>
      <c r="BA129">
        <v>130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Y129*Source!I74</f>
        <v>2.2650000000000001</v>
      </c>
      <c r="CY129">
        <f t="shared" si="15"/>
        <v>0</v>
      </c>
      <c r="CZ129">
        <f t="shared" si="16"/>
        <v>0</v>
      </c>
      <c r="DA129">
        <f t="shared" si="17"/>
        <v>6.71</v>
      </c>
      <c r="DB129">
        <f t="shared" si="18"/>
        <v>0</v>
      </c>
      <c r="DC129">
        <f t="shared" si="19"/>
        <v>0</v>
      </c>
    </row>
    <row r="130" spans="1:107" x14ac:dyDescent="0.2">
      <c r="A130">
        <f>ROW(Source!A74)</f>
        <v>74</v>
      </c>
      <c r="B130">
        <v>16812721</v>
      </c>
      <c r="C130">
        <v>16814266</v>
      </c>
      <c r="D130">
        <v>15162557</v>
      </c>
      <c r="E130">
        <v>17</v>
      </c>
      <c r="F130">
        <v>1</v>
      </c>
      <c r="G130">
        <v>1</v>
      </c>
      <c r="H130">
        <v>3</v>
      </c>
      <c r="I130" t="s">
        <v>252</v>
      </c>
      <c r="J130" t="s">
        <v>6</v>
      </c>
      <c r="K130" t="s">
        <v>263</v>
      </c>
      <c r="L130">
        <v>1301</v>
      </c>
      <c r="N130">
        <v>1003</v>
      </c>
      <c r="O130" t="s">
        <v>177</v>
      </c>
      <c r="P130" t="s">
        <v>177</v>
      </c>
      <c r="Q130">
        <v>1</v>
      </c>
      <c r="W130">
        <v>0</v>
      </c>
      <c r="X130">
        <v>-200649644</v>
      </c>
      <c r="Y130">
        <v>204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6.71</v>
      </c>
      <c r="AJ130">
        <v>1</v>
      </c>
      <c r="AK130">
        <v>1</v>
      </c>
      <c r="AL130">
        <v>1</v>
      </c>
      <c r="AN130">
        <v>0</v>
      </c>
      <c r="AO130">
        <v>0</v>
      </c>
      <c r="AP130">
        <v>0</v>
      </c>
      <c r="AQ130">
        <v>0</v>
      </c>
      <c r="AR130">
        <v>0</v>
      </c>
      <c r="AS130" t="s">
        <v>6</v>
      </c>
      <c r="AT130">
        <v>204</v>
      </c>
      <c r="AU130" t="s">
        <v>6</v>
      </c>
      <c r="AV130">
        <v>0</v>
      </c>
      <c r="AW130">
        <v>2</v>
      </c>
      <c r="AX130">
        <v>16814277</v>
      </c>
      <c r="AY130">
        <v>1</v>
      </c>
      <c r="AZ130">
        <v>0</v>
      </c>
      <c r="BA130">
        <v>131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Y130*Source!I74</f>
        <v>3.06</v>
      </c>
      <c r="CY130">
        <f t="shared" si="15"/>
        <v>0</v>
      </c>
      <c r="CZ130">
        <f t="shared" si="16"/>
        <v>0</v>
      </c>
      <c r="DA130">
        <f t="shared" si="17"/>
        <v>6.71</v>
      </c>
      <c r="DB130">
        <f t="shared" si="18"/>
        <v>0</v>
      </c>
      <c r="DC130">
        <f t="shared" si="19"/>
        <v>0</v>
      </c>
    </row>
    <row r="131" spans="1:107" x14ac:dyDescent="0.2">
      <c r="A131">
        <f>ROW(Source!A74)</f>
        <v>74</v>
      </c>
      <c r="B131">
        <v>16812721</v>
      </c>
      <c r="C131">
        <v>16814266</v>
      </c>
      <c r="D131">
        <v>15188397</v>
      </c>
      <c r="E131">
        <v>1</v>
      </c>
      <c r="F131">
        <v>1</v>
      </c>
      <c r="G131">
        <v>1</v>
      </c>
      <c r="H131">
        <v>3</v>
      </c>
      <c r="I131" t="s">
        <v>255</v>
      </c>
      <c r="J131" t="s">
        <v>257</v>
      </c>
      <c r="K131" t="s">
        <v>256</v>
      </c>
      <c r="L131">
        <v>1301</v>
      </c>
      <c r="N131">
        <v>1003</v>
      </c>
      <c r="O131" t="s">
        <v>177</v>
      </c>
      <c r="P131" t="s">
        <v>177</v>
      </c>
      <c r="Q131">
        <v>1</v>
      </c>
      <c r="W131">
        <v>0</v>
      </c>
      <c r="X131">
        <v>-177089874</v>
      </c>
      <c r="Y131">
        <v>151</v>
      </c>
      <c r="AA131">
        <v>37.58</v>
      </c>
      <c r="AB131">
        <v>0</v>
      </c>
      <c r="AC131">
        <v>0</v>
      </c>
      <c r="AD131">
        <v>0</v>
      </c>
      <c r="AE131">
        <v>5.6</v>
      </c>
      <c r="AF131">
        <v>0</v>
      </c>
      <c r="AG131">
        <v>0</v>
      </c>
      <c r="AH131">
        <v>0</v>
      </c>
      <c r="AI131">
        <v>6.71</v>
      </c>
      <c r="AJ131">
        <v>1</v>
      </c>
      <c r="AK131">
        <v>1</v>
      </c>
      <c r="AL131">
        <v>1</v>
      </c>
      <c r="AN131">
        <v>0</v>
      </c>
      <c r="AO131">
        <v>0</v>
      </c>
      <c r="AP131">
        <v>0</v>
      </c>
      <c r="AQ131">
        <v>0</v>
      </c>
      <c r="AR131">
        <v>0</v>
      </c>
      <c r="AS131" t="s">
        <v>6</v>
      </c>
      <c r="AT131">
        <v>151</v>
      </c>
      <c r="AU131" t="s">
        <v>6</v>
      </c>
      <c r="AV131">
        <v>0</v>
      </c>
      <c r="AW131">
        <v>1</v>
      </c>
      <c r="AX131">
        <v>-1</v>
      </c>
      <c r="AY131">
        <v>0</v>
      </c>
      <c r="AZ131">
        <v>0</v>
      </c>
      <c r="BA131" t="s">
        <v>6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Y131*Source!I74</f>
        <v>2.2650000000000001</v>
      </c>
      <c r="CY131">
        <f t="shared" si="15"/>
        <v>37.58</v>
      </c>
      <c r="CZ131">
        <f t="shared" si="16"/>
        <v>5.6</v>
      </c>
      <c r="DA131">
        <f t="shared" si="17"/>
        <v>6.71</v>
      </c>
      <c r="DB131">
        <f t="shared" si="18"/>
        <v>845.6</v>
      </c>
      <c r="DC131">
        <f t="shared" si="19"/>
        <v>0</v>
      </c>
    </row>
    <row r="132" spans="1:107" x14ac:dyDescent="0.2">
      <c r="A132">
        <f>ROW(Source!A74)</f>
        <v>74</v>
      </c>
      <c r="B132">
        <v>16812721</v>
      </c>
      <c r="C132">
        <v>16814266</v>
      </c>
      <c r="D132">
        <v>15188459</v>
      </c>
      <c r="E132">
        <v>1</v>
      </c>
      <c r="F132">
        <v>1</v>
      </c>
      <c r="G132">
        <v>1</v>
      </c>
      <c r="H132">
        <v>3</v>
      </c>
      <c r="I132" t="s">
        <v>259</v>
      </c>
      <c r="J132" t="s">
        <v>261</v>
      </c>
      <c r="K132" t="s">
        <v>260</v>
      </c>
      <c r="L132">
        <v>1301</v>
      </c>
      <c r="N132">
        <v>1003</v>
      </c>
      <c r="O132" t="s">
        <v>177</v>
      </c>
      <c r="P132" t="s">
        <v>177</v>
      </c>
      <c r="Q132">
        <v>1</v>
      </c>
      <c r="W132">
        <v>0</v>
      </c>
      <c r="X132">
        <v>1234013250</v>
      </c>
      <c r="Y132">
        <v>204</v>
      </c>
      <c r="AA132">
        <v>31.34</v>
      </c>
      <c r="AB132">
        <v>0</v>
      </c>
      <c r="AC132">
        <v>0</v>
      </c>
      <c r="AD132">
        <v>0</v>
      </c>
      <c r="AE132">
        <v>4.67</v>
      </c>
      <c r="AF132">
        <v>0</v>
      </c>
      <c r="AG132">
        <v>0</v>
      </c>
      <c r="AH132">
        <v>0</v>
      </c>
      <c r="AI132">
        <v>6.71</v>
      </c>
      <c r="AJ132">
        <v>1</v>
      </c>
      <c r="AK132">
        <v>1</v>
      </c>
      <c r="AL132">
        <v>1</v>
      </c>
      <c r="AN132">
        <v>0</v>
      </c>
      <c r="AO132">
        <v>0</v>
      </c>
      <c r="AP132">
        <v>0</v>
      </c>
      <c r="AQ132">
        <v>0</v>
      </c>
      <c r="AR132">
        <v>0</v>
      </c>
      <c r="AS132" t="s">
        <v>6</v>
      </c>
      <c r="AT132">
        <v>204</v>
      </c>
      <c r="AU132" t="s">
        <v>6</v>
      </c>
      <c r="AV132">
        <v>0</v>
      </c>
      <c r="AW132">
        <v>1</v>
      </c>
      <c r="AX132">
        <v>-1</v>
      </c>
      <c r="AY132">
        <v>0</v>
      </c>
      <c r="AZ132">
        <v>0</v>
      </c>
      <c r="BA132" t="s">
        <v>6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Y132*Source!I74</f>
        <v>3.06</v>
      </c>
      <c r="CY132">
        <f t="shared" si="15"/>
        <v>31.34</v>
      </c>
      <c r="CZ132">
        <f t="shared" si="16"/>
        <v>4.67</v>
      </c>
      <c r="DA132">
        <f t="shared" si="17"/>
        <v>6.71</v>
      </c>
      <c r="DB132">
        <f t="shared" si="18"/>
        <v>952.68</v>
      </c>
      <c r="DC132">
        <f t="shared" si="19"/>
        <v>0</v>
      </c>
    </row>
    <row r="133" spans="1:107" x14ac:dyDescent="0.2">
      <c r="A133">
        <f>ROW(Source!A74)</f>
        <v>74</v>
      </c>
      <c r="B133">
        <v>16812721</v>
      </c>
      <c r="C133">
        <v>16814266</v>
      </c>
      <c r="D133">
        <v>15203471</v>
      </c>
      <c r="E133">
        <v>1</v>
      </c>
      <c r="F133">
        <v>1</v>
      </c>
      <c r="G133">
        <v>1</v>
      </c>
      <c r="H133">
        <v>3</v>
      </c>
      <c r="I133" t="s">
        <v>905</v>
      </c>
      <c r="J133" t="s">
        <v>906</v>
      </c>
      <c r="K133" t="s">
        <v>907</v>
      </c>
      <c r="L133">
        <v>1346</v>
      </c>
      <c r="N133">
        <v>1009</v>
      </c>
      <c r="O133" t="s">
        <v>277</v>
      </c>
      <c r="P133" t="s">
        <v>277</v>
      </c>
      <c r="Q133">
        <v>1</v>
      </c>
      <c r="W133">
        <v>0</v>
      </c>
      <c r="X133">
        <v>1693558002</v>
      </c>
      <c r="Y133">
        <v>20</v>
      </c>
      <c r="AA133">
        <v>87.77</v>
      </c>
      <c r="AB133">
        <v>0</v>
      </c>
      <c r="AC133">
        <v>0</v>
      </c>
      <c r="AD133">
        <v>0</v>
      </c>
      <c r="AE133">
        <v>13.08</v>
      </c>
      <c r="AF133">
        <v>0</v>
      </c>
      <c r="AG133">
        <v>0</v>
      </c>
      <c r="AH133">
        <v>0</v>
      </c>
      <c r="AI133">
        <v>6.71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20</v>
      </c>
      <c r="AU133" t="s">
        <v>6</v>
      </c>
      <c r="AV133">
        <v>0</v>
      </c>
      <c r="AW133">
        <v>2</v>
      </c>
      <c r="AX133">
        <v>16814279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Y133*Source!I74</f>
        <v>0.3</v>
      </c>
      <c r="CY133">
        <f t="shared" si="15"/>
        <v>87.77</v>
      </c>
      <c r="CZ133">
        <f t="shared" si="16"/>
        <v>13.08</v>
      </c>
      <c r="DA133">
        <f t="shared" si="17"/>
        <v>6.71</v>
      </c>
      <c r="DB133">
        <f t="shared" si="18"/>
        <v>261.60000000000002</v>
      </c>
      <c r="DC133">
        <f t="shared" si="19"/>
        <v>0</v>
      </c>
    </row>
    <row r="134" spans="1:107" x14ac:dyDescent="0.2">
      <c r="A134">
        <f>ROW(Source!A74)</f>
        <v>74</v>
      </c>
      <c r="B134">
        <v>16812721</v>
      </c>
      <c r="C134">
        <v>16814266</v>
      </c>
      <c r="D134">
        <v>15204745</v>
      </c>
      <c r="E134">
        <v>1</v>
      </c>
      <c r="F134">
        <v>1</v>
      </c>
      <c r="G134">
        <v>1</v>
      </c>
      <c r="H134">
        <v>3</v>
      </c>
      <c r="I134" t="s">
        <v>908</v>
      </c>
      <c r="J134" t="s">
        <v>909</v>
      </c>
      <c r="K134" t="s">
        <v>910</v>
      </c>
      <c r="L134">
        <v>1346</v>
      </c>
      <c r="N134">
        <v>1009</v>
      </c>
      <c r="O134" t="s">
        <v>277</v>
      </c>
      <c r="P134" t="s">
        <v>277</v>
      </c>
      <c r="Q134">
        <v>1</v>
      </c>
      <c r="W134">
        <v>0</v>
      </c>
      <c r="X134">
        <v>-1147914635</v>
      </c>
      <c r="Y134">
        <v>10</v>
      </c>
      <c r="AA134">
        <v>50.06</v>
      </c>
      <c r="AB134">
        <v>0</v>
      </c>
      <c r="AC134">
        <v>0</v>
      </c>
      <c r="AD134">
        <v>0</v>
      </c>
      <c r="AE134">
        <v>7.46</v>
      </c>
      <c r="AF134">
        <v>0</v>
      </c>
      <c r="AG134">
        <v>0</v>
      </c>
      <c r="AH134">
        <v>0</v>
      </c>
      <c r="AI134">
        <v>6.71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10</v>
      </c>
      <c r="AU134" t="s">
        <v>6</v>
      </c>
      <c r="AV134">
        <v>0</v>
      </c>
      <c r="AW134">
        <v>2</v>
      </c>
      <c r="AX134">
        <v>16814280</v>
      </c>
      <c r="AY134">
        <v>1</v>
      </c>
      <c r="AZ134">
        <v>0</v>
      </c>
      <c r="BA134">
        <v>134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Y134*Source!I74</f>
        <v>0.15</v>
      </c>
      <c r="CY134">
        <f t="shared" si="15"/>
        <v>50.06</v>
      </c>
      <c r="CZ134">
        <f t="shared" si="16"/>
        <v>7.46</v>
      </c>
      <c r="DA134">
        <f t="shared" si="17"/>
        <v>6.71</v>
      </c>
      <c r="DB134">
        <f t="shared" si="18"/>
        <v>74.599999999999994</v>
      </c>
      <c r="DC134">
        <f t="shared" si="19"/>
        <v>0</v>
      </c>
    </row>
    <row r="135" spans="1:107" x14ac:dyDescent="0.2">
      <c r="A135">
        <f>ROW(Source!A74)</f>
        <v>74</v>
      </c>
      <c r="B135">
        <v>16812721</v>
      </c>
      <c r="C135">
        <v>16814266</v>
      </c>
      <c r="D135">
        <v>15204748</v>
      </c>
      <c r="E135">
        <v>1</v>
      </c>
      <c r="F135">
        <v>1</v>
      </c>
      <c r="G135">
        <v>1</v>
      </c>
      <c r="H135">
        <v>3</v>
      </c>
      <c r="I135" t="s">
        <v>911</v>
      </c>
      <c r="J135" t="s">
        <v>912</v>
      </c>
      <c r="K135" t="s">
        <v>913</v>
      </c>
      <c r="L135">
        <v>1346</v>
      </c>
      <c r="N135">
        <v>1009</v>
      </c>
      <c r="O135" t="s">
        <v>277</v>
      </c>
      <c r="P135" t="s">
        <v>277</v>
      </c>
      <c r="Q135">
        <v>1</v>
      </c>
      <c r="W135">
        <v>0</v>
      </c>
      <c r="X135">
        <v>1425634898</v>
      </c>
      <c r="Y135">
        <v>77</v>
      </c>
      <c r="AA135">
        <v>18.12</v>
      </c>
      <c r="AB135">
        <v>0</v>
      </c>
      <c r="AC135">
        <v>0</v>
      </c>
      <c r="AD135">
        <v>0</v>
      </c>
      <c r="AE135">
        <v>2.7</v>
      </c>
      <c r="AF135">
        <v>0</v>
      </c>
      <c r="AG135">
        <v>0</v>
      </c>
      <c r="AH135">
        <v>0</v>
      </c>
      <c r="AI135">
        <v>6.71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77</v>
      </c>
      <c r="AU135" t="s">
        <v>6</v>
      </c>
      <c r="AV135">
        <v>0</v>
      </c>
      <c r="AW135">
        <v>2</v>
      </c>
      <c r="AX135">
        <v>16814281</v>
      </c>
      <c r="AY135">
        <v>1</v>
      </c>
      <c r="AZ135">
        <v>0</v>
      </c>
      <c r="BA135">
        <v>135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Y135*Source!I74</f>
        <v>1.155</v>
      </c>
      <c r="CY135">
        <f t="shared" si="15"/>
        <v>18.12</v>
      </c>
      <c r="CZ135">
        <f t="shared" si="16"/>
        <v>2.7</v>
      </c>
      <c r="DA135">
        <f t="shared" si="17"/>
        <v>6.71</v>
      </c>
      <c r="DB135">
        <f t="shared" si="18"/>
        <v>207.9</v>
      </c>
      <c r="DC135">
        <f t="shared" si="19"/>
        <v>0</v>
      </c>
    </row>
    <row r="136" spans="1:107" x14ac:dyDescent="0.2">
      <c r="A136">
        <f>ROW(Source!A83)</f>
        <v>83</v>
      </c>
      <c r="B136">
        <v>16812721</v>
      </c>
      <c r="C136">
        <v>16813271</v>
      </c>
      <c r="D136">
        <v>15432356</v>
      </c>
      <c r="E136">
        <v>1</v>
      </c>
      <c r="F136">
        <v>1</v>
      </c>
      <c r="G136">
        <v>1</v>
      </c>
      <c r="H136">
        <v>1</v>
      </c>
      <c r="I136" t="s">
        <v>914</v>
      </c>
      <c r="J136" t="s">
        <v>6</v>
      </c>
      <c r="K136" t="s">
        <v>915</v>
      </c>
      <c r="L136">
        <v>1191</v>
      </c>
      <c r="N136">
        <v>1013</v>
      </c>
      <c r="O136" t="s">
        <v>773</v>
      </c>
      <c r="P136" t="s">
        <v>773</v>
      </c>
      <c r="Q136">
        <v>1</v>
      </c>
      <c r="W136">
        <v>0</v>
      </c>
      <c r="X136">
        <v>1850719656</v>
      </c>
      <c r="Y136">
        <v>42.37</v>
      </c>
      <c r="AA136">
        <v>0</v>
      </c>
      <c r="AB136">
        <v>0</v>
      </c>
      <c r="AC136">
        <v>0</v>
      </c>
      <c r="AD136">
        <v>55.76</v>
      </c>
      <c r="AE136">
        <v>0</v>
      </c>
      <c r="AF136">
        <v>0</v>
      </c>
      <c r="AG136">
        <v>0</v>
      </c>
      <c r="AH136">
        <v>8.31</v>
      </c>
      <c r="AI136">
        <v>1</v>
      </c>
      <c r="AJ136">
        <v>1</v>
      </c>
      <c r="AK136">
        <v>1</v>
      </c>
      <c r="AL136">
        <v>6.71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42.37</v>
      </c>
      <c r="AU136" t="s">
        <v>6</v>
      </c>
      <c r="AV136">
        <v>1</v>
      </c>
      <c r="AW136">
        <v>2</v>
      </c>
      <c r="AX136">
        <v>16813278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Y136*Source!I83</f>
        <v>113.55159999999999</v>
      </c>
      <c r="CY136">
        <f>AD136</f>
        <v>55.76</v>
      </c>
      <c r="CZ136">
        <f>AH136</f>
        <v>8.31</v>
      </c>
      <c r="DA136">
        <f>AL136</f>
        <v>6.71</v>
      </c>
      <c r="DB136">
        <f t="shared" si="18"/>
        <v>352.09</v>
      </c>
      <c r="DC136">
        <f t="shared" si="19"/>
        <v>0</v>
      </c>
    </row>
    <row r="137" spans="1:107" x14ac:dyDescent="0.2">
      <c r="A137">
        <f>ROW(Source!A83)</f>
        <v>83</v>
      </c>
      <c r="B137">
        <v>16812721</v>
      </c>
      <c r="C137">
        <v>16813271</v>
      </c>
      <c r="D137">
        <v>15430395</v>
      </c>
      <c r="E137">
        <v>1</v>
      </c>
      <c r="F137">
        <v>1</v>
      </c>
      <c r="G137">
        <v>1</v>
      </c>
      <c r="H137">
        <v>1</v>
      </c>
      <c r="I137" t="s">
        <v>774</v>
      </c>
      <c r="J137" t="s">
        <v>6</v>
      </c>
      <c r="K137" t="s">
        <v>775</v>
      </c>
      <c r="L137">
        <v>1191</v>
      </c>
      <c r="N137">
        <v>1013</v>
      </c>
      <c r="O137" t="s">
        <v>773</v>
      </c>
      <c r="P137" t="s">
        <v>773</v>
      </c>
      <c r="Q137">
        <v>1</v>
      </c>
      <c r="W137">
        <v>0</v>
      </c>
      <c r="X137">
        <v>-1417349443</v>
      </c>
      <c r="Y137">
        <v>0.64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6.71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0.64</v>
      </c>
      <c r="AU137" t="s">
        <v>6</v>
      </c>
      <c r="AV137">
        <v>2</v>
      </c>
      <c r="AW137">
        <v>2</v>
      </c>
      <c r="AX137">
        <v>16813279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Y137*Source!I83</f>
        <v>1.7152000000000001</v>
      </c>
      <c r="CY137">
        <f>AD137</f>
        <v>0</v>
      </c>
      <c r="CZ137">
        <f>AH137</f>
        <v>0</v>
      </c>
      <c r="DA137">
        <f>AL137</f>
        <v>1</v>
      </c>
      <c r="DB137">
        <f t="shared" si="18"/>
        <v>0</v>
      </c>
      <c r="DC137">
        <f t="shared" si="19"/>
        <v>0</v>
      </c>
    </row>
    <row r="138" spans="1:107" x14ac:dyDescent="0.2">
      <c r="A138">
        <f>ROW(Source!A83)</f>
        <v>83</v>
      </c>
      <c r="B138">
        <v>16812721</v>
      </c>
      <c r="C138">
        <v>16813271</v>
      </c>
      <c r="D138">
        <v>15247974</v>
      </c>
      <c r="E138">
        <v>1</v>
      </c>
      <c r="F138">
        <v>1</v>
      </c>
      <c r="G138">
        <v>1</v>
      </c>
      <c r="H138">
        <v>2</v>
      </c>
      <c r="I138" t="s">
        <v>776</v>
      </c>
      <c r="J138" t="s">
        <v>777</v>
      </c>
      <c r="K138" t="s">
        <v>778</v>
      </c>
      <c r="L138">
        <v>1368</v>
      </c>
      <c r="N138">
        <v>1011</v>
      </c>
      <c r="O138" t="s">
        <v>779</v>
      </c>
      <c r="P138" t="s">
        <v>779</v>
      </c>
      <c r="Q138">
        <v>1</v>
      </c>
      <c r="W138">
        <v>0</v>
      </c>
      <c r="X138">
        <v>1188625873</v>
      </c>
      <c r="Y138">
        <v>0.64</v>
      </c>
      <c r="AA138">
        <v>0</v>
      </c>
      <c r="AB138">
        <v>209.75</v>
      </c>
      <c r="AC138">
        <v>13.5</v>
      </c>
      <c r="AD138">
        <v>0</v>
      </c>
      <c r="AE138">
        <v>0</v>
      </c>
      <c r="AF138">
        <v>31.26</v>
      </c>
      <c r="AG138">
        <v>13.5</v>
      </c>
      <c r="AH138">
        <v>0</v>
      </c>
      <c r="AI138">
        <v>1</v>
      </c>
      <c r="AJ138">
        <v>6.71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0.64</v>
      </c>
      <c r="AU138" t="s">
        <v>6</v>
      </c>
      <c r="AV138">
        <v>0</v>
      </c>
      <c r="AW138">
        <v>2</v>
      </c>
      <c r="AX138">
        <v>16813280</v>
      </c>
      <c r="AY138">
        <v>1</v>
      </c>
      <c r="AZ138">
        <v>0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Y138*Source!I83</f>
        <v>1.7152000000000001</v>
      </c>
      <c r="CY138">
        <f>AB138</f>
        <v>209.75</v>
      </c>
      <c r="CZ138">
        <f>AF138</f>
        <v>31.26</v>
      </c>
      <c r="DA138">
        <f>AJ138</f>
        <v>6.71</v>
      </c>
      <c r="DB138">
        <f t="shared" si="18"/>
        <v>20.010000000000002</v>
      </c>
      <c r="DC138">
        <f t="shared" si="19"/>
        <v>8.64</v>
      </c>
    </row>
    <row r="139" spans="1:107" x14ac:dyDescent="0.2">
      <c r="A139">
        <f>ROW(Source!A83)</f>
        <v>83</v>
      </c>
      <c r="B139">
        <v>16812721</v>
      </c>
      <c r="C139">
        <v>16813271</v>
      </c>
      <c r="D139">
        <v>15167286</v>
      </c>
      <c r="E139">
        <v>1</v>
      </c>
      <c r="F139">
        <v>1</v>
      </c>
      <c r="G139">
        <v>1</v>
      </c>
      <c r="H139">
        <v>3</v>
      </c>
      <c r="I139" t="s">
        <v>801</v>
      </c>
      <c r="J139" t="s">
        <v>802</v>
      </c>
      <c r="K139" t="s">
        <v>803</v>
      </c>
      <c r="L139">
        <v>1339</v>
      </c>
      <c r="N139">
        <v>1007</v>
      </c>
      <c r="O139" t="s">
        <v>141</v>
      </c>
      <c r="P139" t="s">
        <v>141</v>
      </c>
      <c r="Q139">
        <v>1</v>
      </c>
      <c r="W139">
        <v>0</v>
      </c>
      <c r="X139">
        <v>-1660354250</v>
      </c>
      <c r="Y139">
        <v>0.35</v>
      </c>
      <c r="AA139">
        <v>16.37</v>
      </c>
      <c r="AB139">
        <v>0</v>
      </c>
      <c r="AC139">
        <v>0</v>
      </c>
      <c r="AD139">
        <v>0</v>
      </c>
      <c r="AE139">
        <v>2.44</v>
      </c>
      <c r="AF139">
        <v>0</v>
      </c>
      <c r="AG139">
        <v>0</v>
      </c>
      <c r="AH139">
        <v>0</v>
      </c>
      <c r="AI139">
        <v>6.71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0.35</v>
      </c>
      <c r="AU139" t="s">
        <v>6</v>
      </c>
      <c r="AV139">
        <v>0</v>
      </c>
      <c r="AW139">
        <v>2</v>
      </c>
      <c r="AX139">
        <v>16813281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Y139*Source!I83</f>
        <v>0.93799999999999994</v>
      </c>
      <c r="CY139">
        <f>AA139</f>
        <v>16.37</v>
      </c>
      <c r="CZ139">
        <f>AE139</f>
        <v>2.44</v>
      </c>
      <c r="DA139">
        <f>AI139</f>
        <v>6.71</v>
      </c>
      <c r="DB139">
        <f t="shared" si="18"/>
        <v>0.85</v>
      </c>
      <c r="DC139">
        <f t="shared" si="19"/>
        <v>0</v>
      </c>
    </row>
    <row r="140" spans="1:107" x14ac:dyDescent="0.2">
      <c r="A140">
        <f>ROW(Source!A83)</f>
        <v>83</v>
      </c>
      <c r="B140">
        <v>16812721</v>
      </c>
      <c r="C140">
        <v>16813271</v>
      </c>
      <c r="D140">
        <v>15172875</v>
      </c>
      <c r="E140">
        <v>1</v>
      </c>
      <c r="F140">
        <v>1</v>
      </c>
      <c r="G140">
        <v>1</v>
      </c>
      <c r="H140">
        <v>3</v>
      </c>
      <c r="I140" t="s">
        <v>271</v>
      </c>
      <c r="J140" t="s">
        <v>273</v>
      </c>
      <c r="K140" t="s">
        <v>272</v>
      </c>
      <c r="L140">
        <v>1339</v>
      </c>
      <c r="N140">
        <v>1007</v>
      </c>
      <c r="O140" t="s">
        <v>141</v>
      </c>
      <c r="P140" t="s">
        <v>141</v>
      </c>
      <c r="Q140">
        <v>1</v>
      </c>
      <c r="W140">
        <v>1</v>
      </c>
      <c r="X140">
        <v>-1001479081</v>
      </c>
      <c r="Y140">
        <v>-1.06</v>
      </c>
      <c r="AA140">
        <v>3475.18</v>
      </c>
      <c r="AB140">
        <v>0</v>
      </c>
      <c r="AC140">
        <v>0</v>
      </c>
      <c r="AD140">
        <v>0</v>
      </c>
      <c r="AE140">
        <v>517.91</v>
      </c>
      <c r="AF140">
        <v>0</v>
      </c>
      <c r="AG140">
        <v>0</v>
      </c>
      <c r="AH140">
        <v>0</v>
      </c>
      <c r="AI140">
        <v>6.71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-1.06</v>
      </c>
      <c r="AU140" t="s">
        <v>6</v>
      </c>
      <c r="AV140">
        <v>0</v>
      </c>
      <c r="AW140">
        <v>2</v>
      </c>
      <c r="AX140">
        <v>16813282</v>
      </c>
      <c r="AY140">
        <v>1</v>
      </c>
      <c r="AZ140">
        <v>6144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Y140*Source!I83</f>
        <v>-2.8408000000000002</v>
      </c>
      <c r="CY140">
        <f>AA140</f>
        <v>3475.18</v>
      </c>
      <c r="CZ140">
        <f>AE140</f>
        <v>517.91</v>
      </c>
      <c r="DA140">
        <f>AI140</f>
        <v>6.71</v>
      </c>
      <c r="DB140">
        <f t="shared" si="18"/>
        <v>-548.98</v>
      </c>
      <c r="DC140">
        <f t="shared" si="19"/>
        <v>0</v>
      </c>
    </row>
    <row r="141" spans="1:107" x14ac:dyDescent="0.2">
      <c r="A141">
        <f>ROW(Source!A83)</f>
        <v>83</v>
      </c>
      <c r="B141">
        <v>16812721</v>
      </c>
      <c r="C141">
        <v>16813271</v>
      </c>
      <c r="D141">
        <v>15173003</v>
      </c>
      <c r="E141">
        <v>1</v>
      </c>
      <c r="F141">
        <v>1</v>
      </c>
      <c r="G141">
        <v>1</v>
      </c>
      <c r="H141">
        <v>3</v>
      </c>
      <c r="I141" t="s">
        <v>275</v>
      </c>
      <c r="J141" t="s">
        <v>278</v>
      </c>
      <c r="K141" t="s">
        <v>276</v>
      </c>
      <c r="L141">
        <v>1346</v>
      </c>
      <c r="N141">
        <v>1009</v>
      </c>
      <c r="O141" t="s">
        <v>277</v>
      </c>
      <c r="P141" t="s">
        <v>277</v>
      </c>
      <c r="Q141">
        <v>1</v>
      </c>
      <c r="W141">
        <v>0</v>
      </c>
      <c r="X141">
        <v>-60067644</v>
      </c>
      <c r="Y141">
        <v>1589.907602</v>
      </c>
      <c r="AA141">
        <v>13.89</v>
      </c>
      <c r="AB141">
        <v>0</v>
      </c>
      <c r="AC141">
        <v>0</v>
      </c>
      <c r="AD141">
        <v>0</v>
      </c>
      <c r="AE141">
        <v>2.0699999999999998</v>
      </c>
      <c r="AF141">
        <v>0</v>
      </c>
      <c r="AG141">
        <v>0</v>
      </c>
      <c r="AH141">
        <v>0</v>
      </c>
      <c r="AI141">
        <v>6.71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6</v>
      </c>
      <c r="AT141">
        <v>1589.907602</v>
      </c>
      <c r="AU141" t="s">
        <v>6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6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Y141*Source!I83</f>
        <v>4260.9523733599999</v>
      </c>
      <c r="CY141">
        <f>AA141</f>
        <v>13.89</v>
      </c>
      <c r="CZ141">
        <f>AE141</f>
        <v>2.0699999999999998</v>
      </c>
      <c r="DA141">
        <f>AI141</f>
        <v>6.71</v>
      </c>
      <c r="DB141">
        <f t="shared" si="18"/>
        <v>3291.11</v>
      </c>
      <c r="DC141">
        <f t="shared" si="19"/>
        <v>0</v>
      </c>
    </row>
    <row r="142" spans="1:107" x14ac:dyDescent="0.2">
      <c r="A142">
        <f>ROW(Source!A86)</f>
        <v>86</v>
      </c>
      <c r="B142">
        <v>16812721</v>
      </c>
      <c r="C142">
        <v>16813285</v>
      </c>
      <c r="D142">
        <v>15436556</v>
      </c>
      <c r="E142">
        <v>1</v>
      </c>
      <c r="F142">
        <v>1</v>
      </c>
      <c r="G142">
        <v>1</v>
      </c>
      <c r="H142">
        <v>1</v>
      </c>
      <c r="I142" t="s">
        <v>833</v>
      </c>
      <c r="J142" t="s">
        <v>6</v>
      </c>
      <c r="K142" t="s">
        <v>834</v>
      </c>
      <c r="L142">
        <v>1191</v>
      </c>
      <c r="N142">
        <v>1013</v>
      </c>
      <c r="O142" t="s">
        <v>773</v>
      </c>
      <c r="P142" t="s">
        <v>773</v>
      </c>
      <c r="Q142">
        <v>1</v>
      </c>
      <c r="W142">
        <v>0</v>
      </c>
      <c r="X142">
        <v>1069510174</v>
      </c>
      <c r="Y142">
        <v>18.767999999999997</v>
      </c>
      <c r="AA142">
        <v>0</v>
      </c>
      <c r="AB142">
        <v>0</v>
      </c>
      <c r="AC142">
        <v>0</v>
      </c>
      <c r="AD142">
        <v>64.55</v>
      </c>
      <c r="AE142">
        <v>0</v>
      </c>
      <c r="AF142">
        <v>0</v>
      </c>
      <c r="AG142">
        <v>0</v>
      </c>
      <c r="AH142">
        <v>9.6199999999999992</v>
      </c>
      <c r="AI142">
        <v>1</v>
      </c>
      <c r="AJ142">
        <v>1</v>
      </c>
      <c r="AK142">
        <v>1</v>
      </c>
      <c r="AL142">
        <v>6.71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16.32</v>
      </c>
      <c r="AU142" t="s">
        <v>104</v>
      </c>
      <c r="AV142">
        <v>1</v>
      </c>
      <c r="AW142">
        <v>2</v>
      </c>
      <c r="AX142">
        <v>16813293</v>
      </c>
      <c r="AY142">
        <v>1</v>
      </c>
      <c r="AZ142">
        <v>0</v>
      </c>
      <c r="BA142">
        <v>141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Y142*Source!I86</f>
        <v>50.298239999999993</v>
      </c>
      <c r="CY142">
        <f>AD142</f>
        <v>64.55</v>
      </c>
      <c r="CZ142">
        <f>AH142</f>
        <v>9.6199999999999992</v>
      </c>
      <c r="DA142">
        <f>AL142</f>
        <v>6.71</v>
      </c>
      <c r="DB142">
        <f>ROUND((ROUND(AT142*CZ142,2)*1.15),2)</f>
        <v>180.55</v>
      </c>
      <c r="DC142">
        <f>ROUND((ROUND(AT142*AG142,2)*1.15),2)</f>
        <v>0</v>
      </c>
    </row>
    <row r="143" spans="1:107" x14ac:dyDescent="0.2">
      <c r="A143">
        <f>ROW(Source!A86)</f>
        <v>86</v>
      </c>
      <c r="B143">
        <v>16812721</v>
      </c>
      <c r="C143">
        <v>16813285</v>
      </c>
      <c r="D143">
        <v>15430395</v>
      </c>
      <c r="E143">
        <v>1</v>
      </c>
      <c r="F143">
        <v>1</v>
      </c>
      <c r="G143">
        <v>1</v>
      </c>
      <c r="H143">
        <v>1</v>
      </c>
      <c r="I143" t="s">
        <v>774</v>
      </c>
      <c r="J143" t="s">
        <v>6</v>
      </c>
      <c r="K143" t="s">
        <v>775</v>
      </c>
      <c r="L143">
        <v>1191</v>
      </c>
      <c r="N143">
        <v>1013</v>
      </c>
      <c r="O143" t="s">
        <v>773</v>
      </c>
      <c r="P143" t="s">
        <v>773</v>
      </c>
      <c r="Q143">
        <v>1</v>
      </c>
      <c r="W143">
        <v>0</v>
      </c>
      <c r="X143">
        <v>-1417349443</v>
      </c>
      <c r="Y143">
        <v>0.03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6.71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0.03</v>
      </c>
      <c r="AU143" t="s">
        <v>6</v>
      </c>
      <c r="AV143">
        <v>2</v>
      </c>
      <c r="AW143">
        <v>2</v>
      </c>
      <c r="AX143">
        <v>16813294</v>
      </c>
      <c r="AY143">
        <v>1</v>
      </c>
      <c r="AZ143">
        <v>2048</v>
      </c>
      <c r="BA143">
        <v>142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Y143*Source!I86</f>
        <v>8.0399999999999999E-2</v>
      </c>
      <c r="CY143">
        <f>AD143</f>
        <v>0</v>
      </c>
      <c r="CZ143">
        <f>AH143</f>
        <v>0</v>
      </c>
      <c r="DA143">
        <f>AL143</f>
        <v>1</v>
      </c>
      <c r="DB143">
        <f>ROUND(ROUND(AT143*CZ143,2),2)</f>
        <v>0</v>
      </c>
      <c r="DC143">
        <f>ROUND(ROUND(AT143*AG143,2),2)</f>
        <v>0</v>
      </c>
    </row>
    <row r="144" spans="1:107" x14ac:dyDescent="0.2">
      <c r="A144">
        <f>ROW(Source!A86)</f>
        <v>86</v>
      </c>
      <c r="B144">
        <v>16812721</v>
      </c>
      <c r="C144">
        <v>16813285</v>
      </c>
      <c r="D144">
        <v>15247974</v>
      </c>
      <c r="E144">
        <v>1</v>
      </c>
      <c r="F144">
        <v>1</v>
      </c>
      <c r="G144">
        <v>1</v>
      </c>
      <c r="H144">
        <v>2</v>
      </c>
      <c r="I144" t="s">
        <v>776</v>
      </c>
      <c r="J144" t="s">
        <v>777</v>
      </c>
      <c r="K144" t="s">
        <v>778</v>
      </c>
      <c r="L144">
        <v>1368</v>
      </c>
      <c r="N144">
        <v>1011</v>
      </c>
      <c r="O144" t="s">
        <v>779</v>
      </c>
      <c r="P144" t="s">
        <v>779</v>
      </c>
      <c r="Q144">
        <v>1</v>
      </c>
      <c r="W144">
        <v>0</v>
      </c>
      <c r="X144">
        <v>1188625873</v>
      </c>
      <c r="Y144">
        <v>1.2500000000000001E-2</v>
      </c>
      <c r="AA144">
        <v>0</v>
      </c>
      <c r="AB144">
        <v>209.75</v>
      </c>
      <c r="AC144">
        <v>13.5</v>
      </c>
      <c r="AD144">
        <v>0</v>
      </c>
      <c r="AE144">
        <v>0</v>
      </c>
      <c r="AF144">
        <v>31.26</v>
      </c>
      <c r="AG144">
        <v>13.5</v>
      </c>
      <c r="AH144">
        <v>0</v>
      </c>
      <c r="AI144">
        <v>1</v>
      </c>
      <c r="AJ144">
        <v>6.71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0.01</v>
      </c>
      <c r="AU144" t="s">
        <v>103</v>
      </c>
      <c r="AV144">
        <v>0</v>
      </c>
      <c r="AW144">
        <v>2</v>
      </c>
      <c r="AX144">
        <v>16813295</v>
      </c>
      <c r="AY144">
        <v>1</v>
      </c>
      <c r="AZ144">
        <v>0</v>
      </c>
      <c r="BA144">
        <v>143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Y144*Source!I86</f>
        <v>3.3500000000000002E-2</v>
      </c>
      <c r="CY144">
        <f>AB144</f>
        <v>209.75</v>
      </c>
      <c r="CZ144">
        <f>AF144</f>
        <v>31.26</v>
      </c>
      <c r="DA144">
        <f>AJ144</f>
        <v>6.71</v>
      </c>
      <c r="DB144">
        <f>ROUND((ROUND(AT144*CZ144,2)*1.25),2)</f>
        <v>0.39</v>
      </c>
      <c r="DC144">
        <f>ROUND((ROUND(AT144*AG144,2)*1.25),2)</f>
        <v>0.18</v>
      </c>
    </row>
    <row r="145" spans="1:107" x14ac:dyDescent="0.2">
      <c r="A145">
        <f>ROW(Source!A86)</f>
        <v>86</v>
      </c>
      <c r="B145">
        <v>16812721</v>
      </c>
      <c r="C145">
        <v>16813285</v>
      </c>
      <c r="D145">
        <v>15249073</v>
      </c>
      <c r="E145">
        <v>1</v>
      </c>
      <c r="F145">
        <v>1</v>
      </c>
      <c r="G145">
        <v>1</v>
      </c>
      <c r="H145">
        <v>2</v>
      </c>
      <c r="I145" t="s">
        <v>782</v>
      </c>
      <c r="J145" t="s">
        <v>783</v>
      </c>
      <c r="K145" t="s">
        <v>784</v>
      </c>
      <c r="L145">
        <v>1368</v>
      </c>
      <c r="N145">
        <v>1011</v>
      </c>
      <c r="O145" t="s">
        <v>779</v>
      </c>
      <c r="P145" t="s">
        <v>779</v>
      </c>
      <c r="Q145">
        <v>1</v>
      </c>
      <c r="W145">
        <v>0</v>
      </c>
      <c r="X145">
        <v>1372534845</v>
      </c>
      <c r="Y145">
        <v>2.5000000000000001E-2</v>
      </c>
      <c r="AA145">
        <v>0</v>
      </c>
      <c r="AB145">
        <v>440.91</v>
      </c>
      <c r="AC145">
        <v>11.6</v>
      </c>
      <c r="AD145">
        <v>0</v>
      </c>
      <c r="AE145">
        <v>0</v>
      </c>
      <c r="AF145">
        <v>65.709999999999994</v>
      </c>
      <c r="AG145">
        <v>11.6</v>
      </c>
      <c r="AH145">
        <v>0</v>
      </c>
      <c r="AI145">
        <v>1</v>
      </c>
      <c r="AJ145">
        <v>6.71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0.02</v>
      </c>
      <c r="AU145" t="s">
        <v>103</v>
      </c>
      <c r="AV145">
        <v>0</v>
      </c>
      <c r="AW145">
        <v>2</v>
      </c>
      <c r="AX145">
        <v>16813296</v>
      </c>
      <c r="AY145">
        <v>1</v>
      </c>
      <c r="AZ145">
        <v>0</v>
      </c>
      <c r="BA145">
        <v>144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Y145*Source!I86</f>
        <v>6.7000000000000004E-2</v>
      </c>
      <c r="CY145">
        <f>AB145</f>
        <v>440.91</v>
      </c>
      <c r="CZ145">
        <f>AF145</f>
        <v>65.709999999999994</v>
      </c>
      <c r="DA145">
        <f>AJ145</f>
        <v>6.71</v>
      </c>
      <c r="DB145">
        <f>ROUND((ROUND(AT145*CZ145,2)*1.25),2)</f>
        <v>1.64</v>
      </c>
      <c r="DC145">
        <f>ROUND((ROUND(AT145*AG145,2)*1.25),2)</f>
        <v>0.28999999999999998</v>
      </c>
    </row>
    <row r="146" spans="1:107" x14ac:dyDescent="0.2">
      <c r="A146">
        <f>ROW(Source!A86)</f>
        <v>86</v>
      </c>
      <c r="B146">
        <v>16812721</v>
      </c>
      <c r="C146">
        <v>16813285</v>
      </c>
      <c r="D146">
        <v>15171018</v>
      </c>
      <c r="E146">
        <v>1</v>
      </c>
      <c r="F146">
        <v>1</v>
      </c>
      <c r="G146">
        <v>1</v>
      </c>
      <c r="H146">
        <v>3</v>
      </c>
      <c r="I146" t="s">
        <v>824</v>
      </c>
      <c r="J146" t="s">
        <v>825</v>
      </c>
      <c r="K146" t="s">
        <v>826</v>
      </c>
      <c r="L146">
        <v>1346</v>
      </c>
      <c r="N146">
        <v>1009</v>
      </c>
      <c r="O146" t="s">
        <v>277</v>
      </c>
      <c r="P146" t="s">
        <v>277</v>
      </c>
      <c r="Q146">
        <v>1</v>
      </c>
      <c r="W146">
        <v>0</v>
      </c>
      <c r="X146">
        <v>813963326</v>
      </c>
      <c r="Y146">
        <v>0.2</v>
      </c>
      <c r="AA146">
        <v>12.21</v>
      </c>
      <c r="AB146">
        <v>0</v>
      </c>
      <c r="AC146">
        <v>0</v>
      </c>
      <c r="AD146">
        <v>0</v>
      </c>
      <c r="AE146">
        <v>1.82</v>
      </c>
      <c r="AF146">
        <v>0</v>
      </c>
      <c r="AG146">
        <v>0</v>
      </c>
      <c r="AH146">
        <v>0</v>
      </c>
      <c r="AI146">
        <v>6.71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6</v>
      </c>
      <c r="AT146">
        <v>0.2</v>
      </c>
      <c r="AU146" t="s">
        <v>6</v>
      </c>
      <c r="AV146">
        <v>0</v>
      </c>
      <c r="AW146">
        <v>2</v>
      </c>
      <c r="AX146">
        <v>16813297</v>
      </c>
      <c r="AY146">
        <v>1</v>
      </c>
      <c r="AZ146">
        <v>0</v>
      </c>
      <c r="BA146">
        <v>145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Y146*Source!I86</f>
        <v>0.53600000000000003</v>
      </c>
      <c r="CY146">
        <f>AA146</f>
        <v>12.21</v>
      </c>
      <c r="CZ146">
        <f>AE146</f>
        <v>1.82</v>
      </c>
      <c r="DA146">
        <f>AI146</f>
        <v>6.71</v>
      </c>
      <c r="DB146">
        <f>ROUND(ROUND(AT146*CZ146,2),2)</f>
        <v>0.36</v>
      </c>
      <c r="DC146">
        <f>ROUND(ROUND(AT146*AG146,2),2)</f>
        <v>0</v>
      </c>
    </row>
    <row r="147" spans="1:107" x14ac:dyDescent="0.2">
      <c r="A147">
        <f>ROW(Source!A86)</f>
        <v>86</v>
      </c>
      <c r="B147">
        <v>16812721</v>
      </c>
      <c r="C147">
        <v>16813285</v>
      </c>
      <c r="D147">
        <v>15203211</v>
      </c>
      <c r="E147">
        <v>1</v>
      </c>
      <c r="F147">
        <v>1</v>
      </c>
      <c r="G147">
        <v>1</v>
      </c>
      <c r="H147">
        <v>3</v>
      </c>
      <c r="I147" t="s">
        <v>287</v>
      </c>
      <c r="J147" t="s">
        <v>289</v>
      </c>
      <c r="K147" t="s">
        <v>288</v>
      </c>
      <c r="L147">
        <v>1346</v>
      </c>
      <c r="N147">
        <v>1009</v>
      </c>
      <c r="O147" t="s">
        <v>277</v>
      </c>
      <c r="P147" t="s">
        <v>277</v>
      </c>
      <c r="Q147">
        <v>1</v>
      </c>
      <c r="W147">
        <v>0</v>
      </c>
      <c r="X147">
        <v>1453462043</v>
      </c>
      <c r="Y147">
        <v>20</v>
      </c>
      <c r="AA147">
        <v>101.25</v>
      </c>
      <c r="AB147">
        <v>0</v>
      </c>
      <c r="AC147">
        <v>0</v>
      </c>
      <c r="AD147">
        <v>0</v>
      </c>
      <c r="AE147">
        <v>15.09</v>
      </c>
      <c r="AF147">
        <v>0</v>
      </c>
      <c r="AG147">
        <v>0</v>
      </c>
      <c r="AH147">
        <v>0</v>
      </c>
      <c r="AI147">
        <v>6.71</v>
      </c>
      <c r="AJ147">
        <v>1</v>
      </c>
      <c r="AK147">
        <v>1</v>
      </c>
      <c r="AL147">
        <v>1</v>
      </c>
      <c r="AN147">
        <v>0</v>
      </c>
      <c r="AO147">
        <v>0</v>
      </c>
      <c r="AP147">
        <v>0</v>
      </c>
      <c r="AQ147">
        <v>0</v>
      </c>
      <c r="AR147">
        <v>0</v>
      </c>
      <c r="AS147" t="s">
        <v>6</v>
      </c>
      <c r="AT147">
        <v>20</v>
      </c>
      <c r="AU147" t="s">
        <v>6</v>
      </c>
      <c r="AV147">
        <v>0</v>
      </c>
      <c r="AW147">
        <v>1</v>
      </c>
      <c r="AX147">
        <v>-1</v>
      </c>
      <c r="AY147">
        <v>0</v>
      </c>
      <c r="AZ147">
        <v>0</v>
      </c>
      <c r="BA147" t="s">
        <v>6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Y147*Source!I86</f>
        <v>53.6</v>
      </c>
      <c r="CY147">
        <f>AA147</f>
        <v>101.25</v>
      </c>
      <c r="CZ147">
        <f>AE147</f>
        <v>15.09</v>
      </c>
      <c r="DA147">
        <f>AI147</f>
        <v>6.71</v>
      </c>
      <c r="DB147">
        <f>ROUND(ROUND(AT147*CZ147,2),2)</f>
        <v>301.8</v>
      </c>
      <c r="DC147">
        <f>ROUND(ROUND(AT147*AG147,2),2)</f>
        <v>0</v>
      </c>
    </row>
    <row r="148" spans="1:107" x14ac:dyDescent="0.2">
      <c r="A148">
        <f>ROW(Source!A86)</f>
        <v>86</v>
      </c>
      <c r="B148">
        <v>16812721</v>
      </c>
      <c r="C148">
        <v>16813285</v>
      </c>
      <c r="D148">
        <v>15162572</v>
      </c>
      <c r="E148">
        <v>17</v>
      </c>
      <c r="F148">
        <v>1</v>
      </c>
      <c r="G148">
        <v>1</v>
      </c>
      <c r="H148">
        <v>3</v>
      </c>
      <c r="I148" t="s">
        <v>284</v>
      </c>
      <c r="J148" t="s">
        <v>6</v>
      </c>
      <c r="K148" t="s">
        <v>285</v>
      </c>
      <c r="L148">
        <v>1348</v>
      </c>
      <c r="N148">
        <v>1009</v>
      </c>
      <c r="O148" t="s">
        <v>145</v>
      </c>
      <c r="P148" t="s">
        <v>145</v>
      </c>
      <c r="Q148">
        <v>1000</v>
      </c>
      <c r="W148">
        <v>0</v>
      </c>
      <c r="X148">
        <v>-1212923053</v>
      </c>
      <c r="Y148">
        <v>0.02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6.71</v>
      </c>
      <c r="AJ148">
        <v>1</v>
      </c>
      <c r="AK148">
        <v>1</v>
      </c>
      <c r="AL148">
        <v>1</v>
      </c>
      <c r="AN148">
        <v>0</v>
      </c>
      <c r="AO148">
        <v>0</v>
      </c>
      <c r="AP148">
        <v>0</v>
      </c>
      <c r="AQ148">
        <v>0</v>
      </c>
      <c r="AR148">
        <v>0</v>
      </c>
      <c r="AS148" t="s">
        <v>6</v>
      </c>
      <c r="AT148">
        <v>0.02</v>
      </c>
      <c r="AU148" t="s">
        <v>6</v>
      </c>
      <c r="AV148">
        <v>0</v>
      </c>
      <c r="AW148">
        <v>2</v>
      </c>
      <c r="AX148">
        <v>16813298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Y148*Source!I86</f>
        <v>5.3600000000000002E-2</v>
      </c>
      <c r="CY148">
        <f>AA148</f>
        <v>0</v>
      </c>
      <c r="CZ148">
        <f>AE148</f>
        <v>0</v>
      </c>
      <c r="DA148">
        <f>AI148</f>
        <v>6.71</v>
      </c>
      <c r="DB148">
        <f>ROUND(ROUND(AT148*CZ148,2),2)</f>
        <v>0</v>
      </c>
      <c r="DC148">
        <f>ROUND(ROUND(AT148*AG148,2),2)</f>
        <v>0</v>
      </c>
    </row>
    <row r="149" spans="1:107" x14ac:dyDescent="0.2">
      <c r="A149">
        <f>ROW(Source!A89)</f>
        <v>89</v>
      </c>
      <c r="B149">
        <v>16812721</v>
      </c>
      <c r="C149">
        <v>16814296</v>
      </c>
      <c r="D149">
        <v>15430497</v>
      </c>
      <c r="E149">
        <v>1</v>
      </c>
      <c r="F149">
        <v>1</v>
      </c>
      <c r="G149">
        <v>1</v>
      </c>
      <c r="H149">
        <v>1</v>
      </c>
      <c r="I149" t="s">
        <v>916</v>
      </c>
      <c r="J149" t="s">
        <v>6</v>
      </c>
      <c r="K149" t="s">
        <v>917</v>
      </c>
      <c r="L149">
        <v>1191</v>
      </c>
      <c r="N149">
        <v>1013</v>
      </c>
      <c r="O149" t="s">
        <v>773</v>
      </c>
      <c r="P149" t="s">
        <v>773</v>
      </c>
      <c r="Q149">
        <v>1</v>
      </c>
      <c r="W149">
        <v>0</v>
      </c>
      <c r="X149">
        <v>-719309759</v>
      </c>
      <c r="Y149">
        <v>38.674500000000002</v>
      </c>
      <c r="AA149">
        <v>0</v>
      </c>
      <c r="AB149">
        <v>0</v>
      </c>
      <c r="AC149">
        <v>0</v>
      </c>
      <c r="AD149">
        <v>59.45</v>
      </c>
      <c r="AE149">
        <v>0</v>
      </c>
      <c r="AF149">
        <v>0</v>
      </c>
      <c r="AG149">
        <v>0</v>
      </c>
      <c r="AH149">
        <v>8.86</v>
      </c>
      <c r="AI149">
        <v>1</v>
      </c>
      <c r="AJ149">
        <v>1</v>
      </c>
      <c r="AK149">
        <v>1</v>
      </c>
      <c r="AL149">
        <v>6.71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6</v>
      </c>
      <c r="AT149">
        <v>33.630000000000003</v>
      </c>
      <c r="AU149" t="s">
        <v>104</v>
      </c>
      <c r="AV149">
        <v>1</v>
      </c>
      <c r="AW149">
        <v>2</v>
      </c>
      <c r="AX149">
        <v>16814297</v>
      </c>
      <c r="AY149">
        <v>1</v>
      </c>
      <c r="AZ149">
        <v>0</v>
      </c>
      <c r="BA149">
        <v>147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Y149*Source!I89</f>
        <v>103.64766000000002</v>
      </c>
      <c r="CY149">
        <f>AD149</f>
        <v>59.45</v>
      </c>
      <c r="CZ149">
        <f>AH149</f>
        <v>8.86</v>
      </c>
      <c r="DA149">
        <f>AL149</f>
        <v>6.71</v>
      </c>
      <c r="DB149">
        <f>ROUND((ROUND(AT149*CZ149,2)*1.15),2)</f>
        <v>342.65</v>
      </c>
      <c r="DC149">
        <f>ROUND((ROUND(AT149*AG149,2)*1.15),2)</f>
        <v>0</v>
      </c>
    </row>
    <row r="150" spans="1:107" x14ac:dyDescent="0.2">
      <c r="A150">
        <f>ROW(Source!A89)</f>
        <v>89</v>
      </c>
      <c r="B150">
        <v>16812721</v>
      </c>
      <c r="C150">
        <v>16814296</v>
      </c>
      <c r="D150">
        <v>15430395</v>
      </c>
      <c r="E150">
        <v>1</v>
      </c>
      <c r="F150">
        <v>1</v>
      </c>
      <c r="G150">
        <v>1</v>
      </c>
      <c r="H150">
        <v>1</v>
      </c>
      <c r="I150" t="s">
        <v>774</v>
      </c>
      <c r="J150" t="s">
        <v>6</v>
      </c>
      <c r="K150" t="s">
        <v>775</v>
      </c>
      <c r="L150">
        <v>1191</v>
      </c>
      <c r="N150">
        <v>1013</v>
      </c>
      <c r="O150" t="s">
        <v>773</v>
      </c>
      <c r="P150" t="s">
        <v>773</v>
      </c>
      <c r="Q150">
        <v>1</v>
      </c>
      <c r="W150">
        <v>0</v>
      </c>
      <c r="X150">
        <v>-1417349443</v>
      </c>
      <c r="Y150">
        <v>0.02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6.71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0.02</v>
      </c>
      <c r="AU150" t="s">
        <v>6</v>
      </c>
      <c r="AV150">
        <v>2</v>
      </c>
      <c r="AW150">
        <v>2</v>
      </c>
      <c r="AX150">
        <v>16814298</v>
      </c>
      <c r="AY150">
        <v>1</v>
      </c>
      <c r="AZ150">
        <v>2048</v>
      </c>
      <c r="BA150">
        <v>148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Y150*Source!I89</f>
        <v>5.3600000000000002E-2</v>
      </c>
      <c r="CY150">
        <f>AD150</f>
        <v>0</v>
      </c>
      <c r="CZ150">
        <f>AH150</f>
        <v>0</v>
      </c>
      <c r="DA150">
        <f>AL150</f>
        <v>1</v>
      </c>
      <c r="DB150">
        <f>ROUND(ROUND(AT150*CZ150,2),2)</f>
        <v>0</v>
      </c>
      <c r="DC150">
        <f>ROUND(ROUND(AT150*AG150,2),2)</f>
        <v>0</v>
      </c>
    </row>
    <row r="151" spans="1:107" x14ac:dyDescent="0.2">
      <c r="A151">
        <f>ROW(Source!A89)</f>
        <v>89</v>
      </c>
      <c r="B151">
        <v>16812721</v>
      </c>
      <c r="C151">
        <v>16814296</v>
      </c>
      <c r="D151">
        <v>15247974</v>
      </c>
      <c r="E151">
        <v>1</v>
      </c>
      <c r="F151">
        <v>1</v>
      </c>
      <c r="G151">
        <v>1</v>
      </c>
      <c r="H151">
        <v>2</v>
      </c>
      <c r="I151" t="s">
        <v>776</v>
      </c>
      <c r="J151" t="s">
        <v>777</v>
      </c>
      <c r="K151" t="s">
        <v>778</v>
      </c>
      <c r="L151">
        <v>1368</v>
      </c>
      <c r="N151">
        <v>1011</v>
      </c>
      <c r="O151" t="s">
        <v>779</v>
      </c>
      <c r="P151" t="s">
        <v>779</v>
      </c>
      <c r="Q151">
        <v>1</v>
      </c>
      <c r="W151">
        <v>0</v>
      </c>
      <c r="X151">
        <v>1188625873</v>
      </c>
      <c r="Y151">
        <v>1.2500000000000001E-2</v>
      </c>
      <c r="AA151">
        <v>0</v>
      </c>
      <c r="AB151">
        <v>209.75</v>
      </c>
      <c r="AC151">
        <v>13.5</v>
      </c>
      <c r="AD151">
        <v>0</v>
      </c>
      <c r="AE151">
        <v>0</v>
      </c>
      <c r="AF151">
        <v>31.26</v>
      </c>
      <c r="AG151">
        <v>13.5</v>
      </c>
      <c r="AH151">
        <v>0</v>
      </c>
      <c r="AI151">
        <v>1</v>
      </c>
      <c r="AJ151">
        <v>6.71</v>
      </c>
      <c r="AK151">
        <v>1</v>
      </c>
      <c r="AL151">
        <v>1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6</v>
      </c>
      <c r="AT151">
        <v>0.01</v>
      </c>
      <c r="AU151" t="s">
        <v>103</v>
      </c>
      <c r="AV151">
        <v>0</v>
      </c>
      <c r="AW151">
        <v>2</v>
      </c>
      <c r="AX151">
        <v>16814299</v>
      </c>
      <c r="AY151">
        <v>1</v>
      </c>
      <c r="AZ151">
        <v>0</v>
      </c>
      <c r="BA151">
        <v>149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Y151*Source!I89</f>
        <v>3.3500000000000002E-2</v>
      </c>
      <c r="CY151">
        <f>AB151</f>
        <v>209.75</v>
      </c>
      <c r="CZ151">
        <f>AF151</f>
        <v>31.26</v>
      </c>
      <c r="DA151">
        <f>AJ151</f>
        <v>6.71</v>
      </c>
      <c r="DB151">
        <f>ROUND((ROUND(AT151*CZ151,2)*1.25),2)</f>
        <v>0.39</v>
      </c>
      <c r="DC151">
        <f>ROUND((ROUND(AT151*AG151,2)*1.25),2)</f>
        <v>0.18</v>
      </c>
    </row>
    <row r="152" spans="1:107" x14ac:dyDescent="0.2">
      <c r="A152">
        <f>ROW(Source!A89)</f>
        <v>89</v>
      </c>
      <c r="B152">
        <v>16812721</v>
      </c>
      <c r="C152">
        <v>16814296</v>
      </c>
      <c r="D152">
        <v>15249073</v>
      </c>
      <c r="E152">
        <v>1</v>
      </c>
      <c r="F152">
        <v>1</v>
      </c>
      <c r="G152">
        <v>1</v>
      </c>
      <c r="H152">
        <v>2</v>
      </c>
      <c r="I152" t="s">
        <v>782</v>
      </c>
      <c r="J152" t="s">
        <v>783</v>
      </c>
      <c r="K152" t="s">
        <v>784</v>
      </c>
      <c r="L152">
        <v>1368</v>
      </c>
      <c r="N152">
        <v>1011</v>
      </c>
      <c r="O152" t="s">
        <v>779</v>
      </c>
      <c r="P152" t="s">
        <v>779</v>
      </c>
      <c r="Q152">
        <v>1</v>
      </c>
      <c r="W152">
        <v>0</v>
      </c>
      <c r="X152">
        <v>1372534845</v>
      </c>
      <c r="Y152">
        <v>1.2500000000000001E-2</v>
      </c>
      <c r="AA152">
        <v>0</v>
      </c>
      <c r="AB152">
        <v>440.91</v>
      </c>
      <c r="AC152">
        <v>11.6</v>
      </c>
      <c r="AD152">
        <v>0</v>
      </c>
      <c r="AE152">
        <v>0</v>
      </c>
      <c r="AF152">
        <v>65.709999999999994</v>
      </c>
      <c r="AG152">
        <v>11.6</v>
      </c>
      <c r="AH152">
        <v>0</v>
      </c>
      <c r="AI152">
        <v>1</v>
      </c>
      <c r="AJ152">
        <v>6.71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6</v>
      </c>
      <c r="AT152">
        <v>0.01</v>
      </c>
      <c r="AU152" t="s">
        <v>103</v>
      </c>
      <c r="AV152">
        <v>0</v>
      </c>
      <c r="AW152">
        <v>2</v>
      </c>
      <c r="AX152">
        <v>16814300</v>
      </c>
      <c r="AY152">
        <v>1</v>
      </c>
      <c r="AZ152">
        <v>0</v>
      </c>
      <c r="BA152">
        <v>150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Y152*Source!I89</f>
        <v>3.3500000000000002E-2</v>
      </c>
      <c r="CY152">
        <f>AB152</f>
        <v>440.91</v>
      </c>
      <c r="CZ152">
        <f>AF152</f>
        <v>65.709999999999994</v>
      </c>
      <c r="DA152">
        <f>AJ152</f>
        <v>6.71</v>
      </c>
      <c r="DB152">
        <f>ROUND((ROUND(AT152*CZ152,2)*1.25),2)</f>
        <v>0.83</v>
      </c>
      <c r="DC152">
        <f>ROUND((ROUND(AT152*AG152,2)*1.25),2)</f>
        <v>0.15</v>
      </c>
    </row>
    <row r="153" spans="1:107" x14ac:dyDescent="0.2">
      <c r="A153">
        <f>ROW(Source!A89)</f>
        <v>89</v>
      </c>
      <c r="B153">
        <v>16812721</v>
      </c>
      <c r="C153">
        <v>16814296</v>
      </c>
      <c r="D153">
        <v>15163097</v>
      </c>
      <c r="E153">
        <v>17</v>
      </c>
      <c r="F153">
        <v>1</v>
      </c>
      <c r="G153">
        <v>1</v>
      </c>
      <c r="H153">
        <v>3</v>
      </c>
      <c r="I153" t="s">
        <v>295</v>
      </c>
      <c r="J153" t="s">
        <v>6</v>
      </c>
      <c r="K153" t="s">
        <v>296</v>
      </c>
      <c r="L153">
        <v>1328</v>
      </c>
      <c r="N153">
        <v>1005</v>
      </c>
      <c r="O153" t="s">
        <v>18</v>
      </c>
      <c r="P153" t="s">
        <v>18</v>
      </c>
      <c r="Q153">
        <v>100</v>
      </c>
      <c r="W153">
        <v>0</v>
      </c>
      <c r="X153">
        <v>-93777278</v>
      </c>
      <c r="Y153">
        <v>1.1299999999999999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6.71</v>
      </c>
      <c r="AJ153">
        <v>1</v>
      </c>
      <c r="AK153">
        <v>1</v>
      </c>
      <c r="AL153">
        <v>1</v>
      </c>
      <c r="AN153">
        <v>0</v>
      </c>
      <c r="AO153">
        <v>0</v>
      </c>
      <c r="AP153">
        <v>0</v>
      </c>
      <c r="AQ153">
        <v>0</v>
      </c>
      <c r="AR153">
        <v>0</v>
      </c>
      <c r="AS153" t="s">
        <v>6</v>
      </c>
      <c r="AT153">
        <v>1.1299999999999999</v>
      </c>
      <c r="AU153" t="s">
        <v>6</v>
      </c>
      <c r="AV153">
        <v>0</v>
      </c>
      <c r="AW153">
        <v>2</v>
      </c>
      <c r="AX153">
        <v>16814301</v>
      </c>
      <c r="AY153">
        <v>1</v>
      </c>
      <c r="AZ153">
        <v>0</v>
      </c>
      <c r="BA153">
        <v>151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Y153*Source!I89</f>
        <v>3.0284</v>
      </c>
      <c r="CY153">
        <f t="shared" ref="CY153:CY160" si="20">AA153</f>
        <v>0</v>
      </c>
      <c r="CZ153">
        <f t="shared" ref="CZ153:CZ160" si="21">AE153</f>
        <v>0</v>
      </c>
      <c r="DA153">
        <f t="shared" ref="DA153:DA160" si="22">AI153</f>
        <v>6.71</v>
      </c>
      <c r="DB153">
        <f t="shared" ref="DB153:DB172" si="23">ROUND(ROUND(AT153*CZ153,2),2)</f>
        <v>0</v>
      </c>
      <c r="DC153">
        <f t="shared" ref="DC153:DC172" si="24">ROUND(ROUND(AT153*AG153,2),2)</f>
        <v>0</v>
      </c>
    </row>
    <row r="154" spans="1:107" x14ac:dyDescent="0.2">
      <c r="A154">
        <f>ROW(Source!A89)</f>
        <v>89</v>
      </c>
      <c r="B154">
        <v>16812721</v>
      </c>
      <c r="C154">
        <v>16814296</v>
      </c>
      <c r="D154">
        <v>15166931</v>
      </c>
      <c r="E154">
        <v>1</v>
      </c>
      <c r="F154">
        <v>1</v>
      </c>
      <c r="G154">
        <v>1</v>
      </c>
      <c r="H154">
        <v>3</v>
      </c>
      <c r="I154" t="s">
        <v>298</v>
      </c>
      <c r="J154" t="s">
        <v>301</v>
      </c>
      <c r="K154" t="s">
        <v>299</v>
      </c>
      <c r="L154">
        <v>1330</v>
      </c>
      <c r="N154">
        <v>1005</v>
      </c>
      <c r="O154" t="s">
        <v>300</v>
      </c>
      <c r="P154" t="s">
        <v>300</v>
      </c>
      <c r="Q154">
        <v>10</v>
      </c>
      <c r="W154">
        <v>0</v>
      </c>
      <c r="X154">
        <v>-1663288052</v>
      </c>
      <c r="Y154">
        <v>11.3</v>
      </c>
      <c r="AA154">
        <v>740.45</v>
      </c>
      <c r="AB154">
        <v>0</v>
      </c>
      <c r="AC154">
        <v>0</v>
      </c>
      <c r="AD154">
        <v>0</v>
      </c>
      <c r="AE154">
        <v>110.35</v>
      </c>
      <c r="AF154">
        <v>0</v>
      </c>
      <c r="AG154">
        <v>0</v>
      </c>
      <c r="AH154">
        <v>0</v>
      </c>
      <c r="AI154">
        <v>6.71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6</v>
      </c>
      <c r="AT154">
        <v>11.3</v>
      </c>
      <c r="AU154" t="s">
        <v>6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Y154*Source!I89</f>
        <v>30.284000000000002</v>
      </c>
      <c r="CY154">
        <f t="shared" si="20"/>
        <v>740.45</v>
      </c>
      <c r="CZ154">
        <f t="shared" si="21"/>
        <v>110.35</v>
      </c>
      <c r="DA154">
        <f t="shared" si="22"/>
        <v>6.71</v>
      </c>
      <c r="DB154">
        <f t="shared" si="23"/>
        <v>1246.96</v>
      </c>
      <c r="DC154">
        <f t="shared" si="24"/>
        <v>0</v>
      </c>
    </row>
    <row r="155" spans="1:107" x14ac:dyDescent="0.2">
      <c r="A155">
        <f>ROW(Source!A89)</f>
        <v>89</v>
      </c>
      <c r="B155">
        <v>16812721</v>
      </c>
      <c r="C155">
        <v>16814296</v>
      </c>
      <c r="D155">
        <v>15167277</v>
      </c>
      <c r="E155">
        <v>1</v>
      </c>
      <c r="F155">
        <v>1</v>
      </c>
      <c r="G155">
        <v>1</v>
      </c>
      <c r="H155">
        <v>3</v>
      </c>
      <c r="I155" t="s">
        <v>818</v>
      </c>
      <c r="J155" t="s">
        <v>819</v>
      </c>
      <c r="K155" t="s">
        <v>820</v>
      </c>
      <c r="L155">
        <v>1348</v>
      </c>
      <c r="N155">
        <v>1009</v>
      </c>
      <c r="O155" t="s">
        <v>145</v>
      </c>
      <c r="P155" t="s">
        <v>145</v>
      </c>
      <c r="Q155">
        <v>1000</v>
      </c>
      <c r="W155">
        <v>0</v>
      </c>
      <c r="X155">
        <v>-107449080</v>
      </c>
      <c r="Y155">
        <v>7.1000000000000004E-3</v>
      </c>
      <c r="AA155">
        <v>37911.5</v>
      </c>
      <c r="AB155">
        <v>0</v>
      </c>
      <c r="AC155">
        <v>0</v>
      </c>
      <c r="AD155">
        <v>0</v>
      </c>
      <c r="AE155">
        <v>5650</v>
      </c>
      <c r="AF155">
        <v>0</v>
      </c>
      <c r="AG155">
        <v>0</v>
      </c>
      <c r="AH155">
        <v>0</v>
      </c>
      <c r="AI155">
        <v>6.71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7.1000000000000004E-3</v>
      </c>
      <c r="AU155" t="s">
        <v>6</v>
      </c>
      <c r="AV155">
        <v>0</v>
      </c>
      <c r="AW155">
        <v>2</v>
      </c>
      <c r="AX155">
        <v>16814302</v>
      </c>
      <c r="AY155">
        <v>1</v>
      </c>
      <c r="AZ155">
        <v>0</v>
      </c>
      <c r="BA155">
        <v>152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Y155*Source!I89</f>
        <v>1.9028000000000003E-2</v>
      </c>
      <c r="CY155">
        <f t="shared" si="20"/>
        <v>37911.5</v>
      </c>
      <c r="CZ155">
        <f t="shared" si="21"/>
        <v>5650</v>
      </c>
      <c r="DA155">
        <f t="shared" si="22"/>
        <v>6.71</v>
      </c>
      <c r="DB155">
        <f t="shared" si="23"/>
        <v>40.119999999999997</v>
      </c>
      <c r="DC155">
        <f t="shared" si="24"/>
        <v>0</v>
      </c>
    </row>
    <row r="156" spans="1:107" x14ac:dyDescent="0.2">
      <c r="A156">
        <f>ROW(Source!A89)</f>
        <v>89</v>
      </c>
      <c r="B156">
        <v>16812721</v>
      </c>
      <c r="C156">
        <v>16814296</v>
      </c>
      <c r="D156">
        <v>15167286</v>
      </c>
      <c r="E156">
        <v>1</v>
      </c>
      <c r="F156">
        <v>1</v>
      </c>
      <c r="G156">
        <v>1</v>
      </c>
      <c r="H156">
        <v>3</v>
      </c>
      <c r="I156" t="s">
        <v>801</v>
      </c>
      <c r="J156" t="s">
        <v>802</v>
      </c>
      <c r="K156" t="s">
        <v>803</v>
      </c>
      <c r="L156">
        <v>1339</v>
      </c>
      <c r="N156">
        <v>1007</v>
      </c>
      <c r="O156" t="s">
        <v>141</v>
      </c>
      <c r="P156" t="s">
        <v>141</v>
      </c>
      <c r="Q156">
        <v>1</v>
      </c>
      <c r="W156">
        <v>0</v>
      </c>
      <c r="X156">
        <v>-1660354250</v>
      </c>
      <c r="Y156">
        <v>0.01</v>
      </c>
      <c r="AA156">
        <v>16.37</v>
      </c>
      <c r="AB156">
        <v>0</v>
      </c>
      <c r="AC156">
        <v>0</v>
      </c>
      <c r="AD156">
        <v>0</v>
      </c>
      <c r="AE156">
        <v>2.44</v>
      </c>
      <c r="AF156">
        <v>0</v>
      </c>
      <c r="AG156">
        <v>0</v>
      </c>
      <c r="AH156">
        <v>0</v>
      </c>
      <c r="AI156">
        <v>6.71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0.01</v>
      </c>
      <c r="AU156" t="s">
        <v>6</v>
      </c>
      <c r="AV156">
        <v>0</v>
      </c>
      <c r="AW156">
        <v>2</v>
      </c>
      <c r="AX156">
        <v>16814303</v>
      </c>
      <c r="AY156">
        <v>1</v>
      </c>
      <c r="AZ156">
        <v>0</v>
      </c>
      <c r="BA156">
        <v>153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Y156*Source!I89</f>
        <v>2.6800000000000001E-2</v>
      </c>
      <c r="CY156">
        <f t="shared" si="20"/>
        <v>16.37</v>
      </c>
      <c r="CZ156">
        <f t="shared" si="21"/>
        <v>2.44</v>
      </c>
      <c r="DA156">
        <f t="shared" si="22"/>
        <v>6.71</v>
      </c>
      <c r="DB156">
        <f t="shared" si="23"/>
        <v>0.02</v>
      </c>
      <c r="DC156">
        <f t="shared" si="24"/>
        <v>0</v>
      </c>
    </row>
    <row r="157" spans="1:107" x14ac:dyDescent="0.2">
      <c r="A157">
        <f>ROW(Source!A89)</f>
        <v>89</v>
      </c>
      <c r="B157">
        <v>16812721</v>
      </c>
      <c r="C157">
        <v>16814296</v>
      </c>
      <c r="D157">
        <v>15171018</v>
      </c>
      <c r="E157">
        <v>1</v>
      </c>
      <c r="F157">
        <v>1</v>
      </c>
      <c r="G157">
        <v>1</v>
      </c>
      <c r="H157">
        <v>3</v>
      </c>
      <c r="I157" t="s">
        <v>824</v>
      </c>
      <c r="J157" t="s">
        <v>825</v>
      </c>
      <c r="K157" t="s">
        <v>826</v>
      </c>
      <c r="L157">
        <v>1346</v>
      </c>
      <c r="N157">
        <v>1009</v>
      </c>
      <c r="O157" t="s">
        <v>277</v>
      </c>
      <c r="P157" t="s">
        <v>277</v>
      </c>
      <c r="Q157">
        <v>1</v>
      </c>
      <c r="W157">
        <v>0</v>
      </c>
      <c r="X157">
        <v>813963326</v>
      </c>
      <c r="Y157">
        <v>0.01</v>
      </c>
      <c r="AA157">
        <v>12.21</v>
      </c>
      <c r="AB157">
        <v>0</v>
      </c>
      <c r="AC157">
        <v>0</v>
      </c>
      <c r="AD157">
        <v>0</v>
      </c>
      <c r="AE157">
        <v>1.82</v>
      </c>
      <c r="AF157">
        <v>0</v>
      </c>
      <c r="AG157">
        <v>0</v>
      </c>
      <c r="AH157">
        <v>0</v>
      </c>
      <c r="AI157">
        <v>6.71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0.01</v>
      </c>
      <c r="AU157" t="s">
        <v>6</v>
      </c>
      <c r="AV157">
        <v>0</v>
      </c>
      <c r="AW157">
        <v>2</v>
      </c>
      <c r="AX157">
        <v>16814304</v>
      </c>
      <c r="AY157">
        <v>1</v>
      </c>
      <c r="AZ157">
        <v>0</v>
      </c>
      <c r="BA157">
        <v>154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Y157*Source!I89</f>
        <v>2.6800000000000001E-2</v>
      </c>
      <c r="CY157">
        <f t="shared" si="20"/>
        <v>12.21</v>
      </c>
      <c r="CZ157">
        <f t="shared" si="21"/>
        <v>1.82</v>
      </c>
      <c r="DA157">
        <f t="shared" si="22"/>
        <v>6.71</v>
      </c>
      <c r="DB157">
        <f t="shared" si="23"/>
        <v>0.02</v>
      </c>
      <c r="DC157">
        <f t="shared" si="24"/>
        <v>0</v>
      </c>
    </row>
    <row r="158" spans="1:107" x14ac:dyDescent="0.2">
      <c r="A158">
        <f>ROW(Source!A89)</f>
        <v>89</v>
      </c>
      <c r="B158">
        <v>16812721</v>
      </c>
      <c r="C158">
        <v>16814296</v>
      </c>
      <c r="D158">
        <v>15171907</v>
      </c>
      <c r="E158">
        <v>1</v>
      </c>
      <c r="F158">
        <v>1</v>
      </c>
      <c r="G158">
        <v>1</v>
      </c>
      <c r="H158">
        <v>3</v>
      </c>
      <c r="I158" t="s">
        <v>918</v>
      </c>
      <c r="J158" t="s">
        <v>919</v>
      </c>
      <c r="K158" t="s">
        <v>920</v>
      </c>
      <c r="L158">
        <v>1339</v>
      </c>
      <c r="N158">
        <v>1007</v>
      </c>
      <c r="O158" t="s">
        <v>141</v>
      </c>
      <c r="P158" t="s">
        <v>141</v>
      </c>
      <c r="Q158">
        <v>1</v>
      </c>
      <c r="W158">
        <v>0</v>
      </c>
      <c r="X158">
        <v>1795918813</v>
      </c>
      <c r="Y158">
        <v>4.0000000000000002E-4</v>
      </c>
      <c r="AA158">
        <v>500.43</v>
      </c>
      <c r="AB158">
        <v>0</v>
      </c>
      <c r="AC158">
        <v>0</v>
      </c>
      <c r="AD158">
        <v>0</v>
      </c>
      <c r="AE158">
        <v>74.58</v>
      </c>
      <c r="AF158">
        <v>0</v>
      </c>
      <c r="AG158">
        <v>0</v>
      </c>
      <c r="AH158">
        <v>0</v>
      </c>
      <c r="AI158">
        <v>6.71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4.0000000000000002E-4</v>
      </c>
      <c r="AU158" t="s">
        <v>6</v>
      </c>
      <c r="AV158">
        <v>0</v>
      </c>
      <c r="AW158">
        <v>2</v>
      </c>
      <c r="AX158">
        <v>16814305</v>
      </c>
      <c r="AY158">
        <v>1</v>
      </c>
      <c r="AZ158">
        <v>0</v>
      </c>
      <c r="BA158">
        <v>155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Y158*Source!I89</f>
        <v>1.072E-3</v>
      </c>
      <c r="CY158">
        <f t="shared" si="20"/>
        <v>500.43</v>
      </c>
      <c r="CZ158">
        <f t="shared" si="21"/>
        <v>74.58</v>
      </c>
      <c r="DA158">
        <f t="shared" si="22"/>
        <v>6.71</v>
      </c>
      <c r="DB158">
        <f t="shared" si="23"/>
        <v>0.03</v>
      </c>
      <c r="DC158">
        <f t="shared" si="24"/>
        <v>0</v>
      </c>
    </row>
    <row r="159" spans="1:107" x14ac:dyDescent="0.2">
      <c r="A159">
        <f>ROW(Source!A89)</f>
        <v>89</v>
      </c>
      <c r="B159">
        <v>16812721</v>
      </c>
      <c r="C159">
        <v>16814296</v>
      </c>
      <c r="D159">
        <v>15202473</v>
      </c>
      <c r="E159">
        <v>1</v>
      </c>
      <c r="F159">
        <v>1</v>
      </c>
      <c r="G159">
        <v>1</v>
      </c>
      <c r="H159">
        <v>3</v>
      </c>
      <c r="I159" t="s">
        <v>921</v>
      </c>
      <c r="J159" t="s">
        <v>922</v>
      </c>
      <c r="K159" t="s">
        <v>923</v>
      </c>
      <c r="L159">
        <v>1348</v>
      </c>
      <c r="N159">
        <v>1009</v>
      </c>
      <c r="O159" t="s">
        <v>145</v>
      </c>
      <c r="P159" t="s">
        <v>145</v>
      </c>
      <c r="Q159">
        <v>1000</v>
      </c>
      <c r="W159">
        <v>0</v>
      </c>
      <c r="X159">
        <v>1034009243</v>
      </c>
      <c r="Y159">
        <v>2E-3</v>
      </c>
      <c r="AA159">
        <v>174392.9</v>
      </c>
      <c r="AB159">
        <v>0</v>
      </c>
      <c r="AC159">
        <v>0</v>
      </c>
      <c r="AD159">
        <v>0</v>
      </c>
      <c r="AE159">
        <v>25990</v>
      </c>
      <c r="AF159">
        <v>0</v>
      </c>
      <c r="AG159">
        <v>0</v>
      </c>
      <c r="AH159">
        <v>0</v>
      </c>
      <c r="AI159">
        <v>6.71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2E-3</v>
      </c>
      <c r="AU159" t="s">
        <v>6</v>
      </c>
      <c r="AV159">
        <v>0</v>
      </c>
      <c r="AW159">
        <v>2</v>
      </c>
      <c r="AX159">
        <v>16814306</v>
      </c>
      <c r="AY159">
        <v>1</v>
      </c>
      <c r="AZ159">
        <v>0</v>
      </c>
      <c r="BA159">
        <v>156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Y159*Source!I89</f>
        <v>5.3600000000000002E-3</v>
      </c>
      <c r="CY159">
        <f t="shared" si="20"/>
        <v>174392.9</v>
      </c>
      <c r="CZ159">
        <f t="shared" si="21"/>
        <v>25990</v>
      </c>
      <c r="DA159">
        <f t="shared" si="22"/>
        <v>6.71</v>
      </c>
      <c r="DB159">
        <f t="shared" si="23"/>
        <v>51.98</v>
      </c>
      <c r="DC159">
        <f t="shared" si="24"/>
        <v>0</v>
      </c>
    </row>
    <row r="160" spans="1:107" x14ac:dyDescent="0.2">
      <c r="A160">
        <f>ROW(Source!A89)</f>
        <v>89</v>
      </c>
      <c r="B160">
        <v>16812721</v>
      </c>
      <c r="C160">
        <v>16814296</v>
      </c>
      <c r="D160">
        <v>15204729</v>
      </c>
      <c r="E160">
        <v>1</v>
      </c>
      <c r="F160">
        <v>1</v>
      </c>
      <c r="G160">
        <v>1</v>
      </c>
      <c r="H160">
        <v>3</v>
      </c>
      <c r="I160" t="s">
        <v>924</v>
      </c>
      <c r="J160" t="s">
        <v>925</v>
      </c>
      <c r="K160" t="s">
        <v>926</v>
      </c>
      <c r="L160">
        <v>1348</v>
      </c>
      <c r="N160">
        <v>1009</v>
      </c>
      <c r="O160" t="s">
        <v>145</v>
      </c>
      <c r="P160" t="s">
        <v>145</v>
      </c>
      <c r="Q160">
        <v>1000</v>
      </c>
      <c r="W160">
        <v>0</v>
      </c>
      <c r="X160">
        <v>-2084827333</v>
      </c>
      <c r="Y160">
        <v>6.7000000000000002E-3</v>
      </c>
      <c r="AA160">
        <v>28812.74</v>
      </c>
      <c r="AB160">
        <v>0</v>
      </c>
      <c r="AC160">
        <v>0</v>
      </c>
      <c r="AD160">
        <v>0</v>
      </c>
      <c r="AE160">
        <v>4294</v>
      </c>
      <c r="AF160">
        <v>0</v>
      </c>
      <c r="AG160">
        <v>0</v>
      </c>
      <c r="AH160">
        <v>0</v>
      </c>
      <c r="AI160">
        <v>6.71</v>
      </c>
      <c r="AJ160">
        <v>1</v>
      </c>
      <c r="AK160">
        <v>1</v>
      </c>
      <c r="AL160">
        <v>1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6</v>
      </c>
      <c r="AT160">
        <v>6.7000000000000002E-3</v>
      </c>
      <c r="AU160" t="s">
        <v>6</v>
      </c>
      <c r="AV160">
        <v>0</v>
      </c>
      <c r="AW160">
        <v>2</v>
      </c>
      <c r="AX160">
        <v>16814307</v>
      </c>
      <c r="AY160">
        <v>1</v>
      </c>
      <c r="AZ160">
        <v>0</v>
      </c>
      <c r="BA160">
        <v>157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Y160*Source!I89</f>
        <v>1.7956000000000003E-2</v>
      </c>
      <c r="CY160">
        <f t="shared" si="20"/>
        <v>28812.74</v>
      </c>
      <c r="CZ160">
        <f t="shared" si="21"/>
        <v>4294</v>
      </c>
      <c r="DA160">
        <f t="shared" si="22"/>
        <v>6.71</v>
      </c>
      <c r="DB160">
        <f t="shared" si="23"/>
        <v>28.77</v>
      </c>
      <c r="DC160">
        <f t="shared" si="24"/>
        <v>0</v>
      </c>
    </row>
    <row r="161" spans="1:107" x14ac:dyDescent="0.2">
      <c r="A161">
        <f>ROW(Source!A92)</f>
        <v>92</v>
      </c>
      <c r="B161">
        <v>16812721</v>
      </c>
      <c r="C161">
        <v>16815601</v>
      </c>
      <c r="D161">
        <v>15435609</v>
      </c>
      <c r="E161">
        <v>1</v>
      </c>
      <c r="F161">
        <v>1</v>
      </c>
      <c r="G161">
        <v>1</v>
      </c>
      <c r="H161">
        <v>1</v>
      </c>
      <c r="I161" t="s">
        <v>927</v>
      </c>
      <c r="J161" t="s">
        <v>6</v>
      </c>
      <c r="K161" t="s">
        <v>928</v>
      </c>
      <c r="L161">
        <v>1191</v>
      </c>
      <c r="N161">
        <v>1013</v>
      </c>
      <c r="O161" t="s">
        <v>773</v>
      </c>
      <c r="P161" t="s">
        <v>773</v>
      </c>
      <c r="Q161">
        <v>1</v>
      </c>
      <c r="W161">
        <v>0</v>
      </c>
      <c r="X161">
        <v>-814890593</v>
      </c>
      <c r="Y161">
        <v>25.41</v>
      </c>
      <c r="AA161">
        <v>0</v>
      </c>
      <c r="AB161">
        <v>0</v>
      </c>
      <c r="AC161">
        <v>0</v>
      </c>
      <c r="AD161">
        <v>60.19</v>
      </c>
      <c r="AE161">
        <v>0</v>
      </c>
      <c r="AF161">
        <v>0</v>
      </c>
      <c r="AG161">
        <v>0</v>
      </c>
      <c r="AH161">
        <v>8.9700000000000006</v>
      </c>
      <c r="AI161">
        <v>1</v>
      </c>
      <c r="AJ161">
        <v>1</v>
      </c>
      <c r="AK161">
        <v>1</v>
      </c>
      <c r="AL161">
        <v>6.71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6</v>
      </c>
      <c r="AT161">
        <v>25.41</v>
      </c>
      <c r="AU161" t="s">
        <v>6</v>
      </c>
      <c r="AV161">
        <v>1</v>
      </c>
      <c r="AW161">
        <v>2</v>
      </c>
      <c r="AX161">
        <v>16815602</v>
      </c>
      <c r="AY161">
        <v>1</v>
      </c>
      <c r="AZ161">
        <v>0</v>
      </c>
      <c r="BA161">
        <v>158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Y161*Source!I92</f>
        <v>68.098800000000011</v>
      </c>
      <c r="CY161">
        <f>AD161</f>
        <v>60.19</v>
      </c>
      <c r="CZ161">
        <f>AH161</f>
        <v>8.9700000000000006</v>
      </c>
      <c r="DA161">
        <f>AL161</f>
        <v>6.71</v>
      </c>
      <c r="DB161">
        <f t="shared" si="23"/>
        <v>227.93</v>
      </c>
      <c r="DC161">
        <f t="shared" si="24"/>
        <v>0</v>
      </c>
    </row>
    <row r="162" spans="1:107" x14ac:dyDescent="0.2">
      <c r="A162">
        <f>ROW(Source!A92)</f>
        <v>92</v>
      </c>
      <c r="B162">
        <v>16812721</v>
      </c>
      <c r="C162">
        <v>16815601</v>
      </c>
      <c r="D162">
        <v>15430395</v>
      </c>
      <c r="E162">
        <v>1</v>
      </c>
      <c r="F162">
        <v>1</v>
      </c>
      <c r="G162">
        <v>1</v>
      </c>
      <c r="H162">
        <v>1</v>
      </c>
      <c r="I162" t="s">
        <v>774</v>
      </c>
      <c r="J162" t="s">
        <v>6</v>
      </c>
      <c r="K162" t="s">
        <v>775</v>
      </c>
      <c r="L162">
        <v>1191</v>
      </c>
      <c r="N162">
        <v>1013</v>
      </c>
      <c r="O162" t="s">
        <v>773</v>
      </c>
      <c r="P162" t="s">
        <v>773</v>
      </c>
      <c r="Q162">
        <v>1</v>
      </c>
      <c r="W162">
        <v>0</v>
      </c>
      <c r="X162">
        <v>-1417349443</v>
      </c>
      <c r="Y162">
        <v>0.11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6.71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6</v>
      </c>
      <c r="AT162">
        <v>0.11</v>
      </c>
      <c r="AU162" t="s">
        <v>6</v>
      </c>
      <c r="AV162">
        <v>2</v>
      </c>
      <c r="AW162">
        <v>2</v>
      </c>
      <c r="AX162">
        <v>16815603</v>
      </c>
      <c r="AY162">
        <v>1</v>
      </c>
      <c r="AZ162">
        <v>0</v>
      </c>
      <c r="BA162">
        <v>159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Y162*Source!I92</f>
        <v>0.29480000000000001</v>
      </c>
      <c r="CY162">
        <f>AD162</f>
        <v>0</v>
      </c>
      <c r="CZ162">
        <f>AH162</f>
        <v>0</v>
      </c>
      <c r="DA162">
        <f>AL162</f>
        <v>1</v>
      </c>
      <c r="DB162">
        <f t="shared" si="23"/>
        <v>0</v>
      </c>
      <c r="DC162">
        <f t="shared" si="24"/>
        <v>0</v>
      </c>
    </row>
    <row r="163" spans="1:107" x14ac:dyDescent="0.2">
      <c r="A163">
        <f>ROW(Source!A92)</f>
        <v>92</v>
      </c>
      <c r="B163">
        <v>16812721</v>
      </c>
      <c r="C163">
        <v>16815601</v>
      </c>
      <c r="D163">
        <v>15247974</v>
      </c>
      <c r="E163">
        <v>1</v>
      </c>
      <c r="F163">
        <v>1</v>
      </c>
      <c r="G163">
        <v>1</v>
      </c>
      <c r="H163">
        <v>2</v>
      </c>
      <c r="I163" t="s">
        <v>776</v>
      </c>
      <c r="J163" t="s">
        <v>777</v>
      </c>
      <c r="K163" t="s">
        <v>778</v>
      </c>
      <c r="L163">
        <v>1368</v>
      </c>
      <c r="N163">
        <v>1011</v>
      </c>
      <c r="O163" t="s">
        <v>779</v>
      </c>
      <c r="P163" t="s">
        <v>779</v>
      </c>
      <c r="Q163">
        <v>1</v>
      </c>
      <c r="W163">
        <v>0</v>
      </c>
      <c r="X163">
        <v>1188625873</v>
      </c>
      <c r="Y163">
        <v>0.01</v>
      </c>
      <c r="AA163">
        <v>0</v>
      </c>
      <c r="AB163">
        <v>209.75</v>
      </c>
      <c r="AC163">
        <v>13.5</v>
      </c>
      <c r="AD163">
        <v>0</v>
      </c>
      <c r="AE163">
        <v>0</v>
      </c>
      <c r="AF163">
        <v>31.26</v>
      </c>
      <c r="AG163">
        <v>13.5</v>
      </c>
      <c r="AH163">
        <v>0</v>
      </c>
      <c r="AI163">
        <v>1</v>
      </c>
      <c r="AJ163">
        <v>6.71</v>
      </c>
      <c r="AK163">
        <v>1</v>
      </c>
      <c r="AL163">
        <v>1</v>
      </c>
      <c r="AN163">
        <v>0</v>
      </c>
      <c r="AO163">
        <v>1</v>
      </c>
      <c r="AP163">
        <v>0</v>
      </c>
      <c r="AQ163">
        <v>0</v>
      </c>
      <c r="AR163">
        <v>0</v>
      </c>
      <c r="AS163" t="s">
        <v>6</v>
      </c>
      <c r="AT163">
        <v>0.01</v>
      </c>
      <c r="AU163" t="s">
        <v>6</v>
      </c>
      <c r="AV163">
        <v>0</v>
      </c>
      <c r="AW163">
        <v>2</v>
      </c>
      <c r="AX163">
        <v>16815604</v>
      </c>
      <c r="AY163">
        <v>1</v>
      </c>
      <c r="AZ163">
        <v>0</v>
      </c>
      <c r="BA163">
        <v>160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Y163*Source!I92</f>
        <v>2.6800000000000001E-2</v>
      </c>
      <c r="CY163">
        <f>AB163</f>
        <v>209.75</v>
      </c>
      <c r="CZ163">
        <f>AF163</f>
        <v>31.26</v>
      </c>
      <c r="DA163">
        <f>AJ163</f>
        <v>6.71</v>
      </c>
      <c r="DB163">
        <f t="shared" si="23"/>
        <v>0.31</v>
      </c>
      <c r="DC163">
        <f t="shared" si="24"/>
        <v>0.14000000000000001</v>
      </c>
    </row>
    <row r="164" spans="1:107" x14ac:dyDescent="0.2">
      <c r="A164">
        <f>ROW(Source!A92)</f>
        <v>92</v>
      </c>
      <c r="B164">
        <v>16812721</v>
      </c>
      <c r="C164">
        <v>16815601</v>
      </c>
      <c r="D164">
        <v>15249073</v>
      </c>
      <c r="E164">
        <v>1</v>
      </c>
      <c r="F164">
        <v>1</v>
      </c>
      <c r="G164">
        <v>1</v>
      </c>
      <c r="H164">
        <v>2</v>
      </c>
      <c r="I164" t="s">
        <v>782</v>
      </c>
      <c r="J164" t="s">
        <v>783</v>
      </c>
      <c r="K164" t="s">
        <v>784</v>
      </c>
      <c r="L164">
        <v>1368</v>
      </c>
      <c r="N164">
        <v>1011</v>
      </c>
      <c r="O164" t="s">
        <v>779</v>
      </c>
      <c r="P164" t="s">
        <v>779</v>
      </c>
      <c r="Q164">
        <v>1</v>
      </c>
      <c r="W164">
        <v>0</v>
      </c>
      <c r="X164">
        <v>1372534845</v>
      </c>
      <c r="Y164">
        <v>0.1</v>
      </c>
      <c r="AA164">
        <v>0</v>
      </c>
      <c r="AB164">
        <v>440.91</v>
      </c>
      <c r="AC164">
        <v>11.6</v>
      </c>
      <c r="AD164">
        <v>0</v>
      </c>
      <c r="AE164">
        <v>0</v>
      </c>
      <c r="AF164">
        <v>65.709999999999994</v>
      </c>
      <c r="AG164">
        <v>11.6</v>
      </c>
      <c r="AH164">
        <v>0</v>
      </c>
      <c r="AI164">
        <v>1</v>
      </c>
      <c r="AJ164">
        <v>6.71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0.1</v>
      </c>
      <c r="AU164" t="s">
        <v>6</v>
      </c>
      <c r="AV164">
        <v>0</v>
      </c>
      <c r="AW164">
        <v>2</v>
      </c>
      <c r="AX164">
        <v>16815605</v>
      </c>
      <c r="AY164">
        <v>1</v>
      </c>
      <c r="AZ164">
        <v>0</v>
      </c>
      <c r="BA164">
        <v>161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Y164*Source!I92</f>
        <v>0.26800000000000002</v>
      </c>
      <c r="CY164">
        <f>AB164</f>
        <v>440.91</v>
      </c>
      <c r="CZ164">
        <f>AF164</f>
        <v>65.709999999999994</v>
      </c>
      <c r="DA164">
        <f>AJ164</f>
        <v>6.71</v>
      </c>
      <c r="DB164">
        <f t="shared" si="23"/>
        <v>6.57</v>
      </c>
      <c r="DC164">
        <f t="shared" si="24"/>
        <v>1.1599999999999999</v>
      </c>
    </row>
    <row r="165" spans="1:107" x14ac:dyDescent="0.2">
      <c r="A165">
        <f>ROW(Source!A92)</f>
        <v>92</v>
      </c>
      <c r="B165">
        <v>16812721</v>
      </c>
      <c r="C165">
        <v>16815601</v>
      </c>
      <c r="D165">
        <v>15170682</v>
      </c>
      <c r="E165">
        <v>1</v>
      </c>
      <c r="F165">
        <v>1</v>
      </c>
      <c r="G165">
        <v>1</v>
      </c>
      <c r="H165">
        <v>3</v>
      </c>
      <c r="I165" t="s">
        <v>929</v>
      </c>
      <c r="J165" t="s">
        <v>930</v>
      </c>
      <c r="K165" t="s">
        <v>931</v>
      </c>
      <c r="L165">
        <v>1327</v>
      </c>
      <c r="N165">
        <v>1005</v>
      </c>
      <c r="O165" t="s">
        <v>28</v>
      </c>
      <c r="P165" t="s">
        <v>28</v>
      </c>
      <c r="Q165">
        <v>1</v>
      </c>
      <c r="W165">
        <v>0</v>
      </c>
      <c r="X165">
        <v>-1987926685</v>
      </c>
      <c r="Y165">
        <v>0.84</v>
      </c>
      <c r="AA165">
        <v>485.27</v>
      </c>
      <c r="AB165">
        <v>0</v>
      </c>
      <c r="AC165">
        <v>0</v>
      </c>
      <c r="AD165">
        <v>0</v>
      </c>
      <c r="AE165">
        <v>72.319999999999993</v>
      </c>
      <c r="AF165">
        <v>0</v>
      </c>
      <c r="AG165">
        <v>0</v>
      </c>
      <c r="AH165">
        <v>0</v>
      </c>
      <c r="AI165">
        <v>6.71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0.84</v>
      </c>
      <c r="AU165" t="s">
        <v>6</v>
      </c>
      <c r="AV165">
        <v>0</v>
      </c>
      <c r="AW165">
        <v>2</v>
      </c>
      <c r="AX165">
        <v>16815606</v>
      </c>
      <c r="AY165">
        <v>1</v>
      </c>
      <c r="AZ165">
        <v>0</v>
      </c>
      <c r="BA165">
        <v>162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Y165*Source!I92</f>
        <v>2.2511999999999999</v>
      </c>
      <c r="CY165">
        <f>AA165</f>
        <v>485.27</v>
      </c>
      <c r="CZ165">
        <f>AE165</f>
        <v>72.319999999999993</v>
      </c>
      <c r="DA165">
        <f>AI165</f>
        <v>6.71</v>
      </c>
      <c r="DB165">
        <f t="shared" si="23"/>
        <v>60.75</v>
      </c>
      <c r="DC165">
        <f t="shared" si="24"/>
        <v>0</v>
      </c>
    </row>
    <row r="166" spans="1:107" x14ac:dyDescent="0.2">
      <c r="A166">
        <f>ROW(Source!A92)</f>
        <v>92</v>
      </c>
      <c r="B166">
        <v>16812721</v>
      </c>
      <c r="C166">
        <v>16815601</v>
      </c>
      <c r="D166">
        <v>15171018</v>
      </c>
      <c r="E166">
        <v>1</v>
      </c>
      <c r="F166">
        <v>1</v>
      </c>
      <c r="G166">
        <v>1</v>
      </c>
      <c r="H166">
        <v>3</v>
      </c>
      <c r="I166" t="s">
        <v>824</v>
      </c>
      <c r="J166" t="s">
        <v>825</v>
      </c>
      <c r="K166" t="s">
        <v>826</v>
      </c>
      <c r="L166">
        <v>1346</v>
      </c>
      <c r="N166">
        <v>1009</v>
      </c>
      <c r="O166" t="s">
        <v>277</v>
      </c>
      <c r="P166" t="s">
        <v>277</v>
      </c>
      <c r="Q166">
        <v>1</v>
      </c>
      <c r="W166">
        <v>0</v>
      </c>
      <c r="X166">
        <v>813963326</v>
      </c>
      <c r="Y166">
        <v>0.31</v>
      </c>
      <c r="AA166">
        <v>12.21</v>
      </c>
      <c r="AB166">
        <v>0</v>
      </c>
      <c r="AC166">
        <v>0</v>
      </c>
      <c r="AD166">
        <v>0</v>
      </c>
      <c r="AE166">
        <v>1.82</v>
      </c>
      <c r="AF166">
        <v>0</v>
      </c>
      <c r="AG166">
        <v>0</v>
      </c>
      <c r="AH166">
        <v>0</v>
      </c>
      <c r="AI166">
        <v>6.71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0</v>
      </c>
      <c r="AQ166">
        <v>0</v>
      </c>
      <c r="AR166">
        <v>0</v>
      </c>
      <c r="AS166" t="s">
        <v>6</v>
      </c>
      <c r="AT166">
        <v>0.31</v>
      </c>
      <c r="AU166" t="s">
        <v>6</v>
      </c>
      <c r="AV166">
        <v>0</v>
      </c>
      <c r="AW166">
        <v>2</v>
      </c>
      <c r="AX166">
        <v>16815607</v>
      </c>
      <c r="AY166">
        <v>1</v>
      </c>
      <c r="AZ166">
        <v>0</v>
      </c>
      <c r="BA166">
        <v>163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Y166*Source!I92</f>
        <v>0.83080000000000009</v>
      </c>
      <c r="CY166">
        <f>AA166</f>
        <v>12.21</v>
      </c>
      <c r="CZ166">
        <f>AE166</f>
        <v>1.82</v>
      </c>
      <c r="DA166">
        <f>AI166</f>
        <v>6.71</v>
      </c>
      <c r="DB166">
        <f t="shared" si="23"/>
        <v>0.56000000000000005</v>
      </c>
      <c r="DC166">
        <f t="shared" si="24"/>
        <v>0</v>
      </c>
    </row>
    <row r="167" spans="1:107" x14ac:dyDescent="0.2">
      <c r="A167">
        <f>ROW(Source!A92)</f>
        <v>92</v>
      </c>
      <c r="B167">
        <v>16812721</v>
      </c>
      <c r="C167">
        <v>16815601</v>
      </c>
      <c r="D167">
        <v>15163054</v>
      </c>
      <c r="E167">
        <v>17</v>
      </c>
      <c r="F167">
        <v>1</v>
      </c>
      <c r="G167">
        <v>1</v>
      </c>
      <c r="H167">
        <v>3</v>
      </c>
      <c r="I167" t="s">
        <v>307</v>
      </c>
      <c r="J167" t="s">
        <v>6</v>
      </c>
      <c r="K167" t="s">
        <v>308</v>
      </c>
      <c r="L167">
        <v>1348</v>
      </c>
      <c r="N167">
        <v>1009</v>
      </c>
      <c r="O167" t="s">
        <v>145</v>
      </c>
      <c r="P167" t="s">
        <v>145</v>
      </c>
      <c r="Q167">
        <v>1000</v>
      </c>
      <c r="W167">
        <v>0</v>
      </c>
      <c r="X167">
        <v>1891904026</v>
      </c>
      <c r="Y167">
        <v>6.3E-2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6.71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6</v>
      </c>
      <c r="AT167">
        <v>6.3E-2</v>
      </c>
      <c r="AU167" t="s">
        <v>6</v>
      </c>
      <c r="AV167">
        <v>0</v>
      </c>
      <c r="AW167">
        <v>2</v>
      </c>
      <c r="AX167">
        <v>16815608</v>
      </c>
      <c r="AY167">
        <v>1</v>
      </c>
      <c r="AZ167">
        <v>0</v>
      </c>
      <c r="BA167">
        <v>164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Y167*Source!I92</f>
        <v>0.16884000000000002</v>
      </c>
      <c r="CY167">
        <f>AA167</f>
        <v>0</v>
      </c>
      <c r="CZ167">
        <f>AE167</f>
        <v>0</v>
      </c>
      <c r="DA167">
        <f>AI167</f>
        <v>6.71</v>
      </c>
      <c r="DB167">
        <f t="shared" si="23"/>
        <v>0</v>
      </c>
      <c r="DC167">
        <f t="shared" si="24"/>
        <v>0</v>
      </c>
    </row>
    <row r="168" spans="1:107" x14ac:dyDescent="0.2">
      <c r="A168">
        <f>ROW(Source!A92)</f>
        <v>92</v>
      </c>
      <c r="B168">
        <v>16812721</v>
      </c>
      <c r="C168">
        <v>16815601</v>
      </c>
      <c r="D168">
        <v>15203308</v>
      </c>
      <c r="E168">
        <v>1</v>
      </c>
      <c r="F168">
        <v>1</v>
      </c>
      <c r="G168">
        <v>1</v>
      </c>
      <c r="H168">
        <v>3</v>
      </c>
      <c r="I168" t="s">
        <v>310</v>
      </c>
      <c r="J168" t="s">
        <v>312</v>
      </c>
      <c r="K168" t="s">
        <v>311</v>
      </c>
      <c r="L168">
        <v>1348</v>
      </c>
      <c r="N168">
        <v>1009</v>
      </c>
      <c r="O168" t="s">
        <v>145</v>
      </c>
      <c r="P168" t="s">
        <v>145</v>
      </c>
      <c r="Q168">
        <v>1000</v>
      </c>
      <c r="W168">
        <v>0</v>
      </c>
      <c r="X168">
        <v>772632804</v>
      </c>
      <c r="Y168">
        <v>6.3E-2</v>
      </c>
      <c r="AA168">
        <v>134023.32999999999</v>
      </c>
      <c r="AB168">
        <v>0</v>
      </c>
      <c r="AC168">
        <v>0</v>
      </c>
      <c r="AD168">
        <v>0</v>
      </c>
      <c r="AE168">
        <v>19973.669999999998</v>
      </c>
      <c r="AF168">
        <v>0</v>
      </c>
      <c r="AG168">
        <v>0</v>
      </c>
      <c r="AH168">
        <v>0</v>
      </c>
      <c r="AI168">
        <v>6.71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6.3E-2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Y168*Source!I92</f>
        <v>0.16884000000000002</v>
      </c>
      <c r="CY168">
        <f>AA168</f>
        <v>134023.32999999999</v>
      </c>
      <c r="CZ168">
        <f>AE168</f>
        <v>19973.669999999998</v>
      </c>
      <c r="DA168">
        <f>AI168</f>
        <v>6.71</v>
      </c>
      <c r="DB168">
        <f t="shared" si="23"/>
        <v>1258.3399999999999</v>
      </c>
      <c r="DC168">
        <f t="shared" si="24"/>
        <v>0</v>
      </c>
    </row>
    <row r="169" spans="1:107" x14ac:dyDescent="0.2">
      <c r="A169">
        <f>ROW(Source!A92)</f>
        <v>92</v>
      </c>
      <c r="B169">
        <v>16812721</v>
      </c>
      <c r="C169">
        <v>16815601</v>
      </c>
      <c r="D169">
        <v>15204729</v>
      </c>
      <c r="E169">
        <v>1</v>
      </c>
      <c r="F169">
        <v>1</v>
      </c>
      <c r="G169">
        <v>1</v>
      </c>
      <c r="H169">
        <v>3</v>
      </c>
      <c r="I169" t="s">
        <v>924</v>
      </c>
      <c r="J169" t="s">
        <v>925</v>
      </c>
      <c r="K169" t="s">
        <v>926</v>
      </c>
      <c r="L169">
        <v>1348</v>
      </c>
      <c r="N169">
        <v>1009</v>
      </c>
      <c r="O169" t="s">
        <v>145</v>
      </c>
      <c r="P169" t="s">
        <v>145</v>
      </c>
      <c r="Q169">
        <v>1000</v>
      </c>
      <c r="W169">
        <v>0</v>
      </c>
      <c r="X169">
        <v>-2084827333</v>
      </c>
      <c r="Y169">
        <v>5.0000000000000001E-3</v>
      </c>
      <c r="AA169">
        <v>28812.74</v>
      </c>
      <c r="AB169">
        <v>0</v>
      </c>
      <c r="AC169">
        <v>0</v>
      </c>
      <c r="AD169">
        <v>0</v>
      </c>
      <c r="AE169">
        <v>4294</v>
      </c>
      <c r="AF169">
        <v>0</v>
      </c>
      <c r="AG169">
        <v>0</v>
      </c>
      <c r="AH169">
        <v>0</v>
      </c>
      <c r="AI169">
        <v>6.71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5.0000000000000001E-3</v>
      </c>
      <c r="AU169" t="s">
        <v>6</v>
      </c>
      <c r="AV169">
        <v>0</v>
      </c>
      <c r="AW169">
        <v>2</v>
      </c>
      <c r="AX169">
        <v>16815609</v>
      </c>
      <c r="AY169">
        <v>1</v>
      </c>
      <c r="AZ169">
        <v>0</v>
      </c>
      <c r="BA169">
        <v>165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Y169*Source!I92</f>
        <v>1.34E-2</v>
      </c>
      <c r="CY169">
        <f>AA169</f>
        <v>28812.74</v>
      </c>
      <c r="CZ169">
        <f>AE169</f>
        <v>4294</v>
      </c>
      <c r="DA169">
        <f>AI169</f>
        <v>6.71</v>
      </c>
      <c r="DB169">
        <f t="shared" si="23"/>
        <v>21.47</v>
      </c>
      <c r="DC169">
        <f t="shared" si="24"/>
        <v>0</v>
      </c>
    </row>
    <row r="170" spans="1:107" x14ac:dyDescent="0.2">
      <c r="A170">
        <f>ROW(Source!A95)</f>
        <v>95</v>
      </c>
      <c r="B170">
        <v>16812721</v>
      </c>
      <c r="C170">
        <v>16815597</v>
      </c>
      <c r="D170">
        <v>15436556</v>
      </c>
      <c r="E170">
        <v>1</v>
      </c>
      <c r="F170">
        <v>1</v>
      </c>
      <c r="G170">
        <v>1</v>
      </c>
      <c r="H170">
        <v>1</v>
      </c>
      <c r="I170" t="s">
        <v>833</v>
      </c>
      <c r="J170" t="s">
        <v>6</v>
      </c>
      <c r="K170" t="s">
        <v>834</v>
      </c>
      <c r="L170">
        <v>1191</v>
      </c>
      <c r="N170">
        <v>1013</v>
      </c>
      <c r="O170" t="s">
        <v>773</v>
      </c>
      <c r="P170" t="s">
        <v>773</v>
      </c>
      <c r="Q170">
        <v>1</v>
      </c>
      <c r="W170">
        <v>0</v>
      </c>
      <c r="X170">
        <v>1069510174</v>
      </c>
      <c r="Y170">
        <v>8.3800000000000008</v>
      </c>
      <c r="AA170">
        <v>0</v>
      </c>
      <c r="AB170">
        <v>0</v>
      </c>
      <c r="AC170">
        <v>0</v>
      </c>
      <c r="AD170">
        <v>64.55</v>
      </c>
      <c r="AE170">
        <v>0</v>
      </c>
      <c r="AF170">
        <v>0</v>
      </c>
      <c r="AG170">
        <v>0</v>
      </c>
      <c r="AH170">
        <v>9.6199999999999992</v>
      </c>
      <c r="AI170">
        <v>1</v>
      </c>
      <c r="AJ170">
        <v>1</v>
      </c>
      <c r="AK170">
        <v>1</v>
      </c>
      <c r="AL170">
        <v>6.71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8.3800000000000008</v>
      </c>
      <c r="AU170" t="s">
        <v>6</v>
      </c>
      <c r="AV170">
        <v>1</v>
      </c>
      <c r="AW170">
        <v>2</v>
      </c>
      <c r="AX170">
        <v>16815598</v>
      </c>
      <c r="AY170">
        <v>1</v>
      </c>
      <c r="AZ170">
        <v>0</v>
      </c>
      <c r="BA170">
        <v>166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Y170*Source!I95</f>
        <v>22.458400000000005</v>
      </c>
      <c r="CY170">
        <f>AD170</f>
        <v>64.55</v>
      </c>
      <c r="CZ170">
        <f>AH170</f>
        <v>9.6199999999999992</v>
      </c>
      <c r="DA170">
        <f>AL170</f>
        <v>6.71</v>
      </c>
      <c r="DB170">
        <f t="shared" si="23"/>
        <v>80.62</v>
      </c>
      <c r="DC170">
        <f t="shared" si="24"/>
        <v>0</v>
      </c>
    </row>
    <row r="171" spans="1:107" x14ac:dyDescent="0.2">
      <c r="A171">
        <f>ROW(Source!A95)</f>
        <v>95</v>
      </c>
      <c r="B171">
        <v>16812721</v>
      </c>
      <c r="C171">
        <v>16815597</v>
      </c>
      <c r="D171">
        <v>15203308</v>
      </c>
      <c r="E171">
        <v>1</v>
      </c>
      <c r="F171">
        <v>1</v>
      </c>
      <c r="G171">
        <v>1</v>
      </c>
      <c r="H171">
        <v>3</v>
      </c>
      <c r="I171" t="s">
        <v>310</v>
      </c>
      <c r="J171" t="s">
        <v>312</v>
      </c>
      <c r="K171" t="s">
        <v>311</v>
      </c>
      <c r="L171">
        <v>1348</v>
      </c>
      <c r="N171">
        <v>1009</v>
      </c>
      <c r="O171" t="s">
        <v>145</v>
      </c>
      <c r="P171" t="s">
        <v>145</v>
      </c>
      <c r="Q171">
        <v>1000</v>
      </c>
      <c r="W171">
        <v>0</v>
      </c>
      <c r="X171">
        <v>772632804</v>
      </c>
      <c r="Y171">
        <v>1.6E-2</v>
      </c>
      <c r="AA171">
        <v>134023.32999999999</v>
      </c>
      <c r="AB171">
        <v>0</v>
      </c>
      <c r="AC171">
        <v>0</v>
      </c>
      <c r="AD171">
        <v>0</v>
      </c>
      <c r="AE171">
        <v>19973.669999999998</v>
      </c>
      <c r="AF171">
        <v>0</v>
      </c>
      <c r="AG171">
        <v>0</v>
      </c>
      <c r="AH171">
        <v>0</v>
      </c>
      <c r="AI171">
        <v>6.71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6</v>
      </c>
      <c r="AT171">
        <v>1.6E-2</v>
      </c>
      <c r="AU171" t="s">
        <v>6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6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Y171*Source!I95</f>
        <v>4.2880000000000001E-2</v>
      </c>
      <c r="CY171">
        <f>AA171</f>
        <v>134023.32999999999</v>
      </c>
      <c r="CZ171">
        <f>AE171</f>
        <v>19973.669999999998</v>
      </c>
      <c r="DA171">
        <f>AI171</f>
        <v>6.71</v>
      </c>
      <c r="DB171">
        <f t="shared" si="23"/>
        <v>319.58</v>
      </c>
      <c r="DC171">
        <f t="shared" si="24"/>
        <v>0</v>
      </c>
    </row>
    <row r="172" spans="1:107" x14ac:dyDescent="0.2">
      <c r="A172">
        <f>ROW(Source!A95)</f>
        <v>95</v>
      </c>
      <c r="B172">
        <v>16812721</v>
      </c>
      <c r="C172">
        <v>16815597</v>
      </c>
      <c r="D172">
        <v>15163100</v>
      </c>
      <c r="E172">
        <v>17</v>
      </c>
      <c r="F172">
        <v>1</v>
      </c>
      <c r="G172">
        <v>1</v>
      </c>
      <c r="H172">
        <v>3</v>
      </c>
      <c r="I172" t="s">
        <v>319</v>
      </c>
      <c r="J172" t="s">
        <v>6</v>
      </c>
      <c r="K172" t="s">
        <v>320</v>
      </c>
      <c r="L172">
        <v>1348</v>
      </c>
      <c r="N172">
        <v>1009</v>
      </c>
      <c r="O172" t="s">
        <v>145</v>
      </c>
      <c r="P172" t="s">
        <v>145</v>
      </c>
      <c r="Q172">
        <v>1000</v>
      </c>
      <c r="W172">
        <v>0</v>
      </c>
      <c r="X172">
        <v>973262446</v>
      </c>
      <c r="Y172">
        <v>1.6E-2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6.71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6</v>
      </c>
      <c r="AT172">
        <v>1.6E-2</v>
      </c>
      <c r="AU172" t="s">
        <v>6</v>
      </c>
      <c r="AV172">
        <v>0</v>
      </c>
      <c r="AW172">
        <v>2</v>
      </c>
      <c r="AX172">
        <v>16815599</v>
      </c>
      <c r="AY172">
        <v>1</v>
      </c>
      <c r="AZ172">
        <v>0</v>
      </c>
      <c r="BA172">
        <v>167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Y172*Source!I95</f>
        <v>4.2880000000000001E-2</v>
      </c>
      <c r="CY172">
        <f>AA172</f>
        <v>0</v>
      </c>
      <c r="CZ172">
        <f>AE172</f>
        <v>0</v>
      </c>
      <c r="DA172">
        <f>AI172</f>
        <v>6.71</v>
      </c>
      <c r="DB172">
        <f t="shared" si="23"/>
        <v>0</v>
      </c>
      <c r="DC172">
        <f t="shared" si="24"/>
        <v>0</v>
      </c>
    </row>
    <row r="173" spans="1:107" x14ac:dyDescent="0.2">
      <c r="A173">
        <f>ROW(Source!A98)</f>
        <v>98</v>
      </c>
      <c r="B173">
        <v>16812721</v>
      </c>
      <c r="C173">
        <v>16813301</v>
      </c>
      <c r="D173">
        <v>15435609</v>
      </c>
      <c r="E173">
        <v>1</v>
      </c>
      <c r="F173">
        <v>1</v>
      </c>
      <c r="G173">
        <v>1</v>
      </c>
      <c r="H173">
        <v>1</v>
      </c>
      <c r="I173" t="s">
        <v>927</v>
      </c>
      <c r="J173" t="s">
        <v>6</v>
      </c>
      <c r="K173" t="s">
        <v>928</v>
      </c>
      <c r="L173">
        <v>1191</v>
      </c>
      <c r="N173">
        <v>1013</v>
      </c>
      <c r="O173" t="s">
        <v>773</v>
      </c>
      <c r="P173" t="s">
        <v>773</v>
      </c>
      <c r="Q173">
        <v>1</v>
      </c>
      <c r="W173">
        <v>0</v>
      </c>
      <c r="X173">
        <v>-814890593</v>
      </c>
      <c r="Y173">
        <v>49.334999999999994</v>
      </c>
      <c r="AA173">
        <v>0</v>
      </c>
      <c r="AB173">
        <v>0</v>
      </c>
      <c r="AC173">
        <v>0</v>
      </c>
      <c r="AD173">
        <v>60.19</v>
      </c>
      <c r="AE173">
        <v>0</v>
      </c>
      <c r="AF173">
        <v>0</v>
      </c>
      <c r="AG173">
        <v>0</v>
      </c>
      <c r="AH173">
        <v>8.9700000000000006</v>
      </c>
      <c r="AI173">
        <v>1</v>
      </c>
      <c r="AJ173">
        <v>1</v>
      </c>
      <c r="AK173">
        <v>1</v>
      </c>
      <c r="AL173">
        <v>6.71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42.9</v>
      </c>
      <c r="AU173" t="s">
        <v>104</v>
      </c>
      <c r="AV173">
        <v>1</v>
      </c>
      <c r="AW173">
        <v>2</v>
      </c>
      <c r="AX173">
        <v>16813311</v>
      </c>
      <c r="AY173">
        <v>1</v>
      </c>
      <c r="AZ173">
        <v>0</v>
      </c>
      <c r="BA173">
        <v>168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Y173*Source!I98</f>
        <v>5.2911787499999994</v>
      </c>
      <c r="CY173">
        <f>AD173</f>
        <v>60.19</v>
      </c>
      <c r="CZ173">
        <f>AH173</f>
        <v>8.9700000000000006</v>
      </c>
      <c r="DA173">
        <f>AL173</f>
        <v>6.71</v>
      </c>
      <c r="DB173">
        <f>ROUND((ROUND(AT173*CZ173,2)*1.15),2)</f>
        <v>442.53</v>
      </c>
      <c r="DC173">
        <f>ROUND((ROUND(AT173*AG173,2)*1.15),2)</f>
        <v>0</v>
      </c>
    </row>
    <row r="174" spans="1:107" x14ac:dyDescent="0.2">
      <c r="A174">
        <f>ROW(Source!A98)</f>
        <v>98</v>
      </c>
      <c r="B174">
        <v>16812721</v>
      </c>
      <c r="C174">
        <v>16813301</v>
      </c>
      <c r="D174">
        <v>15430395</v>
      </c>
      <c r="E174">
        <v>1</v>
      </c>
      <c r="F174">
        <v>1</v>
      </c>
      <c r="G174">
        <v>1</v>
      </c>
      <c r="H174">
        <v>1</v>
      </c>
      <c r="I174" t="s">
        <v>774</v>
      </c>
      <c r="J174" t="s">
        <v>6</v>
      </c>
      <c r="K174" t="s">
        <v>775</v>
      </c>
      <c r="L174">
        <v>1191</v>
      </c>
      <c r="N174">
        <v>1013</v>
      </c>
      <c r="O174" t="s">
        <v>773</v>
      </c>
      <c r="P174" t="s">
        <v>773</v>
      </c>
      <c r="Q174">
        <v>1</v>
      </c>
      <c r="W174">
        <v>0</v>
      </c>
      <c r="X174">
        <v>-1417349443</v>
      </c>
      <c r="Y174">
        <v>0.17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6.71</v>
      </c>
      <c r="AL174">
        <v>1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6</v>
      </c>
      <c r="AT174">
        <v>0.17</v>
      </c>
      <c r="AU174" t="s">
        <v>6</v>
      </c>
      <c r="AV174">
        <v>2</v>
      </c>
      <c r="AW174">
        <v>2</v>
      </c>
      <c r="AX174">
        <v>16813312</v>
      </c>
      <c r="AY174">
        <v>1</v>
      </c>
      <c r="AZ174">
        <v>2048</v>
      </c>
      <c r="BA174">
        <v>169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Y174*Source!I98</f>
        <v>1.8232500000000002E-2</v>
      </c>
      <c r="CY174">
        <f>AD174</f>
        <v>0</v>
      </c>
      <c r="CZ174">
        <f>AH174</f>
        <v>0</v>
      </c>
      <c r="DA174">
        <f>AL174</f>
        <v>1</v>
      </c>
      <c r="DB174">
        <f>ROUND(ROUND(AT174*CZ174,2),2)</f>
        <v>0</v>
      </c>
      <c r="DC174">
        <f>ROUND(ROUND(AT174*AG174,2),2)</f>
        <v>0</v>
      </c>
    </row>
    <row r="175" spans="1:107" x14ac:dyDescent="0.2">
      <c r="A175">
        <f>ROW(Source!A98)</f>
        <v>98</v>
      </c>
      <c r="B175">
        <v>16812721</v>
      </c>
      <c r="C175">
        <v>16813301</v>
      </c>
      <c r="D175">
        <v>15247974</v>
      </c>
      <c r="E175">
        <v>1</v>
      </c>
      <c r="F175">
        <v>1</v>
      </c>
      <c r="G175">
        <v>1</v>
      </c>
      <c r="H175">
        <v>2</v>
      </c>
      <c r="I175" t="s">
        <v>776</v>
      </c>
      <c r="J175" t="s">
        <v>777</v>
      </c>
      <c r="K175" t="s">
        <v>778</v>
      </c>
      <c r="L175">
        <v>1368</v>
      </c>
      <c r="N175">
        <v>1011</v>
      </c>
      <c r="O175" t="s">
        <v>779</v>
      </c>
      <c r="P175" t="s">
        <v>779</v>
      </c>
      <c r="Q175">
        <v>1</v>
      </c>
      <c r="W175">
        <v>0</v>
      </c>
      <c r="X175">
        <v>1188625873</v>
      </c>
      <c r="Y175">
        <v>2.5000000000000001E-2</v>
      </c>
      <c r="AA175">
        <v>0</v>
      </c>
      <c r="AB175">
        <v>209.75</v>
      </c>
      <c r="AC175">
        <v>13.5</v>
      </c>
      <c r="AD175">
        <v>0</v>
      </c>
      <c r="AE175">
        <v>0</v>
      </c>
      <c r="AF175">
        <v>31.26</v>
      </c>
      <c r="AG175">
        <v>13.5</v>
      </c>
      <c r="AH175">
        <v>0</v>
      </c>
      <c r="AI175">
        <v>1</v>
      </c>
      <c r="AJ175">
        <v>6.71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0.02</v>
      </c>
      <c r="AU175" t="s">
        <v>103</v>
      </c>
      <c r="AV175">
        <v>0</v>
      </c>
      <c r="AW175">
        <v>2</v>
      </c>
      <c r="AX175">
        <v>16813313</v>
      </c>
      <c r="AY175">
        <v>1</v>
      </c>
      <c r="AZ175">
        <v>0</v>
      </c>
      <c r="BA175">
        <v>170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Y175*Source!I98</f>
        <v>2.68125E-3</v>
      </c>
      <c r="CY175">
        <f>AB175</f>
        <v>209.75</v>
      </c>
      <c r="CZ175">
        <f>AF175</f>
        <v>31.26</v>
      </c>
      <c r="DA175">
        <f>AJ175</f>
        <v>6.71</v>
      </c>
      <c r="DB175">
        <f>ROUND((ROUND(AT175*CZ175,2)*1.25),2)</f>
        <v>0.79</v>
      </c>
      <c r="DC175">
        <f>ROUND((ROUND(AT175*AG175,2)*1.25),2)</f>
        <v>0.34</v>
      </c>
    </row>
    <row r="176" spans="1:107" x14ac:dyDescent="0.2">
      <c r="A176">
        <f>ROW(Source!A98)</f>
        <v>98</v>
      </c>
      <c r="B176">
        <v>16812721</v>
      </c>
      <c r="C176">
        <v>16813301</v>
      </c>
      <c r="D176">
        <v>15249073</v>
      </c>
      <c r="E176">
        <v>1</v>
      </c>
      <c r="F176">
        <v>1</v>
      </c>
      <c r="G176">
        <v>1</v>
      </c>
      <c r="H176">
        <v>2</v>
      </c>
      <c r="I176" t="s">
        <v>782</v>
      </c>
      <c r="J176" t="s">
        <v>783</v>
      </c>
      <c r="K176" t="s">
        <v>784</v>
      </c>
      <c r="L176">
        <v>1368</v>
      </c>
      <c r="N176">
        <v>1011</v>
      </c>
      <c r="O176" t="s">
        <v>779</v>
      </c>
      <c r="P176" t="s">
        <v>779</v>
      </c>
      <c r="Q176">
        <v>1</v>
      </c>
      <c r="W176">
        <v>0</v>
      </c>
      <c r="X176">
        <v>1372534845</v>
      </c>
      <c r="Y176">
        <v>0.1875</v>
      </c>
      <c r="AA176">
        <v>0</v>
      </c>
      <c r="AB176">
        <v>440.91</v>
      </c>
      <c r="AC176">
        <v>11.6</v>
      </c>
      <c r="AD176">
        <v>0</v>
      </c>
      <c r="AE176">
        <v>0</v>
      </c>
      <c r="AF176">
        <v>65.709999999999994</v>
      </c>
      <c r="AG176">
        <v>11.6</v>
      </c>
      <c r="AH176">
        <v>0</v>
      </c>
      <c r="AI176">
        <v>1</v>
      </c>
      <c r="AJ176">
        <v>6.71</v>
      </c>
      <c r="AK176">
        <v>1</v>
      </c>
      <c r="AL176">
        <v>1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6</v>
      </c>
      <c r="AT176">
        <v>0.15</v>
      </c>
      <c r="AU176" t="s">
        <v>103</v>
      </c>
      <c r="AV176">
        <v>0</v>
      </c>
      <c r="AW176">
        <v>2</v>
      </c>
      <c r="AX176">
        <v>16813314</v>
      </c>
      <c r="AY176">
        <v>1</v>
      </c>
      <c r="AZ176">
        <v>0</v>
      </c>
      <c r="BA176">
        <v>171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Y176*Source!I98</f>
        <v>2.0109374999999999E-2</v>
      </c>
      <c r="CY176">
        <f>AB176</f>
        <v>440.91</v>
      </c>
      <c r="CZ176">
        <f>AF176</f>
        <v>65.709999999999994</v>
      </c>
      <c r="DA176">
        <f>AJ176</f>
        <v>6.71</v>
      </c>
      <c r="DB176">
        <f>ROUND((ROUND(AT176*CZ176,2)*1.25),2)</f>
        <v>12.33</v>
      </c>
      <c r="DC176">
        <f>ROUND((ROUND(AT176*AG176,2)*1.25),2)</f>
        <v>2.1800000000000002</v>
      </c>
    </row>
    <row r="177" spans="1:107" x14ac:dyDescent="0.2">
      <c r="A177">
        <f>ROW(Source!A98)</f>
        <v>98</v>
      </c>
      <c r="B177">
        <v>16812721</v>
      </c>
      <c r="C177">
        <v>16813301</v>
      </c>
      <c r="D177">
        <v>15170682</v>
      </c>
      <c r="E177">
        <v>1</v>
      </c>
      <c r="F177">
        <v>1</v>
      </c>
      <c r="G177">
        <v>1</v>
      </c>
      <c r="H177">
        <v>3</v>
      </c>
      <c r="I177" t="s">
        <v>929</v>
      </c>
      <c r="J177" t="s">
        <v>930</v>
      </c>
      <c r="K177" t="s">
        <v>931</v>
      </c>
      <c r="L177">
        <v>1327</v>
      </c>
      <c r="N177">
        <v>1005</v>
      </c>
      <c r="O177" t="s">
        <v>28</v>
      </c>
      <c r="P177" t="s">
        <v>28</v>
      </c>
      <c r="Q177">
        <v>1</v>
      </c>
      <c r="W177">
        <v>0</v>
      </c>
      <c r="X177">
        <v>-1987926685</v>
      </c>
      <c r="Y177">
        <v>0.84</v>
      </c>
      <c r="AA177">
        <v>485.27</v>
      </c>
      <c r="AB177">
        <v>0</v>
      </c>
      <c r="AC177">
        <v>0</v>
      </c>
      <c r="AD177">
        <v>0</v>
      </c>
      <c r="AE177">
        <v>72.319999999999993</v>
      </c>
      <c r="AF177">
        <v>0</v>
      </c>
      <c r="AG177">
        <v>0</v>
      </c>
      <c r="AH177">
        <v>0</v>
      </c>
      <c r="AI177">
        <v>6.71</v>
      </c>
      <c r="AJ177">
        <v>1</v>
      </c>
      <c r="AK177">
        <v>1</v>
      </c>
      <c r="AL177">
        <v>1</v>
      </c>
      <c r="AN177">
        <v>0</v>
      </c>
      <c r="AO177">
        <v>1</v>
      </c>
      <c r="AP177">
        <v>0</v>
      </c>
      <c r="AQ177">
        <v>0</v>
      </c>
      <c r="AR177">
        <v>0</v>
      </c>
      <c r="AS177" t="s">
        <v>6</v>
      </c>
      <c r="AT177">
        <v>0.84</v>
      </c>
      <c r="AU177" t="s">
        <v>6</v>
      </c>
      <c r="AV177">
        <v>0</v>
      </c>
      <c r="AW177">
        <v>2</v>
      </c>
      <c r="AX177">
        <v>16813315</v>
      </c>
      <c r="AY177">
        <v>1</v>
      </c>
      <c r="AZ177">
        <v>0</v>
      </c>
      <c r="BA177">
        <v>172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Y177*Source!I98</f>
        <v>9.008999999999999E-2</v>
      </c>
      <c r="CY177">
        <f>AA177</f>
        <v>485.27</v>
      </c>
      <c r="CZ177">
        <f>AE177</f>
        <v>72.319999999999993</v>
      </c>
      <c r="DA177">
        <f>AI177</f>
        <v>6.71</v>
      </c>
      <c r="DB177">
        <f>ROUND(ROUND(AT177*CZ177,2),2)</f>
        <v>60.75</v>
      </c>
      <c r="DC177">
        <f>ROUND(ROUND(AT177*AG177,2),2)</f>
        <v>0</v>
      </c>
    </row>
    <row r="178" spans="1:107" x14ac:dyDescent="0.2">
      <c r="A178">
        <f>ROW(Source!A98)</f>
        <v>98</v>
      </c>
      <c r="B178">
        <v>16812721</v>
      </c>
      <c r="C178">
        <v>16813301</v>
      </c>
      <c r="D178">
        <v>15171018</v>
      </c>
      <c r="E178">
        <v>1</v>
      </c>
      <c r="F178">
        <v>1</v>
      </c>
      <c r="G178">
        <v>1</v>
      </c>
      <c r="H178">
        <v>3</v>
      </c>
      <c r="I178" t="s">
        <v>824</v>
      </c>
      <c r="J178" t="s">
        <v>825</v>
      </c>
      <c r="K178" t="s">
        <v>826</v>
      </c>
      <c r="L178">
        <v>1346</v>
      </c>
      <c r="N178">
        <v>1009</v>
      </c>
      <c r="O178" t="s">
        <v>277</v>
      </c>
      <c r="P178" t="s">
        <v>277</v>
      </c>
      <c r="Q178">
        <v>1</v>
      </c>
      <c r="W178">
        <v>0</v>
      </c>
      <c r="X178">
        <v>813963326</v>
      </c>
      <c r="Y178">
        <v>0.31</v>
      </c>
      <c r="AA178">
        <v>12.21</v>
      </c>
      <c r="AB178">
        <v>0</v>
      </c>
      <c r="AC178">
        <v>0</v>
      </c>
      <c r="AD178">
        <v>0</v>
      </c>
      <c r="AE178">
        <v>1.82</v>
      </c>
      <c r="AF178">
        <v>0</v>
      </c>
      <c r="AG178">
        <v>0</v>
      </c>
      <c r="AH178">
        <v>0</v>
      </c>
      <c r="AI178">
        <v>6.71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6</v>
      </c>
      <c r="AT178">
        <v>0.31</v>
      </c>
      <c r="AU178" t="s">
        <v>6</v>
      </c>
      <c r="AV178">
        <v>0</v>
      </c>
      <c r="AW178">
        <v>2</v>
      </c>
      <c r="AX178">
        <v>16813316</v>
      </c>
      <c r="AY178">
        <v>1</v>
      </c>
      <c r="AZ178">
        <v>0</v>
      </c>
      <c r="BA178">
        <v>173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Y178*Source!I98</f>
        <v>3.3247499999999999E-2</v>
      </c>
      <c r="CY178">
        <f>AA178</f>
        <v>12.21</v>
      </c>
      <c r="CZ178">
        <f>AE178</f>
        <v>1.82</v>
      </c>
      <c r="DA178">
        <f>AI178</f>
        <v>6.71</v>
      </c>
      <c r="DB178">
        <f>ROUND(ROUND(AT178*CZ178,2),2)</f>
        <v>0.56000000000000005</v>
      </c>
      <c r="DC178">
        <f>ROUND(ROUND(AT178*AG178,2),2)</f>
        <v>0</v>
      </c>
    </row>
    <row r="179" spans="1:107" x14ac:dyDescent="0.2">
      <c r="A179">
        <f>ROW(Source!A98)</f>
        <v>98</v>
      </c>
      <c r="B179">
        <v>16812721</v>
      </c>
      <c r="C179">
        <v>16813301</v>
      </c>
      <c r="D179">
        <v>15163054</v>
      </c>
      <c r="E179">
        <v>17</v>
      </c>
      <c r="F179">
        <v>1</v>
      </c>
      <c r="G179">
        <v>1</v>
      </c>
      <c r="H179">
        <v>3</v>
      </c>
      <c r="I179" t="s">
        <v>307</v>
      </c>
      <c r="J179" t="s">
        <v>6</v>
      </c>
      <c r="K179" t="s">
        <v>308</v>
      </c>
      <c r="L179">
        <v>1348</v>
      </c>
      <c r="N179">
        <v>1009</v>
      </c>
      <c r="O179" t="s">
        <v>145</v>
      </c>
      <c r="P179" t="s">
        <v>145</v>
      </c>
      <c r="Q179">
        <v>1000</v>
      </c>
      <c r="W179">
        <v>0</v>
      </c>
      <c r="X179">
        <v>1891904026</v>
      </c>
      <c r="Y179">
        <v>6.3E-2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6.71</v>
      </c>
      <c r="AJ179">
        <v>1</v>
      </c>
      <c r="AK179">
        <v>1</v>
      </c>
      <c r="AL179">
        <v>1</v>
      </c>
      <c r="AN179">
        <v>0</v>
      </c>
      <c r="AO179">
        <v>0</v>
      </c>
      <c r="AP179">
        <v>0</v>
      </c>
      <c r="AQ179">
        <v>0</v>
      </c>
      <c r="AR179">
        <v>0</v>
      </c>
      <c r="AS179" t="s">
        <v>6</v>
      </c>
      <c r="AT179">
        <v>6.3E-2</v>
      </c>
      <c r="AU179" t="s">
        <v>6</v>
      </c>
      <c r="AV179">
        <v>0</v>
      </c>
      <c r="AW179">
        <v>2</v>
      </c>
      <c r="AX179">
        <v>16813317</v>
      </c>
      <c r="AY179">
        <v>1</v>
      </c>
      <c r="AZ179">
        <v>0</v>
      </c>
      <c r="BA179">
        <v>174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Y179*Source!I98</f>
        <v>6.7567499999999997E-3</v>
      </c>
      <c r="CY179">
        <f>AA179</f>
        <v>0</v>
      </c>
      <c r="CZ179">
        <f>AE179</f>
        <v>0</v>
      </c>
      <c r="DA179">
        <f>AI179</f>
        <v>6.71</v>
      </c>
      <c r="DB179">
        <f>ROUND(ROUND(AT179*CZ179,2),2)</f>
        <v>0</v>
      </c>
      <c r="DC179">
        <f>ROUND(ROUND(AT179*AG179,2),2)</f>
        <v>0</v>
      </c>
    </row>
    <row r="180" spans="1:107" x14ac:dyDescent="0.2">
      <c r="A180">
        <f>ROW(Source!A98)</f>
        <v>98</v>
      </c>
      <c r="B180">
        <v>16812721</v>
      </c>
      <c r="C180">
        <v>16813301</v>
      </c>
      <c r="D180">
        <v>15203308</v>
      </c>
      <c r="E180">
        <v>1</v>
      </c>
      <c r="F180">
        <v>1</v>
      </c>
      <c r="G180">
        <v>1</v>
      </c>
      <c r="H180">
        <v>3</v>
      </c>
      <c r="I180" t="s">
        <v>310</v>
      </c>
      <c r="J180" t="s">
        <v>312</v>
      </c>
      <c r="K180" t="s">
        <v>311</v>
      </c>
      <c r="L180">
        <v>1348</v>
      </c>
      <c r="N180">
        <v>1009</v>
      </c>
      <c r="O180" t="s">
        <v>145</v>
      </c>
      <c r="P180" t="s">
        <v>145</v>
      </c>
      <c r="Q180">
        <v>1000</v>
      </c>
      <c r="W180">
        <v>0</v>
      </c>
      <c r="X180">
        <v>772632804</v>
      </c>
      <c r="Y180">
        <v>6.3E-2</v>
      </c>
      <c r="AA180">
        <v>134023.32999999999</v>
      </c>
      <c r="AB180">
        <v>0</v>
      </c>
      <c r="AC180">
        <v>0</v>
      </c>
      <c r="AD180">
        <v>0</v>
      </c>
      <c r="AE180">
        <v>19973.669999999998</v>
      </c>
      <c r="AF180">
        <v>0</v>
      </c>
      <c r="AG180">
        <v>0</v>
      </c>
      <c r="AH180">
        <v>0</v>
      </c>
      <c r="AI180">
        <v>6.71</v>
      </c>
      <c r="AJ180">
        <v>1</v>
      </c>
      <c r="AK180">
        <v>1</v>
      </c>
      <c r="AL180">
        <v>1</v>
      </c>
      <c r="AN180">
        <v>0</v>
      </c>
      <c r="AO180">
        <v>0</v>
      </c>
      <c r="AP180">
        <v>0</v>
      </c>
      <c r="AQ180">
        <v>0</v>
      </c>
      <c r="AR180">
        <v>0</v>
      </c>
      <c r="AS180" t="s">
        <v>6</v>
      </c>
      <c r="AT180">
        <v>6.3E-2</v>
      </c>
      <c r="AU180" t="s">
        <v>6</v>
      </c>
      <c r="AV180">
        <v>0</v>
      </c>
      <c r="AW180">
        <v>1</v>
      </c>
      <c r="AX180">
        <v>-1</v>
      </c>
      <c r="AY180">
        <v>0</v>
      </c>
      <c r="AZ180">
        <v>0</v>
      </c>
      <c r="BA180" t="s">
        <v>6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Y180*Source!I98</f>
        <v>6.7567499999999997E-3</v>
      </c>
      <c r="CY180">
        <f>AA180</f>
        <v>134023.32999999999</v>
      </c>
      <c r="CZ180">
        <f>AE180</f>
        <v>19973.669999999998</v>
      </c>
      <c r="DA180">
        <f>AI180</f>
        <v>6.71</v>
      </c>
      <c r="DB180">
        <f>ROUND(ROUND(AT180*CZ180,2),2)</f>
        <v>1258.3399999999999</v>
      </c>
      <c r="DC180">
        <f>ROUND(ROUND(AT180*AG180,2),2)</f>
        <v>0</v>
      </c>
    </row>
    <row r="181" spans="1:107" x14ac:dyDescent="0.2">
      <c r="A181">
        <f>ROW(Source!A98)</f>
        <v>98</v>
      </c>
      <c r="B181">
        <v>16812721</v>
      </c>
      <c r="C181">
        <v>16813301</v>
      </c>
      <c r="D181">
        <v>15204729</v>
      </c>
      <c r="E181">
        <v>1</v>
      </c>
      <c r="F181">
        <v>1</v>
      </c>
      <c r="G181">
        <v>1</v>
      </c>
      <c r="H181">
        <v>3</v>
      </c>
      <c r="I181" t="s">
        <v>924</v>
      </c>
      <c r="J181" t="s">
        <v>925</v>
      </c>
      <c r="K181" t="s">
        <v>926</v>
      </c>
      <c r="L181">
        <v>1348</v>
      </c>
      <c r="N181">
        <v>1009</v>
      </c>
      <c r="O181" t="s">
        <v>145</v>
      </c>
      <c r="P181" t="s">
        <v>145</v>
      </c>
      <c r="Q181">
        <v>1000</v>
      </c>
      <c r="W181">
        <v>0</v>
      </c>
      <c r="X181">
        <v>-2084827333</v>
      </c>
      <c r="Y181">
        <v>5.0999999999999997E-2</v>
      </c>
      <c r="AA181">
        <v>28812.74</v>
      </c>
      <c r="AB181">
        <v>0</v>
      </c>
      <c r="AC181">
        <v>0</v>
      </c>
      <c r="AD181">
        <v>0</v>
      </c>
      <c r="AE181">
        <v>4294</v>
      </c>
      <c r="AF181">
        <v>0</v>
      </c>
      <c r="AG181">
        <v>0</v>
      </c>
      <c r="AH181">
        <v>0</v>
      </c>
      <c r="AI181">
        <v>6.71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0</v>
      </c>
      <c r="AQ181">
        <v>0</v>
      </c>
      <c r="AR181">
        <v>0</v>
      </c>
      <c r="AS181" t="s">
        <v>6</v>
      </c>
      <c r="AT181">
        <v>5.0999999999999997E-2</v>
      </c>
      <c r="AU181" t="s">
        <v>6</v>
      </c>
      <c r="AV181">
        <v>0</v>
      </c>
      <c r="AW181">
        <v>2</v>
      </c>
      <c r="AX181">
        <v>16813318</v>
      </c>
      <c r="AY181">
        <v>1</v>
      </c>
      <c r="AZ181">
        <v>0</v>
      </c>
      <c r="BA181">
        <v>175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Y181*Source!I98</f>
        <v>5.4697499999999998E-3</v>
      </c>
      <c r="CY181">
        <f>AA181</f>
        <v>28812.74</v>
      </c>
      <c r="CZ181">
        <f>AE181</f>
        <v>4294</v>
      </c>
      <c r="DA181">
        <f>AI181</f>
        <v>6.71</v>
      </c>
      <c r="DB181">
        <f>ROUND(ROUND(AT181*CZ181,2),2)</f>
        <v>218.99</v>
      </c>
      <c r="DC181">
        <f>ROUND(ROUND(AT181*AG181,2),2)</f>
        <v>0</v>
      </c>
    </row>
    <row r="182" spans="1:107" x14ac:dyDescent="0.2">
      <c r="A182">
        <f>ROW(Source!A101)</f>
        <v>101</v>
      </c>
      <c r="B182">
        <v>16812721</v>
      </c>
      <c r="C182">
        <v>16813321</v>
      </c>
      <c r="D182">
        <v>15435683</v>
      </c>
      <c r="E182">
        <v>1</v>
      </c>
      <c r="F182">
        <v>1</v>
      </c>
      <c r="G182">
        <v>1</v>
      </c>
      <c r="H182">
        <v>1</v>
      </c>
      <c r="I182" t="s">
        <v>932</v>
      </c>
      <c r="J182" t="s">
        <v>6</v>
      </c>
      <c r="K182" t="s">
        <v>933</v>
      </c>
      <c r="L182">
        <v>1191</v>
      </c>
      <c r="N182">
        <v>1013</v>
      </c>
      <c r="O182" t="s">
        <v>773</v>
      </c>
      <c r="P182" t="s">
        <v>773</v>
      </c>
      <c r="Q182">
        <v>1</v>
      </c>
      <c r="W182">
        <v>0</v>
      </c>
      <c r="X182">
        <v>-598469600</v>
      </c>
      <c r="Y182">
        <v>234.66899999999998</v>
      </c>
      <c r="AA182">
        <v>0</v>
      </c>
      <c r="AB182">
        <v>0</v>
      </c>
      <c r="AC182">
        <v>0</v>
      </c>
      <c r="AD182">
        <v>62.34</v>
      </c>
      <c r="AE182">
        <v>0</v>
      </c>
      <c r="AF182">
        <v>0</v>
      </c>
      <c r="AG182">
        <v>0</v>
      </c>
      <c r="AH182">
        <v>9.2899999999999991</v>
      </c>
      <c r="AI182">
        <v>1</v>
      </c>
      <c r="AJ182">
        <v>1</v>
      </c>
      <c r="AK182">
        <v>1</v>
      </c>
      <c r="AL182">
        <v>6.71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204.06</v>
      </c>
      <c r="AU182" t="s">
        <v>104</v>
      </c>
      <c r="AV182">
        <v>1</v>
      </c>
      <c r="AW182">
        <v>2</v>
      </c>
      <c r="AX182">
        <v>16813327</v>
      </c>
      <c r="AY182">
        <v>1</v>
      </c>
      <c r="AZ182">
        <v>0</v>
      </c>
      <c r="BA182">
        <v>176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Y182*Source!I101</f>
        <v>25.168250249999996</v>
      </c>
      <c r="CY182">
        <f>AD182</f>
        <v>62.34</v>
      </c>
      <c r="CZ182">
        <f>AH182</f>
        <v>9.2899999999999991</v>
      </c>
      <c r="DA182">
        <f>AL182</f>
        <v>6.71</v>
      </c>
      <c r="DB182">
        <f>ROUND((ROUND(AT182*CZ182,2)*1.15),2)</f>
        <v>2180.08</v>
      </c>
      <c r="DC182">
        <f>ROUND((ROUND(AT182*AG182,2)*1.15),2)</f>
        <v>0</v>
      </c>
    </row>
    <row r="183" spans="1:107" x14ac:dyDescent="0.2">
      <c r="A183">
        <f>ROW(Source!A101)</f>
        <v>101</v>
      </c>
      <c r="B183">
        <v>16812721</v>
      </c>
      <c r="C183">
        <v>16813321</v>
      </c>
      <c r="D183">
        <v>15430395</v>
      </c>
      <c r="E183">
        <v>1</v>
      </c>
      <c r="F183">
        <v>1</v>
      </c>
      <c r="G183">
        <v>1</v>
      </c>
      <c r="H183">
        <v>1</v>
      </c>
      <c r="I183" t="s">
        <v>774</v>
      </c>
      <c r="J183" t="s">
        <v>6</v>
      </c>
      <c r="K183" t="s">
        <v>775</v>
      </c>
      <c r="L183">
        <v>1191</v>
      </c>
      <c r="N183">
        <v>1013</v>
      </c>
      <c r="O183" t="s">
        <v>773</v>
      </c>
      <c r="P183" t="s">
        <v>773</v>
      </c>
      <c r="Q183">
        <v>1</v>
      </c>
      <c r="W183">
        <v>0</v>
      </c>
      <c r="X183">
        <v>-1417349443</v>
      </c>
      <c r="Y183">
        <v>2.06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6.71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6</v>
      </c>
      <c r="AT183">
        <v>2.06</v>
      </c>
      <c r="AU183" t="s">
        <v>6</v>
      </c>
      <c r="AV183">
        <v>2</v>
      </c>
      <c r="AW183">
        <v>2</v>
      </c>
      <c r="AX183">
        <v>16813328</v>
      </c>
      <c r="AY183">
        <v>1</v>
      </c>
      <c r="AZ183">
        <v>2048</v>
      </c>
      <c r="BA183">
        <v>177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Y183*Source!I101</f>
        <v>0.22093499999999999</v>
      </c>
      <c r="CY183">
        <f>AD183</f>
        <v>0</v>
      </c>
      <c r="CZ183">
        <f>AH183</f>
        <v>0</v>
      </c>
      <c r="DA183">
        <f>AL183</f>
        <v>1</v>
      </c>
      <c r="DB183">
        <f>ROUND(ROUND(AT183*CZ183,2),2)</f>
        <v>0</v>
      </c>
      <c r="DC183">
        <f>ROUND(ROUND(AT183*AG183,2),2)</f>
        <v>0</v>
      </c>
    </row>
    <row r="184" spans="1:107" x14ac:dyDescent="0.2">
      <c r="A184">
        <f>ROW(Source!A101)</f>
        <v>101</v>
      </c>
      <c r="B184">
        <v>16812721</v>
      </c>
      <c r="C184">
        <v>16813321</v>
      </c>
      <c r="D184">
        <v>15247974</v>
      </c>
      <c r="E184">
        <v>1</v>
      </c>
      <c r="F184">
        <v>1</v>
      </c>
      <c r="G184">
        <v>1</v>
      </c>
      <c r="H184">
        <v>2</v>
      </c>
      <c r="I184" t="s">
        <v>776</v>
      </c>
      <c r="J184" t="s">
        <v>777</v>
      </c>
      <c r="K184" t="s">
        <v>778</v>
      </c>
      <c r="L184">
        <v>1368</v>
      </c>
      <c r="N184">
        <v>1011</v>
      </c>
      <c r="O184" t="s">
        <v>779</v>
      </c>
      <c r="P184" t="s">
        <v>779</v>
      </c>
      <c r="Q184">
        <v>1</v>
      </c>
      <c r="W184">
        <v>0</v>
      </c>
      <c r="X184">
        <v>1188625873</v>
      </c>
      <c r="Y184">
        <v>2.5750000000000002</v>
      </c>
      <c r="AA184">
        <v>0</v>
      </c>
      <c r="AB184">
        <v>209.75</v>
      </c>
      <c r="AC184">
        <v>13.5</v>
      </c>
      <c r="AD184">
        <v>0</v>
      </c>
      <c r="AE184">
        <v>0</v>
      </c>
      <c r="AF184">
        <v>31.26</v>
      </c>
      <c r="AG184">
        <v>13.5</v>
      </c>
      <c r="AH184">
        <v>0</v>
      </c>
      <c r="AI184">
        <v>1</v>
      </c>
      <c r="AJ184">
        <v>6.71</v>
      </c>
      <c r="AK184">
        <v>1</v>
      </c>
      <c r="AL184">
        <v>1</v>
      </c>
      <c r="AN184">
        <v>0</v>
      </c>
      <c r="AO184">
        <v>1</v>
      </c>
      <c r="AP184">
        <v>1</v>
      </c>
      <c r="AQ184">
        <v>0</v>
      </c>
      <c r="AR184">
        <v>0</v>
      </c>
      <c r="AS184" t="s">
        <v>6</v>
      </c>
      <c r="AT184">
        <v>2.06</v>
      </c>
      <c r="AU184" t="s">
        <v>103</v>
      </c>
      <c r="AV184">
        <v>0</v>
      </c>
      <c r="AW184">
        <v>2</v>
      </c>
      <c r="AX184">
        <v>16813329</v>
      </c>
      <c r="AY184">
        <v>1</v>
      </c>
      <c r="AZ184">
        <v>0</v>
      </c>
      <c r="BA184">
        <v>178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Y184*Source!I101</f>
        <v>0.27616875000000002</v>
      </c>
      <c r="CY184">
        <f>AB184</f>
        <v>209.75</v>
      </c>
      <c r="CZ184">
        <f>AF184</f>
        <v>31.26</v>
      </c>
      <c r="DA184">
        <f>AJ184</f>
        <v>6.71</v>
      </c>
      <c r="DB184">
        <f>ROUND((ROUND(AT184*CZ184,2)*1.25),2)</f>
        <v>80.5</v>
      </c>
      <c r="DC184">
        <f>ROUND((ROUND(AT184*AG184,2)*1.25),2)</f>
        <v>34.76</v>
      </c>
    </row>
    <row r="185" spans="1:107" x14ac:dyDescent="0.2">
      <c r="A185">
        <f>ROW(Source!A101)</f>
        <v>101</v>
      </c>
      <c r="B185">
        <v>16812721</v>
      </c>
      <c r="C185">
        <v>16813321</v>
      </c>
      <c r="D185">
        <v>15172819</v>
      </c>
      <c r="E185">
        <v>1</v>
      </c>
      <c r="F185">
        <v>1</v>
      </c>
      <c r="G185">
        <v>1</v>
      </c>
      <c r="H185">
        <v>3</v>
      </c>
      <c r="I185" t="s">
        <v>934</v>
      </c>
      <c r="J185" t="s">
        <v>935</v>
      </c>
      <c r="K185" t="s">
        <v>936</v>
      </c>
      <c r="L185">
        <v>1339</v>
      </c>
      <c r="N185">
        <v>1007</v>
      </c>
      <c r="O185" t="s">
        <v>141</v>
      </c>
      <c r="P185" t="s">
        <v>141</v>
      </c>
      <c r="Q185">
        <v>1</v>
      </c>
      <c r="W185">
        <v>0</v>
      </c>
      <c r="X185">
        <v>-1813551736</v>
      </c>
      <c r="Y185">
        <v>4.3</v>
      </c>
      <c r="AA185">
        <v>3424.78</v>
      </c>
      <c r="AB185">
        <v>0</v>
      </c>
      <c r="AC185">
        <v>0</v>
      </c>
      <c r="AD185">
        <v>0</v>
      </c>
      <c r="AE185">
        <v>510.4</v>
      </c>
      <c r="AF185">
        <v>0</v>
      </c>
      <c r="AG185">
        <v>0</v>
      </c>
      <c r="AH185">
        <v>0</v>
      </c>
      <c r="AI185">
        <v>6.71</v>
      </c>
      <c r="AJ185">
        <v>1</v>
      </c>
      <c r="AK185">
        <v>1</v>
      </c>
      <c r="AL185">
        <v>1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6</v>
      </c>
      <c r="AT185">
        <v>4.3</v>
      </c>
      <c r="AU185" t="s">
        <v>6</v>
      </c>
      <c r="AV185">
        <v>0</v>
      </c>
      <c r="AW185">
        <v>2</v>
      </c>
      <c r="AX185">
        <v>16813330</v>
      </c>
      <c r="AY185">
        <v>1</v>
      </c>
      <c r="AZ185">
        <v>0</v>
      </c>
      <c r="BA185">
        <v>179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Y185*Source!I101</f>
        <v>0.46117499999999995</v>
      </c>
      <c r="CY185">
        <f>AA185</f>
        <v>3424.78</v>
      </c>
      <c r="CZ185">
        <f>AE185</f>
        <v>510.4</v>
      </c>
      <c r="DA185">
        <f>AI185</f>
        <v>6.71</v>
      </c>
      <c r="DB185">
        <f t="shared" ref="DB185:DB232" si="25">ROUND(ROUND(AT185*CZ185,2),2)</f>
        <v>2194.7199999999998</v>
      </c>
      <c r="DC185">
        <f t="shared" ref="DC185:DC232" si="26">ROUND(ROUND(AT185*AG185,2),2)</f>
        <v>0</v>
      </c>
    </row>
    <row r="186" spans="1:107" x14ac:dyDescent="0.2">
      <c r="A186">
        <f>ROW(Source!A101)</f>
        <v>101</v>
      </c>
      <c r="B186">
        <v>16812721</v>
      </c>
      <c r="C186">
        <v>16813321</v>
      </c>
      <c r="D186">
        <v>15172875</v>
      </c>
      <c r="E186">
        <v>1</v>
      </c>
      <c r="F186">
        <v>1</v>
      </c>
      <c r="G186">
        <v>1</v>
      </c>
      <c r="H186">
        <v>3</v>
      </c>
      <c r="I186" t="s">
        <v>271</v>
      </c>
      <c r="J186" t="s">
        <v>273</v>
      </c>
      <c r="K186" t="s">
        <v>272</v>
      </c>
      <c r="L186">
        <v>1339</v>
      </c>
      <c r="N186">
        <v>1007</v>
      </c>
      <c r="O186" t="s">
        <v>141</v>
      </c>
      <c r="P186" t="s">
        <v>141</v>
      </c>
      <c r="Q186">
        <v>1</v>
      </c>
      <c r="W186">
        <v>0</v>
      </c>
      <c r="X186">
        <v>-1001479081</v>
      </c>
      <c r="Y186">
        <v>0.1</v>
      </c>
      <c r="AA186">
        <v>3475.18</v>
      </c>
      <c r="AB186">
        <v>0</v>
      </c>
      <c r="AC186">
        <v>0</v>
      </c>
      <c r="AD186">
        <v>0</v>
      </c>
      <c r="AE186">
        <v>517.91</v>
      </c>
      <c r="AF186">
        <v>0</v>
      </c>
      <c r="AG186">
        <v>0</v>
      </c>
      <c r="AH186">
        <v>0</v>
      </c>
      <c r="AI186">
        <v>6.71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6</v>
      </c>
      <c r="AT186">
        <v>0.1</v>
      </c>
      <c r="AU186" t="s">
        <v>6</v>
      </c>
      <c r="AV186">
        <v>0</v>
      </c>
      <c r="AW186">
        <v>2</v>
      </c>
      <c r="AX186">
        <v>16813331</v>
      </c>
      <c r="AY186">
        <v>1</v>
      </c>
      <c r="AZ186">
        <v>0</v>
      </c>
      <c r="BA186">
        <v>180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Y186*Source!I101</f>
        <v>1.0725E-2</v>
      </c>
      <c r="CY186">
        <f>AA186</f>
        <v>3475.18</v>
      </c>
      <c r="CZ186">
        <f>AE186</f>
        <v>517.91</v>
      </c>
      <c r="DA186">
        <f>AI186</f>
        <v>6.71</v>
      </c>
      <c r="DB186">
        <f t="shared" si="25"/>
        <v>51.79</v>
      </c>
      <c r="DC186">
        <f t="shared" si="26"/>
        <v>0</v>
      </c>
    </row>
    <row r="187" spans="1:107" x14ac:dyDescent="0.2">
      <c r="A187">
        <f>ROW(Source!A102)</f>
        <v>102</v>
      </c>
      <c r="B187">
        <v>16812721</v>
      </c>
      <c r="C187">
        <v>16813332</v>
      </c>
      <c r="D187">
        <v>15430447</v>
      </c>
      <c r="E187">
        <v>1</v>
      </c>
      <c r="F187">
        <v>1</v>
      </c>
      <c r="G187">
        <v>1</v>
      </c>
      <c r="H187">
        <v>1</v>
      </c>
      <c r="I187" t="s">
        <v>888</v>
      </c>
      <c r="J187" t="s">
        <v>6</v>
      </c>
      <c r="K187" t="s">
        <v>889</v>
      </c>
      <c r="L187">
        <v>1191</v>
      </c>
      <c r="N187">
        <v>1013</v>
      </c>
      <c r="O187" t="s">
        <v>773</v>
      </c>
      <c r="P187" t="s">
        <v>773</v>
      </c>
      <c r="Q187">
        <v>1</v>
      </c>
      <c r="W187">
        <v>0</v>
      </c>
      <c r="X187">
        <v>145020957</v>
      </c>
      <c r="Y187">
        <v>505</v>
      </c>
      <c r="AA187">
        <v>0</v>
      </c>
      <c r="AB187">
        <v>0</v>
      </c>
      <c r="AC187">
        <v>0</v>
      </c>
      <c r="AD187">
        <v>60.86</v>
      </c>
      <c r="AE187">
        <v>0</v>
      </c>
      <c r="AF187">
        <v>0</v>
      </c>
      <c r="AG187">
        <v>0</v>
      </c>
      <c r="AH187">
        <v>9.07</v>
      </c>
      <c r="AI187">
        <v>1</v>
      </c>
      <c r="AJ187">
        <v>1</v>
      </c>
      <c r="AK187">
        <v>1</v>
      </c>
      <c r="AL187">
        <v>6.71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6</v>
      </c>
      <c r="AT187">
        <v>505</v>
      </c>
      <c r="AU187" t="s">
        <v>6</v>
      </c>
      <c r="AV187">
        <v>1</v>
      </c>
      <c r="AW187">
        <v>2</v>
      </c>
      <c r="AX187">
        <v>16813346</v>
      </c>
      <c r="AY187">
        <v>1</v>
      </c>
      <c r="AZ187">
        <v>0</v>
      </c>
      <c r="BA187">
        <v>181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Y187*Source!I102</f>
        <v>55.55</v>
      </c>
      <c r="CY187">
        <f>AD187</f>
        <v>60.86</v>
      </c>
      <c r="CZ187">
        <f>AH187</f>
        <v>9.07</v>
      </c>
      <c r="DA187">
        <f>AL187</f>
        <v>6.71</v>
      </c>
      <c r="DB187">
        <f t="shared" si="25"/>
        <v>4580.3500000000004</v>
      </c>
      <c r="DC187">
        <f t="shared" si="26"/>
        <v>0</v>
      </c>
    </row>
    <row r="188" spans="1:107" x14ac:dyDescent="0.2">
      <c r="A188">
        <f>ROW(Source!A102)</f>
        <v>102</v>
      </c>
      <c r="B188">
        <v>16812721</v>
      </c>
      <c r="C188">
        <v>16813332</v>
      </c>
      <c r="D188">
        <v>15430395</v>
      </c>
      <c r="E188">
        <v>1</v>
      </c>
      <c r="F188">
        <v>1</v>
      </c>
      <c r="G188">
        <v>1</v>
      </c>
      <c r="H188">
        <v>1</v>
      </c>
      <c r="I188" t="s">
        <v>774</v>
      </c>
      <c r="J188" t="s">
        <v>6</v>
      </c>
      <c r="K188" t="s">
        <v>775</v>
      </c>
      <c r="L188">
        <v>1191</v>
      </c>
      <c r="N188">
        <v>1013</v>
      </c>
      <c r="O188" t="s">
        <v>773</v>
      </c>
      <c r="P188" t="s">
        <v>773</v>
      </c>
      <c r="Q188">
        <v>1</v>
      </c>
      <c r="W188">
        <v>0</v>
      </c>
      <c r="X188">
        <v>-1417349443</v>
      </c>
      <c r="Y188">
        <v>0.13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6.71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0.13</v>
      </c>
      <c r="AU188" t="s">
        <v>6</v>
      </c>
      <c r="AV188">
        <v>2</v>
      </c>
      <c r="AW188">
        <v>2</v>
      </c>
      <c r="AX188">
        <v>16813347</v>
      </c>
      <c r="AY188">
        <v>1</v>
      </c>
      <c r="AZ188">
        <v>0</v>
      </c>
      <c r="BA188">
        <v>182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Y188*Source!I102</f>
        <v>1.43E-2</v>
      </c>
      <c r="CY188">
        <f>AD188</f>
        <v>0</v>
      </c>
      <c r="CZ188">
        <f>AH188</f>
        <v>0</v>
      </c>
      <c r="DA188">
        <f>AL188</f>
        <v>1</v>
      </c>
      <c r="DB188">
        <f t="shared" si="25"/>
        <v>0</v>
      </c>
      <c r="DC188">
        <f t="shared" si="26"/>
        <v>0</v>
      </c>
    </row>
    <row r="189" spans="1:107" x14ac:dyDescent="0.2">
      <c r="A189">
        <f>ROW(Source!A102)</f>
        <v>102</v>
      </c>
      <c r="B189">
        <v>16812721</v>
      </c>
      <c r="C189">
        <v>16813332</v>
      </c>
      <c r="D189">
        <v>15249073</v>
      </c>
      <c r="E189">
        <v>1</v>
      </c>
      <c r="F189">
        <v>1</v>
      </c>
      <c r="G189">
        <v>1</v>
      </c>
      <c r="H189">
        <v>2</v>
      </c>
      <c r="I189" t="s">
        <v>782</v>
      </c>
      <c r="J189" t="s">
        <v>783</v>
      </c>
      <c r="K189" t="s">
        <v>784</v>
      </c>
      <c r="L189">
        <v>1368</v>
      </c>
      <c r="N189">
        <v>1011</v>
      </c>
      <c r="O189" t="s">
        <v>779</v>
      </c>
      <c r="P189" t="s">
        <v>779</v>
      </c>
      <c r="Q189">
        <v>1</v>
      </c>
      <c r="W189">
        <v>0</v>
      </c>
      <c r="X189">
        <v>1372534845</v>
      </c>
      <c r="Y189">
        <v>0.13</v>
      </c>
      <c r="AA189">
        <v>0</v>
      </c>
      <c r="AB189">
        <v>440.91</v>
      </c>
      <c r="AC189">
        <v>11.6</v>
      </c>
      <c r="AD189">
        <v>0</v>
      </c>
      <c r="AE189">
        <v>0</v>
      </c>
      <c r="AF189">
        <v>65.709999999999994</v>
      </c>
      <c r="AG189">
        <v>11.6</v>
      </c>
      <c r="AH189">
        <v>0</v>
      </c>
      <c r="AI189">
        <v>1</v>
      </c>
      <c r="AJ189">
        <v>6.71</v>
      </c>
      <c r="AK189">
        <v>1</v>
      </c>
      <c r="AL189">
        <v>1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6</v>
      </c>
      <c r="AT189">
        <v>0.13</v>
      </c>
      <c r="AU189" t="s">
        <v>6</v>
      </c>
      <c r="AV189">
        <v>0</v>
      </c>
      <c r="AW189">
        <v>2</v>
      </c>
      <c r="AX189">
        <v>16813348</v>
      </c>
      <c r="AY189">
        <v>1</v>
      </c>
      <c r="AZ189">
        <v>0</v>
      </c>
      <c r="BA189">
        <v>183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Y189*Source!I102</f>
        <v>1.43E-2</v>
      </c>
      <c r="CY189">
        <f>AB189</f>
        <v>440.91</v>
      </c>
      <c r="CZ189">
        <f>AF189</f>
        <v>65.709999999999994</v>
      </c>
      <c r="DA189">
        <f>AJ189</f>
        <v>6.71</v>
      </c>
      <c r="DB189">
        <f t="shared" si="25"/>
        <v>8.5399999999999991</v>
      </c>
      <c r="DC189">
        <f t="shared" si="26"/>
        <v>1.51</v>
      </c>
    </row>
    <row r="190" spans="1:107" x14ac:dyDescent="0.2">
      <c r="A190">
        <f>ROW(Source!A102)</f>
        <v>102</v>
      </c>
      <c r="B190">
        <v>16812721</v>
      </c>
      <c r="C190">
        <v>16813332</v>
      </c>
      <c r="D190">
        <v>15165390</v>
      </c>
      <c r="E190">
        <v>1</v>
      </c>
      <c r="F190">
        <v>1</v>
      </c>
      <c r="G190">
        <v>1</v>
      </c>
      <c r="H190">
        <v>3</v>
      </c>
      <c r="I190" t="s">
        <v>937</v>
      </c>
      <c r="J190" t="s">
        <v>938</v>
      </c>
      <c r="K190" t="s">
        <v>939</v>
      </c>
      <c r="L190">
        <v>1348</v>
      </c>
      <c r="N190">
        <v>1009</v>
      </c>
      <c r="O190" t="s">
        <v>145</v>
      </c>
      <c r="P190" t="s">
        <v>145</v>
      </c>
      <c r="Q190">
        <v>1000</v>
      </c>
      <c r="W190">
        <v>0</v>
      </c>
      <c r="X190">
        <v>-967072784</v>
      </c>
      <c r="Y190">
        <v>2E-3</v>
      </c>
      <c r="AA190">
        <v>22746.9</v>
      </c>
      <c r="AB190">
        <v>0</v>
      </c>
      <c r="AC190">
        <v>0</v>
      </c>
      <c r="AD190">
        <v>0</v>
      </c>
      <c r="AE190">
        <v>3390</v>
      </c>
      <c r="AF190">
        <v>0</v>
      </c>
      <c r="AG190">
        <v>0</v>
      </c>
      <c r="AH190">
        <v>0</v>
      </c>
      <c r="AI190">
        <v>6.71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0</v>
      </c>
      <c r="AQ190">
        <v>0</v>
      </c>
      <c r="AR190">
        <v>0</v>
      </c>
      <c r="AS190" t="s">
        <v>6</v>
      </c>
      <c r="AT190">
        <v>2E-3</v>
      </c>
      <c r="AU190" t="s">
        <v>6</v>
      </c>
      <c r="AV190">
        <v>0</v>
      </c>
      <c r="AW190">
        <v>2</v>
      </c>
      <c r="AX190">
        <v>16813349</v>
      </c>
      <c r="AY190">
        <v>1</v>
      </c>
      <c r="AZ190">
        <v>0</v>
      </c>
      <c r="BA190">
        <v>184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Y190*Source!I102</f>
        <v>2.2000000000000001E-4</v>
      </c>
      <c r="CY190">
        <f t="shared" ref="CY190:CY199" si="27">AA190</f>
        <v>22746.9</v>
      </c>
      <c r="CZ190">
        <f t="shared" ref="CZ190:CZ199" si="28">AE190</f>
        <v>3390</v>
      </c>
      <c r="DA190">
        <f t="shared" ref="DA190:DA199" si="29">AI190</f>
        <v>6.71</v>
      </c>
      <c r="DB190">
        <f t="shared" si="25"/>
        <v>6.78</v>
      </c>
      <c r="DC190">
        <f t="shared" si="26"/>
        <v>0</v>
      </c>
    </row>
    <row r="191" spans="1:107" x14ac:dyDescent="0.2">
      <c r="A191">
        <f>ROW(Source!A102)</f>
        <v>102</v>
      </c>
      <c r="B191">
        <v>16812721</v>
      </c>
      <c r="C191">
        <v>16813332</v>
      </c>
      <c r="D191">
        <v>15167286</v>
      </c>
      <c r="E191">
        <v>1</v>
      </c>
      <c r="F191">
        <v>1</v>
      </c>
      <c r="G191">
        <v>1</v>
      </c>
      <c r="H191">
        <v>3</v>
      </c>
      <c r="I191" t="s">
        <v>801</v>
      </c>
      <c r="J191" t="s">
        <v>802</v>
      </c>
      <c r="K191" t="s">
        <v>803</v>
      </c>
      <c r="L191">
        <v>1339</v>
      </c>
      <c r="N191">
        <v>1007</v>
      </c>
      <c r="O191" t="s">
        <v>141</v>
      </c>
      <c r="P191" t="s">
        <v>141</v>
      </c>
      <c r="Q191">
        <v>1</v>
      </c>
      <c r="W191">
        <v>0</v>
      </c>
      <c r="X191">
        <v>-1660354250</v>
      </c>
      <c r="Y191">
        <v>0.17</v>
      </c>
      <c r="AA191">
        <v>16.37</v>
      </c>
      <c r="AB191">
        <v>0</v>
      </c>
      <c r="AC191">
        <v>0</v>
      </c>
      <c r="AD191">
        <v>0</v>
      </c>
      <c r="AE191">
        <v>2.44</v>
      </c>
      <c r="AF191">
        <v>0</v>
      </c>
      <c r="AG191">
        <v>0</v>
      </c>
      <c r="AH191">
        <v>0</v>
      </c>
      <c r="AI191">
        <v>6.71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6</v>
      </c>
      <c r="AT191">
        <v>0.17</v>
      </c>
      <c r="AU191" t="s">
        <v>6</v>
      </c>
      <c r="AV191">
        <v>0</v>
      </c>
      <c r="AW191">
        <v>2</v>
      </c>
      <c r="AX191">
        <v>16813350</v>
      </c>
      <c r="AY191">
        <v>1</v>
      </c>
      <c r="AZ191">
        <v>0</v>
      </c>
      <c r="BA191">
        <v>185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Y191*Source!I102</f>
        <v>1.8700000000000001E-2</v>
      </c>
      <c r="CY191">
        <f t="shared" si="27"/>
        <v>16.37</v>
      </c>
      <c r="CZ191">
        <f t="shared" si="28"/>
        <v>2.44</v>
      </c>
      <c r="DA191">
        <f t="shared" si="29"/>
        <v>6.71</v>
      </c>
      <c r="DB191">
        <f t="shared" si="25"/>
        <v>0.41</v>
      </c>
      <c r="DC191">
        <f t="shared" si="26"/>
        <v>0</v>
      </c>
    </row>
    <row r="192" spans="1:107" x14ac:dyDescent="0.2">
      <c r="A192">
        <f>ROW(Source!A102)</f>
        <v>102</v>
      </c>
      <c r="B192">
        <v>16812721</v>
      </c>
      <c r="C192">
        <v>16813332</v>
      </c>
      <c r="D192">
        <v>15164566</v>
      </c>
      <c r="E192">
        <v>17</v>
      </c>
      <c r="F192">
        <v>1</v>
      </c>
      <c r="G192">
        <v>1</v>
      </c>
      <c r="H192">
        <v>3</v>
      </c>
      <c r="I192" t="s">
        <v>338</v>
      </c>
      <c r="J192" t="s">
        <v>6</v>
      </c>
      <c r="K192" t="s">
        <v>339</v>
      </c>
      <c r="L192">
        <v>1348</v>
      </c>
      <c r="N192">
        <v>1009</v>
      </c>
      <c r="O192" t="s">
        <v>145</v>
      </c>
      <c r="P192" t="s">
        <v>145</v>
      </c>
      <c r="Q192">
        <v>1000</v>
      </c>
      <c r="W192">
        <v>0</v>
      </c>
      <c r="X192">
        <v>-179832266</v>
      </c>
      <c r="Y192">
        <v>0.59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6.71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6</v>
      </c>
      <c r="AT192">
        <v>0.59</v>
      </c>
      <c r="AU192" t="s">
        <v>6</v>
      </c>
      <c r="AV192">
        <v>0</v>
      </c>
      <c r="AW192">
        <v>2</v>
      </c>
      <c r="AX192">
        <v>16813351</v>
      </c>
      <c r="AY192">
        <v>1</v>
      </c>
      <c r="AZ192">
        <v>0</v>
      </c>
      <c r="BA192">
        <v>186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Y192*Source!I102</f>
        <v>6.4899999999999999E-2</v>
      </c>
      <c r="CY192">
        <f t="shared" si="27"/>
        <v>0</v>
      </c>
      <c r="CZ192">
        <f t="shared" si="28"/>
        <v>0</v>
      </c>
      <c r="DA192">
        <f t="shared" si="29"/>
        <v>6.71</v>
      </c>
      <c r="DB192">
        <f t="shared" si="25"/>
        <v>0</v>
      </c>
      <c r="DC192">
        <f t="shared" si="26"/>
        <v>0</v>
      </c>
    </row>
    <row r="193" spans="1:107" x14ac:dyDescent="0.2">
      <c r="A193">
        <f>ROW(Source!A102)</f>
        <v>102</v>
      </c>
      <c r="B193">
        <v>16812721</v>
      </c>
      <c r="C193">
        <v>16813332</v>
      </c>
      <c r="D193">
        <v>15170039</v>
      </c>
      <c r="E193">
        <v>1</v>
      </c>
      <c r="F193">
        <v>1</v>
      </c>
      <c r="G193">
        <v>1</v>
      </c>
      <c r="H193">
        <v>3</v>
      </c>
      <c r="I193" t="s">
        <v>843</v>
      </c>
      <c r="J193" t="s">
        <v>844</v>
      </c>
      <c r="K193" t="s">
        <v>845</v>
      </c>
      <c r="L193">
        <v>1348</v>
      </c>
      <c r="N193">
        <v>1009</v>
      </c>
      <c r="O193" t="s">
        <v>145</v>
      </c>
      <c r="P193" t="s">
        <v>145</v>
      </c>
      <c r="Q193">
        <v>1000</v>
      </c>
      <c r="W193">
        <v>0</v>
      </c>
      <c r="X193">
        <v>1174701286</v>
      </c>
      <c r="Y193">
        <v>4.0000000000000001E-3</v>
      </c>
      <c r="AA193">
        <v>80372.38</v>
      </c>
      <c r="AB193">
        <v>0</v>
      </c>
      <c r="AC193">
        <v>0</v>
      </c>
      <c r="AD193">
        <v>0</v>
      </c>
      <c r="AE193">
        <v>11978</v>
      </c>
      <c r="AF193">
        <v>0</v>
      </c>
      <c r="AG193">
        <v>0</v>
      </c>
      <c r="AH193">
        <v>0</v>
      </c>
      <c r="AI193">
        <v>6.71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4.0000000000000001E-3</v>
      </c>
      <c r="AU193" t="s">
        <v>6</v>
      </c>
      <c r="AV193">
        <v>0</v>
      </c>
      <c r="AW193">
        <v>2</v>
      </c>
      <c r="AX193">
        <v>16813352</v>
      </c>
      <c r="AY193">
        <v>1</v>
      </c>
      <c r="AZ193">
        <v>0</v>
      </c>
      <c r="BA193">
        <v>187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Y193*Source!I102</f>
        <v>4.4000000000000002E-4</v>
      </c>
      <c r="CY193">
        <f t="shared" si="27"/>
        <v>80372.38</v>
      </c>
      <c r="CZ193">
        <f t="shared" si="28"/>
        <v>11978</v>
      </c>
      <c r="DA193">
        <f t="shared" si="29"/>
        <v>6.71</v>
      </c>
      <c r="DB193">
        <f t="shared" si="25"/>
        <v>47.91</v>
      </c>
      <c r="DC193">
        <f t="shared" si="26"/>
        <v>0</v>
      </c>
    </row>
    <row r="194" spans="1:107" x14ac:dyDescent="0.2">
      <c r="A194">
        <f>ROW(Source!A102)</f>
        <v>102</v>
      </c>
      <c r="B194">
        <v>16812721</v>
      </c>
      <c r="C194">
        <v>16813332</v>
      </c>
      <c r="D194">
        <v>15170437</v>
      </c>
      <c r="E194">
        <v>1</v>
      </c>
      <c r="F194">
        <v>1</v>
      </c>
      <c r="G194">
        <v>1</v>
      </c>
      <c r="H194">
        <v>3</v>
      </c>
      <c r="I194" t="s">
        <v>940</v>
      </c>
      <c r="J194" t="s">
        <v>941</v>
      </c>
      <c r="K194" t="s">
        <v>942</v>
      </c>
      <c r="L194">
        <v>1348</v>
      </c>
      <c r="N194">
        <v>1009</v>
      </c>
      <c r="O194" t="s">
        <v>145</v>
      </c>
      <c r="P194" t="s">
        <v>145</v>
      </c>
      <c r="Q194">
        <v>1000</v>
      </c>
      <c r="W194">
        <v>0</v>
      </c>
      <c r="X194">
        <v>2128740752</v>
      </c>
      <c r="Y194">
        <v>2.2399999999999998E-3</v>
      </c>
      <c r="AA194">
        <v>113895.54</v>
      </c>
      <c r="AB194">
        <v>0</v>
      </c>
      <c r="AC194">
        <v>0</v>
      </c>
      <c r="AD194">
        <v>0</v>
      </c>
      <c r="AE194">
        <v>16974</v>
      </c>
      <c r="AF194">
        <v>0</v>
      </c>
      <c r="AG194">
        <v>0</v>
      </c>
      <c r="AH194">
        <v>0</v>
      </c>
      <c r="AI194">
        <v>6.71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2.2399999999999998E-3</v>
      </c>
      <c r="AU194" t="s">
        <v>6</v>
      </c>
      <c r="AV194">
        <v>0</v>
      </c>
      <c r="AW194">
        <v>2</v>
      </c>
      <c r="AX194">
        <v>16813353</v>
      </c>
      <c r="AY194">
        <v>1</v>
      </c>
      <c r="AZ194">
        <v>0</v>
      </c>
      <c r="BA194">
        <v>188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Y194*Source!I102</f>
        <v>2.4639999999999997E-4</v>
      </c>
      <c r="CY194">
        <f t="shared" si="27"/>
        <v>113895.54</v>
      </c>
      <c r="CZ194">
        <f t="shared" si="28"/>
        <v>16974</v>
      </c>
      <c r="DA194">
        <f t="shared" si="29"/>
        <v>6.71</v>
      </c>
      <c r="DB194">
        <f t="shared" si="25"/>
        <v>38.020000000000003</v>
      </c>
      <c r="DC194">
        <f t="shared" si="26"/>
        <v>0</v>
      </c>
    </row>
    <row r="195" spans="1:107" x14ac:dyDescent="0.2">
      <c r="A195">
        <f>ROW(Source!A102)</f>
        <v>102</v>
      </c>
      <c r="B195">
        <v>16812721</v>
      </c>
      <c r="C195">
        <v>16813332</v>
      </c>
      <c r="D195">
        <v>15171982</v>
      </c>
      <c r="E195">
        <v>1</v>
      </c>
      <c r="F195">
        <v>1</v>
      </c>
      <c r="G195">
        <v>1</v>
      </c>
      <c r="H195">
        <v>3</v>
      </c>
      <c r="I195" t="s">
        <v>804</v>
      </c>
      <c r="J195" t="s">
        <v>805</v>
      </c>
      <c r="K195" t="s">
        <v>806</v>
      </c>
      <c r="L195">
        <v>1348</v>
      </c>
      <c r="N195">
        <v>1009</v>
      </c>
      <c r="O195" t="s">
        <v>145</v>
      </c>
      <c r="P195" t="s">
        <v>145</v>
      </c>
      <c r="Q195">
        <v>1000</v>
      </c>
      <c r="W195">
        <v>0</v>
      </c>
      <c r="X195">
        <v>-1421715385</v>
      </c>
      <c r="Y195">
        <v>0.16500000000000001</v>
      </c>
      <c r="AA195">
        <v>4898.17</v>
      </c>
      <c r="AB195">
        <v>0</v>
      </c>
      <c r="AC195">
        <v>0</v>
      </c>
      <c r="AD195">
        <v>0</v>
      </c>
      <c r="AE195">
        <v>729.98</v>
      </c>
      <c r="AF195">
        <v>0</v>
      </c>
      <c r="AG195">
        <v>0</v>
      </c>
      <c r="AH195">
        <v>0</v>
      </c>
      <c r="AI195">
        <v>6.71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0</v>
      </c>
      <c r="AQ195">
        <v>0</v>
      </c>
      <c r="AR195">
        <v>0</v>
      </c>
      <c r="AS195" t="s">
        <v>6</v>
      </c>
      <c r="AT195">
        <v>0.16500000000000001</v>
      </c>
      <c r="AU195" t="s">
        <v>6</v>
      </c>
      <c r="AV195">
        <v>0</v>
      </c>
      <c r="AW195">
        <v>2</v>
      </c>
      <c r="AX195">
        <v>16813354</v>
      </c>
      <c r="AY195">
        <v>1</v>
      </c>
      <c r="AZ195">
        <v>0</v>
      </c>
      <c r="BA195">
        <v>189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Y195*Source!I102</f>
        <v>1.8149999999999999E-2</v>
      </c>
      <c r="CY195">
        <f t="shared" si="27"/>
        <v>4898.17</v>
      </c>
      <c r="CZ195">
        <f t="shared" si="28"/>
        <v>729.98</v>
      </c>
      <c r="DA195">
        <f t="shared" si="29"/>
        <v>6.71</v>
      </c>
      <c r="DB195">
        <f t="shared" si="25"/>
        <v>120.45</v>
      </c>
      <c r="DC195">
        <f t="shared" si="26"/>
        <v>0</v>
      </c>
    </row>
    <row r="196" spans="1:107" x14ac:dyDescent="0.2">
      <c r="A196">
        <f>ROW(Source!A102)</f>
        <v>102</v>
      </c>
      <c r="B196">
        <v>16812721</v>
      </c>
      <c r="C196">
        <v>16813332</v>
      </c>
      <c r="D196">
        <v>15195805</v>
      </c>
      <c r="E196">
        <v>1</v>
      </c>
      <c r="F196">
        <v>1</v>
      </c>
      <c r="G196">
        <v>1</v>
      </c>
      <c r="H196">
        <v>3</v>
      </c>
      <c r="I196" t="s">
        <v>943</v>
      </c>
      <c r="J196" t="s">
        <v>944</v>
      </c>
      <c r="K196" t="s">
        <v>945</v>
      </c>
      <c r="L196">
        <v>1339</v>
      </c>
      <c r="N196">
        <v>1007</v>
      </c>
      <c r="O196" t="s">
        <v>141</v>
      </c>
      <c r="P196" t="s">
        <v>141</v>
      </c>
      <c r="Q196">
        <v>1</v>
      </c>
      <c r="W196">
        <v>0</v>
      </c>
      <c r="X196">
        <v>364481419</v>
      </c>
      <c r="Y196">
        <v>0.54</v>
      </c>
      <c r="AA196">
        <v>9636.9</v>
      </c>
      <c r="AB196">
        <v>0</v>
      </c>
      <c r="AC196">
        <v>0</v>
      </c>
      <c r="AD196">
        <v>0</v>
      </c>
      <c r="AE196">
        <v>1436.2</v>
      </c>
      <c r="AF196">
        <v>0</v>
      </c>
      <c r="AG196">
        <v>0</v>
      </c>
      <c r="AH196">
        <v>0</v>
      </c>
      <c r="AI196">
        <v>6.71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0.54</v>
      </c>
      <c r="AU196" t="s">
        <v>6</v>
      </c>
      <c r="AV196">
        <v>0</v>
      </c>
      <c r="AW196">
        <v>2</v>
      </c>
      <c r="AX196">
        <v>16813355</v>
      </c>
      <c r="AY196">
        <v>1</v>
      </c>
      <c r="AZ196">
        <v>0</v>
      </c>
      <c r="BA196">
        <v>190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Y196*Source!I102</f>
        <v>5.9400000000000001E-2</v>
      </c>
      <c r="CY196">
        <f t="shared" si="27"/>
        <v>9636.9</v>
      </c>
      <c r="CZ196">
        <f t="shared" si="28"/>
        <v>1436.2</v>
      </c>
      <c r="DA196">
        <f t="shared" si="29"/>
        <v>6.71</v>
      </c>
      <c r="DB196">
        <f t="shared" si="25"/>
        <v>775.55</v>
      </c>
      <c r="DC196">
        <f t="shared" si="26"/>
        <v>0</v>
      </c>
    </row>
    <row r="197" spans="1:107" x14ac:dyDescent="0.2">
      <c r="A197">
        <f>ROW(Source!A102)</f>
        <v>102</v>
      </c>
      <c r="B197">
        <v>16812721</v>
      </c>
      <c r="C197">
        <v>16813332</v>
      </c>
      <c r="D197">
        <v>15198455</v>
      </c>
      <c r="E197">
        <v>1</v>
      </c>
      <c r="F197">
        <v>1</v>
      </c>
      <c r="G197">
        <v>1</v>
      </c>
      <c r="H197">
        <v>3</v>
      </c>
      <c r="I197" t="s">
        <v>946</v>
      </c>
      <c r="J197" t="s">
        <v>947</v>
      </c>
      <c r="K197" t="s">
        <v>948</v>
      </c>
      <c r="L197">
        <v>1327</v>
      </c>
      <c r="N197">
        <v>1005</v>
      </c>
      <c r="O197" t="s">
        <v>28</v>
      </c>
      <c r="P197" t="s">
        <v>28</v>
      </c>
      <c r="Q197">
        <v>1</v>
      </c>
      <c r="W197">
        <v>0</v>
      </c>
      <c r="X197">
        <v>-1963914880</v>
      </c>
      <c r="Y197">
        <v>31.3</v>
      </c>
      <c r="AA197">
        <v>38.31</v>
      </c>
      <c r="AB197">
        <v>0</v>
      </c>
      <c r="AC197">
        <v>0</v>
      </c>
      <c r="AD197">
        <v>0</v>
      </c>
      <c r="AE197">
        <v>5.71</v>
      </c>
      <c r="AF197">
        <v>0</v>
      </c>
      <c r="AG197">
        <v>0</v>
      </c>
      <c r="AH197">
        <v>0</v>
      </c>
      <c r="AI197">
        <v>6.71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6</v>
      </c>
      <c r="AT197">
        <v>31.3</v>
      </c>
      <c r="AU197" t="s">
        <v>6</v>
      </c>
      <c r="AV197">
        <v>0</v>
      </c>
      <c r="AW197">
        <v>2</v>
      </c>
      <c r="AX197">
        <v>16813356</v>
      </c>
      <c r="AY197">
        <v>1</v>
      </c>
      <c r="AZ197">
        <v>0</v>
      </c>
      <c r="BA197">
        <v>191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Y197*Source!I102</f>
        <v>3.4430000000000001</v>
      </c>
      <c r="CY197">
        <f t="shared" si="27"/>
        <v>38.31</v>
      </c>
      <c r="CZ197">
        <f t="shared" si="28"/>
        <v>5.71</v>
      </c>
      <c r="DA197">
        <f t="shared" si="29"/>
        <v>6.71</v>
      </c>
      <c r="DB197">
        <f t="shared" si="25"/>
        <v>178.72</v>
      </c>
      <c r="DC197">
        <f t="shared" si="26"/>
        <v>0</v>
      </c>
    </row>
    <row r="198" spans="1:107" x14ac:dyDescent="0.2">
      <c r="A198">
        <f>ROW(Source!A102)</f>
        <v>102</v>
      </c>
      <c r="B198">
        <v>16812721</v>
      </c>
      <c r="C198">
        <v>16813332</v>
      </c>
      <c r="D198">
        <v>15202436</v>
      </c>
      <c r="E198">
        <v>1</v>
      </c>
      <c r="F198">
        <v>1</v>
      </c>
      <c r="G198">
        <v>1</v>
      </c>
      <c r="H198">
        <v>3</v>
      </c>
      <c r="I198" t="s">
        <v>949</v>
      </c>
      <c r="J198" t="s">
        <v>950</v>
      </c>
      <c r="K198" t="s">
        <v>951</v>
      </c>
      <c r="L198">
        <v>1346</v>
      </c>
      <c r="N198">
        <v>1009</v>
      </c>
      <c r="O198" t="s">
        <v>277</v>
      </c>
      <c r="P198" t="s">
        <v>277</v>
      </c>
      <c r="Q198">
        <v>1</v>
      </c>
      <c r="W198">
        <v>0</v>
      </c>
      <c r="X198">
        <v>1306523394</v>
      </c>
      <c r="Y198">
        <v>0.2</v>
      </c>
      <c r="AA198">
        <v>113.73</v>
      </c>
      <c r="AB198">
        <v>0</v>
      </c>
      <c r="AC198">
        <v>0</v>
      </c>
      <c r="AD198">
        <v>0</v>
      </c>
      <c r="AE198">
        <v>16.95</v>
      </c>
      <c r="AF198">
        <v>0</v>
      </c>
      <c r="AG198">
        <v>0</v>
      </c>
      <c r="AH198">
        <v>0</v>
      </c>
      <c r="AI198">
        <v>6.71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6</v>
      </c>
      <c r="AT198">
        <v>0.2</v>
      </c>
      <c r="AU198" t="s">
        <v>6</v>
      </c>
      <c r="AV198">
        <v>0</v>
      </c>
      <c r="AW198">
        <v>2</v>
      </c>
      <c r="AX198">
        <v>16813357</v>
      </c>
      <c r="AY198">
        <v>1</v>
      </c>
      <c r="AZ198">
        <v>0</v>
      </c>
      <c r="BA198">
        <v>192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Y198*Source!I102</f>
        <v>2.2000000000000002E-2</v>
      </c>
      <c r="CY198">
        <f t="shared" si="27"/>
        <v>113.73</v>
      </c>
      <c r="CZ198">
        <f t="shared" si="28"/>
        <v>16.95</v>
      </c>
      <c r="DA198">
        <f t="shared" si="29"/>
        <v>6.71</v>
      </c>
      <c r="DB198">
        <f t="shared" si="25"/>
        <v>3.39</v>
      </c>
      <c r="DC198">
        <f t="shared" si="26"/>
        <v>0</v>
      </c>
    </row>
    <row r="199" spans="1:107" x14ac:dyDescent="0.2">
      <c r="A199">
        <f>ROW(Source!A102)</f>
        <v>102</v>
      </c>
      <c r="B199">
        <v>16812721</v>
      </c>
      <c r="C199">
        <v>16813332</v>
      </c>
      <c r="D199">
        <v>15204315</v>
      </c>
      <c r="E199">
        <v>1</v>
      </c>
      <c r="F199">
        <v>1</v>
      </c>
      <c r="G199">
        <v>1</v>
      </c>
      <c r="H199">
        <v>3</v>
      </c>
      <c r="I199" t="s">
        <v>852</v>
      </c>
      <c r="J199" t="s">
        <v>853</v>
      </c>
      <c r="K199" t="s">
        <v>854</v>
      </c>
      <c r="L199">
        <v>1296</v>
      </c>
      <c r="N199">
        <v>1002</v>
      </c>
      <c r="O199" t="s">
        <v>855</v>
      </c>
      <c r="P199" t="s">
        <v>855</v>
      </c>
      <c r="Q199">
        <v>1</v>
      </c>
      <c r="W199">
        <v>0</v>
      </c>
      <c r="X199">
        <v>-2122226716</v>
      </c>
      <c r="Y199">
        <v>13.89</v>
      </c>
      <c r="AA199">
        <v>314.43</v>
      </c>
      <c r="AB199">
        <v>0</v>
      </c>
      <c r="AC199">
        <v>0</v>
      </c>
      <c r="AD199">
        <v>0</v>
      </c>
      <c r="AE199">
        <v>46.86</v>
      </c>
      <c r="AF199">
        <v>0</v>
      </c>
      <c r="AG199">
        <v>0</v>
      </c>
      <c r="AH199">
        <v>0</v>
      </c>
      <c r="AI199">
        <v>6.71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6</v>
      </c>
      <c r="AT199">
        <v>13.89</v>
      </c>
      <c r="AU199" t="s">
        <v>6</v>
      </c>
      <c r="AV199">
        <v>0</v>
      </c>
      <c r="AW199">
        <v>2</v>
      </c>
      <c r="AX199">
        <v>16813358</v>
      </c>
      <c r="AY199">
        <v>1</v>
      </c>
      <c r="AZ199">
        <v>0</v>
      </c>
      <c r="BA199">
        <v>193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Y199*Source!I102</f>
        <v>1.5279</v>
      </c>
      <c r="CY199">
        <f t="shared" si="27"/>
        <v>314.43</v>
      </c>
      <c r="CZ199">
        <f t="shared" si="28"/>
        <v>46.86</v>
      </c>
      <c r="DA199">
        <f t="shared" si="29"/>
        <v>6.71</v>
      </c>
      <c r="DB199">
        <f t="shared" si="25"/>
        <v>650.89</v>
      </c>
      <c r="DC199">
        <f t="shared" si="26"/>
        <v>0</v>
      </c>
    </row>
    <row r="200" spans="1:107" x14ac:dyDescent="0.2">
      <c r="A200">
        <f>ROW(Source!A104)</f>
        <v>104</v>
      </c>
      <c r="B200">
        <v>16812721</v>
      </c>
      <c r="C200">
        <v>16813360</v>
      </c>
      <c r="D200">
        <v>15433629</v>
      </c>
      <c r="E200">
        <v>1</v>
      </c>
      <c r="F200">
        <v>1</v>
      </c>
      <c r="G200">
        <v>1</v>
      </c>
      <c r="H200">
        <v>1</v>
      </c>
      <c r="I200" t="s">
        <v>952</v>
      </c>
      <c r="J200" t="s">
        <v>6</v>
      </c>
      <c r="K200" t="s">
        <v>953</v>
      </c>
      <c r="L200">
        <v>1191</v>
      </c>
      <c r="N200">
        <v>1013</v>
      </c>
      <c r="O200" t="s">
        <v>773</v>
      </c>
      <c r="P200" t="s">
        <v>773</v>
      </c>
      <c r="Q200">
        <v>1</v>
      </c>
      <c r="W200">
        <v>0</v>
      </c>
      <c r="X200">
        <v>-576067263</v>
      </c>
      <c r="Y200">
        <v>1.03</v>
      </c>
      <c r="AA200">
        <v>0</v>
      </c>
      <c r="AB200">
        <v>0</v>
      </c>
      <c r="AC200">
        <v>0</v>
      </c>
      <c r="AD200">
        <v>48.24</v>
      </c>
      <c r="AE200">
        <v>0</v>
      </c>
      <c r="AF200">
        <v>0</v>
      </c>
      <c r="AG200">
        <v>0</v>
      </c>
      <c r="AH200">
        <v>7.19</v>
      </c>
      <c r="AI200">
        <v>1</v>
      </c>
      <c r="AJ200">
        <v>1</v>
      </c>
      <c r="AK200">
        <v>1</v>
      </c>
      <c r="AL200">
        <v>6.71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1.03</v>
      </c>
      <c r="AU200" t="s">
        <v>6</v>
      </c>
      <c r="AV200">
        <v>1</v>
      </c>
      <c r="AW200">
        <v>2</v>
      </c>
      <c r="AX200">
        <v>16813363</v>
      </c>
      <c r="AY200">
        <v>1</v>
      </c>
      <c r="AZ200">
        <v>0</v>
      </c>
      <c r="BA200">
        <v>194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Y200*Source!I104</f>
        <v>12.875</v>
      </c>
      <c r="CY200">
        <f>AD200</f>
        <v>48.24</v>
      </c>
      <c r="CZ200">
        <f>AH200</f>
        <v>7.19</v>
      </c>
      <c r="DA200">
        <f>AL200</f>
        <v>6.71</v>
      </c>
      <c r="DB200">
        <f t="shared" si="25"/>
        <v>7.41</v>
      </c>
      <c r="DC200">
        <f t="shared" si="26"/>
        <v>0</v>
      </c>
    </row>
    <row r="201" spans="1:107" x14ac:dyDescent="0.2">
      <c r="A201">
        <f>ROW(Source!A104)</f>
        <v>104</v>
      </c>
      <c r="B201">
        <v>16812721</v>
      </c>
      <c r="C201">
        <v>16813360</v>
      </c>
      <c r="D201">
        <v>15170984</v>
      </c>
      <c r="E201">
        <v>1</v>
      </c>
      <c r="F201">
        <v>1</v>
      </c>
      <c r="G201">
        <v>1</v>
      </c>
      <c r="H201">
        <v>3</v>
      </c>
      <c r="I201" t="s">
        <v>954</v>
      </c>
      <c r="J201" t="s">
        <v>955</v>
      </c>
      <c r="K201" t="s">
        <v>956</v>
      </c>
      <c r="L201">
        <v>1355</v>
      </c>
      <c r="N201">
        <v>1010</v>
      </c>
      <c r="O201" t="s">
        <v>188</v>
      </c>
      <c r="P201" t="s">
        <v>188</v>
      </c>
      <c r="Q201">
        <v>100</v>
      </c>
      <c r="W201">
        <v>0</v>
      </c>
      <c r="X201">
        <v>1092967459</v>
      </c>
      <c r="Y201">
        <v>0.2</v>
      </c>
      <c r="AA201">
        <v>550.22</v>
      </c>
      <c r="AB201">
        <v>0</v>
      </c>
      <c r="AC201">
        <v>0</v>
      </c>
      <c r="AD201">
        <v>0</v>
      </c>
      <c r="AE201">
        <v>82</v>
      </c>
      <c r="AF201">
        <v>0</v>
      </c>
      <c r="AG201">
        <v>0</v>
      </c>
      <c r="AH201">
        <v>0</v>
      </c>
      <c r="AI201">
        <v>6.71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0.2</v>
      </c>
      <c r="AU201" t="s">
        <v>6</v>
      </c>
      <c r="AV201">
        <v>0</v>
      </c>
      <c r="AW201">
        <v>2</v>
      </c>
      <c r="AX201">
        <v>16813364</v>
      </c>
      <c r="AY201">
        <v>1</v>
      </c>
      <c r="AZ201">
        <v>0</v>
      </c>
      <c r="BA201">
        <v>195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Y201*Source!I104</f>
        <v>2.5</v>
      </c>
      <c r="CY201">
        <f>AA201</f>
        <v>550.22</v>
      </c>
      <c r="CZ201">
        <f>AE201</f>
        <v>82</v>
      </c>
      <c r="DA201">
        <f>AI201</f>
        <v>6.71</v>
      </c>
      <c r="DB201">
        <f t="shared" si="25"/>
        <v>16.399999999999999</v>
      </c>
      <c r="DC201">
        <f t="shared" si="26"/>
        <v>0</v>
      </c>
    </row>
    <row r="202" spans="1:107" x14ac:dyDescent="0.2">
      <c r="A202">
        <f>ROW(Source!A141)</f>
        <v>141</v>
      </c>
      <c r="B202">
        <v>16812721</v>
      </c>
      <c r="C202">
        <v>16813367</v>
      </c>
      <c r="D202">
        <v>15431465</v>
      </c>
      <c r="E202">
        <v>1</v>
      </c>
      <c r="F202">
        <v>1</v>
      </c>
      <c r="G202">
        <v>1</v>
      </c>
      <c r="H202">
        <v>1</v>
      </c>
      <c r="I202" t="s">
        <v>957</v>
      </c>
      <c r="J202" t="s">
        <v>6</v>
      </c>
      <c r="K202" t="s">
        <v>958</v>
      </c>
      <c r="L202">
        <v>1191</v>
      </c>
      <c r="N202">
        <v>1013</v>
      </c>
      <c r="O202" t="s">
        <v>773</v>
      </c>
      <c r="P202" t="s">
        <v>773</v>
      </c>
      <c r="Q202">
        <v>1</v>
      </c>
      <c r="W202">
        <v>0</v>
      </c>
      <c r="X202">
        <v>152375061</v>
      </c>
      <c r="Y202">
        <v>110</v>
      </c>
      <c r="AA202">
        <v>0</v>
      </c>
      <c r="AB202">
        <v>0</v>
      </c>
      <c r="AC202">
        <v>0</v>
      </c>
      <c r="AD202">
        <v>52.81</v>
      </c>
      <c r="AE202">
        <v>0</v>
      </c>
      <c r="AF202">
        <v>0</v>
      </c>
      <c r="AG202">
        <v>0</v>
      </c>
      <c r="AH202">
        <v>7.87</v>
      </c>
      <c r="AI202">
        <v>1</v>
      </c>
      <c r="AJ202">
        <v>1</v>
      </c>
      <c r="AK202">
        <v>1</v>
      </c>
      <c r="AL202">
        <v>6.71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110</v>
      </c>
      <c r="AU202" t="s">
        <v>6</v>
      </c>
      <c r="AV202">
        <v>1</v>
      </c>
      <c r="AW202">
        <v>2</v>
      </c>
      <c r="AX202">
        <v>16813371</v>
      </c>
      <c r="AY202">
        <v>1</v>
      </c>
      <c r="AZ202">
        <v>0</v>
      </c>
      <c r="BA202">
        <v>196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Y202*Source!I141</f>
        <v>12.1</v>
      </c>
      <c r="CY202">
        <f>AD202</f>
        <v>52.81</v>
      </c>
      <c r="CZ202">
        <f>AH202</f>
        <v>7.87</v>
      </c>
      <c r="DA202">
        <f>AL202</f>
        <v>6.71</v>
      </c>
      <c r="DB202">
        <f t="shared" si="25"/>
        <v>865.7</v>
      </c>
      <c r="DC202">
        <f t="shared" si="26"/>
        <v>0</v>
      </c>
    </row>
    <row r="203" spans="1:107" x14ac:dyDescent="0.2">
      <c r="A203">
        <f>ROW(Source!A141)</f>
        <v>141</v>
      </c>
      <c r="B203">
        <v>16812721</v>
      </c>
      <c r="C203">
        <v>16813367</v>
      </c>
      <c r="D203">
        <v>15430395</v>
      </c>
      <c r="E203">
        <v>1</v>
      </c>
      <c r="F203">
        <v>1</v>
      </c>
      <c r="G203">
        <v>1</v>
      </c>
      <c r="H203">
        <v>1</v>
      </c>
      <c r="I203" t="s">
        <v>774</v>
      </c>
      <c r="J203" t="s">
        <v>6</v>
      </c>
      <c r="K203" t="s">
        <v>775</v>
      </c>
      <c r="L203">
        <v>1191</v>
      </c>
      <c r="N203">
        <v>1013</v>
      </c>
      <c r="O203" t="s">
        <v>773</v>
      </c>
      <c r="P203" t="s">
        <v>773</v>
      </c>
      <c r="Q203">
        <v>1</v>
      </c>
      <c r="W203">
        <v>0</v>
      </c>
      <c r="X203">
        <v>-1417349443</v>
      </c>
      <c r="Y203">
        <v>2.2400000000000002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6.71</v>
      </c>
      <c r="AL203">
        <v>1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6</v>
      </c>
      <c r="AT203">
        <v>2.2400000000000002</v>
      </c>
      <c r="AU203" t="s">
        <v>6</v>
      </c>
      <c r="AV203">
        <v>2</v>
      </c>
      <c r="AW203">
        <v>2</v>
      </c>
      <c r="AX203">
        <v>16813372</v>
      </c>
      <c r="AY203">
        <v>1</v>
      </c>
      <c r="AZ203">
        <v>0</v>
      </c>
      <c r="BA203">
        <v>197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Y203*Source!I141</f>
        <v>0.24640000000000004</v>
      </c>
      <c r="CY203">
        <f>AD203</f>
        <v>0</v>
      </c>
      <c r="CZ203">
        <f>AH203</f>
        <v>0</v>
      </c>
      <c r="DA203">
        <f>AL203</f>
        <v>1</v>
      </c>
      <c r="DB203">
        <f t="shared" si="25"/>
        <v>0</v>
      </c>
      <c r="DC203">
        <f t="shared" si="26"/>
        <v>0</v>
      </c>
    </row>
    <row r="204" spans="1:107" x14ac:dyDescent="0.2">
      <c r="A204">
        <f>ROW(Source!A141)</f>
        <v>141</v>
      </c>
      <c r="B204">
        <v>16812721</v>
      </c>
      <c r="C204">
        <v>16813367</v>
      </c>
      <c r="D204">
        <v>15247974</v>
      </c>
      <c r="E204">
        <v>1</v>
      </c>
      <c r="F204">
        <v>1</v>
      </c>
      <c r="G204">
        <v>1</v>
      </c>
      <c r="H204">
        <v>2</v>
      </c>
      <c r="I204" t="s">
        <v>776</v>
      </c>
      <c r="J204" t="s">
        <v>777</v>
      </c>
      <c r="K204" t="s">
        <v>778</v>
      </c>
      <c r="L204">
        <v>1368</v>
      </c>
      <c r="N204">
        <v>1011</v>
      </c>
      <c r="O204" t="s">
        <v>779</v>
      </c>
      <c r="P204" t="s">
        <v>779</v>
      </c>
      <c r="Q204">
        <v>1</v>
      </c>
      <c r="W204">
        <v>0</v>
      </c>
      <c r="X204">
        <v>1188625873</v>
      </c>
      <c r="Y204">
        <v>2.2400000000000002</v>
      </c>
      <c r="AA204">
        <v>0</v>
      </c>
      <c r="AB204">
        <v>209.75</v>
      </c>
      <c r="AC204">
        <v>13.5</v>
      </c>
      <c r="AD204">
        <v>0</v>
      </c>
      <c r="AE204">
        <v>0</v>
      </c>
      <c r="AF204">
        <v>31.26</v>
      </c>
      <c r="AG204">
        <v>13.5</v>
      </c>
      <c r="AH204">
        <v>0</v>
      </c>
      <c r="AI204">
        <v>1</v>
      </c>
      <c r="AJ204">
        <v>6.71</v>
      </c>
      <c r="AK204">
        <v>1</v>
      </c>
      <c r="AL204">
        <v>1</v>
      </c>
      <c r="AN204">
        <v>0</v>
      </c>
      <c r="AO204">
        <v>1</v>
      </c>
      <c r="AP204">
        <v>0</v>
      </c>
      <c r="AQ204">
        <v>0</v>
      </c>
      <c r="AR204">
        <v>0</v>
      </c>
      <c r="AS204" t="s">
        <v>6</v>
      </c>
      <c r="AT204">
        <v>2.2400000000000002</v>
      </c>
      <c r="AU204" t="s">
        <v>6</v>
      </c>
      <c r="AV204">
        <v>0</v>
      </c>
      <c r="AW204">
        <v>2</v>
      </c>
      <c r="AX204">
        <v>16813373</v>
      </c>
      <c r="AY204">
        <v>1</v>
      </c>
      <c r="AZ204">
        <v>0</v>
      </c>
      <c r="BA204">
        <v>198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Y204*Source!I141</f>
        <v>0.24640000000000004</v>
      </c>
      <c r="CY204">
        <f>AB204</f>
        <v>209.75</v>
      </c>
      <c r="CZ204">
        <f>AF204</f>
        <v>31.26</v>
      </c>
      <c r="DA204">
        <f>AJ204</f>
        <v>6.71</v>
      </c>
      <c r="DB204">
        <f t="shared" si="25"/>
        <v>70.02</v>
      </c>
      <c r="DC204">
        <f t="shared" si="26"/>
        <v>30.24</v>
      </c>
    </row>
    <row r="205" spans="1:107" x14ac:dyDescent="0.2">
      <c r="A205">
        <f>ROW(Source!A142)</f>
        <v>142</v>
      </c>
      <c r="B205">
        <v>16812721</v>
      </c>
      <c r="C205">
        <v>16813374</v>
      </c>
      <c r="D205">
        <v>15435609</v>
      </c>
      <c r="E205">
        <v>1</v>
      </c>
      <c r="F205">
        <v>1</v>
      </c>
      <c r="G205">
        <v>1</v>
      </c>
      <c r="H205">
        <v>1</v>
      </c>
      <c r="I205" t="s">
        <v>927</v>
      </c>
      <c r="J205" t="s">
        <v>6</v>
      </c>
      <c r="K205" t="s">
        <v>928</v>
      </c>
      <c r="L205">
        <v>1191</v>
      </c>
      <c r="N205">
        <v>1013</v>
      </c>
      <c r="O205" t="s">
        <v>773</v>
      </c>
      <c r="P205" t="s">
        <v>773</v>
      </c>
      <c r="Q205">
        <v>1</v>
      </c>
      <c r="W205">
        <v>0</v>
      </c>
      <c r="X205">
        <v>-814890593</v>
      </c>
      <c r="Y205">
        <v>65.599999999999994</v>
      </c>
      <c r="AA205">
        <v>0</v>
      </c>
      <c r="AB205">
        <v>0</v>
      </c>
      <c r="AC205">
        <v>0</v>
      </c>
      <c r="AD205">
        <v>60.19</v>
      </c>
      <c r="AE205">
        <v>0</v>
      </c>
      <c r="AF205">
        <v>0</v>
      </c>
      <c r="AG205">
        <v>0</v>
      </c>
      <c r="AH205">
        <v>8.9700000000000006</v>
      </c>
      <c r="AI205">
        <v>1</v>
      </c>
      <c r="AJ205">
        <v>1</v>
      </c>
      <c r="AK205">
        <v>1</v>
      </c>
      <c r="AL205">
        <v>6.71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6</v>
      </c>
      <c r="AT205">
        <v>65.599999999999994</v>
      </c>
      <c r="AU205" t="s">
        <v>6</v>
      </c>
      <c r="AV205">
        <v>1</v>
      </c>
      <c r="AW205">
        <v>2</v>
      </c>
      <c r="AX205">
        <v>16813386</v>
      </c>
      <c r="AY205">
        <v>1</v>
      </c>
      <c r="AZ205">
        <v>0</v>
      </c>
      <c r="BA205">
        <v>199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Y205*Source!I142</f>
        <v>15.114239999999999</v>
      </c>
      <c r="CY205">
        <f>AD205</f>
        <v>60.19</v>
      </c>
      <c r="CZ205">
        <f>AH205</f>
        <v>8.9700000000000006</v>
      </c>
      <c r="DA205">
        <f>AL205</f>
        <v>6.71</v>
      </c>
      <c r="DB205">
        <f t="shared" si="25"/>
        <v>588.42999999999995</v>
      </c>
      <c r="DC205">
        <f t="shared" si="26"/>
        <v>0</v>
      </c>
    </row>
    <row r="206" spans="1:107" x14ac:dyDescent="0.2">
      <c r="A206">
        <f>ROW(Source!A142)</f>
        <v>142</v>
      </c>
      <c r="B206">
        <v>16812721</v>
      </c>
      <c r="C206">
        <v>16813374</v>
      </c>
      <c r="D206">
        <v>15430395</v>
      </c>
      <c r="E206">
        <v>1</v>
      </c>
      <c r="F206">
        <v>1</v>
      </c>
      <c r="G206">
        <v>1</v>
      </c>
      <c r="H206">
        <v>1</v>
      </c>
      <c r="I206" t="s">
        <v>774</v>
      </c>
      <c r="J206" t="s">
        <v>6</v>
      </c>
      <c r="K206" t="s">
        <v>775</v>
      </c>
      <c r="L206">
        <v>1191</v>
      </c>
      <c r="N206">
        <v>1013</v>
      </c>
      <c r="O206" t="s">
        <v>773</v>
      </c>
      <c r="P206" t="s">
        <v>773</v>
      </c>
      <c r="Q206">
        <v>1</v>
      </c>
      <c r="W206">
        <v>0</v>
      </c>
      <c r="X206">
        <v>-1417349443</v>
      </c>
      <c r="Y206">
        <v>3.13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6.71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3.13</v>
      </c>
      <c r="AU206" t="s">
        <v>6</v>
      </c>
      <c r="AV206">
        <v>2</v>
      </c>
      <c r="AW206">
        <v>2</v>
      </c>
      <c r="AX206">
        <v>16813387</v>
      </c>
      <c r="AY206">
        <v>1</v>
      </c>
      <c r="AZ206">
        <v>0</v>
      </c>
      <c r="BA206">
        <v>200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Y206*Source!I142</f>
        <v>0.7211519999999999</v>
      </c>
      <c r="CY206">
        <f>AD206</f>
        <v>0</v>
      </c>
      <c r="CZ206">
        <f>AH206</f>
        <v>0</v>
      </c>
      <c r="DA206">
        <f>AL206</f>
        <v>1</v>
      </c>
      <c r="DB206">
        <f t="shared" si="25"/>
        <v>0</v>
      </c>
      <c r="DC206">
        <f t="shared" si="26"/>
        <v>0</v>
      </c>
    </row>
    <row r="207" spans="1:107" x14ac:dyDescent="0.2">
      <c r="A207">
        <f>ROW(Source!A142)</f>
        <v>142</v>
      </c>
      <c r="B207">
        <v>16812721</v>
      </c>
      <c r="C207">
        <v>16813374</v>
      </c>
      <c r="D207">
        <v>15247680</v>
      </c>
      <c r="E207">
        <v>1</v>
      </c>
      <c r="F207">
        <v>1</v>
      </c>
      <c r="G207">
        <v>1</v>
      </c>
      <c r="H207">
        <v>2</v>
      </c>
      <c r="I207" t="s">
        <v>959</v>
      </c>
      <c r="J207" t="s">
        <v>960</v>
      </c>
      <c r="K207" t="s">
        <v>961</v>
      </c>
      <c r="L207">
        <v>1368</v>
      </c>
      <c r="N207">
        <v>1011</v>
      </c>
      <c r="O207" t="s">
        <v>779</v>
      </c>
      <c r="P207" t="s">
        <v>779</v>
      </c>
      <c r="Q207">
        <v>1</v>
      </c>
      <c r="W207">
        <v>0</v>
      </c>
      <c r="X207">
        <v>-1718674368</v>
      </c>
      <c r="Y207">
        <v>0.09</v>
      </c>
      <c r="AA207">
        <v>0</v>
      </c>
      <c r="AB207">
        <v>751.45</v>
      </c>
      <c r="AC207">
        <v>13.5</v>
      </c>
      <c r="AD207">
        <v>0</v>
      </c>
      <c r="AE207">
        <v>0</v>
      </c>
      <c r="AF207">
        <v>111.99</v>
      </c>
      <c r="AG207">
        <v>13.5</v>
      </c>
      <c r="AH207">
        <v>0</v>
      </c>
      <c r="AI207">
        <v>1</v>
      </c>
      <c r="AJ207">
        <v>6.71</v>
      </c>
      <c r="AK207">
        <v>1</v>
      </c>
      <c r="AL207">
        <v>1</v>
      </c>
      <c r="AN207">
        <v>0</v>
      </c>
      <c r="AO207">
        <v>1</v>
      </c>
      <c r="AP207">
        <v>0</v>
      </c>
      <c r="AQ207">
        <v>0</v>
      </c>
      <c r="AR207">
        <v>0</v>
      </c>
      <c r="AS207" t="s">
        <v>6</v>
      </c>
      <c r="AT207">
        <v>0.09</v>
      </c>
      <c r="AU207" t="s">
        <v>6</v>
      </c>
      <c r="AV207">
        <v>0</v>
      </c>
      <c r="AW207">
        <v>2</v>
      </c>
      <c r="AX207">
        <v>16813388</v>
      </c>
      <c r="AY207">
        <v>1</v>
      </c>
      <c r="AZ207">
        <v>0</v>
      </c>
      <c r="BA207">
        <v>201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Y207*Source!I142</f>
        <v>2.0735999999999997E-2</v>
      </c>
      <c r="CY207">
        <f>AB207</f>
        <v>751.45</v>
      </c>
      <c r="CZ207">
        <f>AF207</f>
        <v>111.99</v>
      </c>
      <c r="DA207">
        <f>AJ207</f>
        <v>6.71</v>
      </c>
      <c r="DB207">
        <f t="shared" si="25"/>
        <v>10.08</v>
      </c>
      <c r="DC207">
        <f t="shared" si="26"/>
        <v>1.22</v>
      </c>
    </row>
    <row r="208" spans="1:107" x14ac:dyDescent="0.2">
      <c r="A208">
        <f>ROW(Source!A142)</f>
        <v>142</v>
      </c>
      <c r="B208">
        <v>16812721</v>
      </c>
      <c r="C208">
        <v>16813374</v>
      </c>
      <c r="D208">
        <v>15247974</v>
      </c>
      <c r="E208">
        <v>1</v>
      </c>
      <c r="F208">
        <v>1</v>
      </c>
      <c r="G208">
        <v>1</v>
      </c>
      <c r="H208">
        <v>2</v>
      </c>
      <c r="I208" t="s">
        <v>776</v>
      </c>
      <c r="J208" t="s">
        <v>777</v>
      </c>
      <c r="K208" t="s">
        <v>778</v>
      </c>
      <c r="L208">
        <v>1368</v>
      </c>
      <c r="N208">
        <v>1011</v>
      </c>
      <c r="O208" t="s">
        <v>779</v>
      </c>
      <c r="P208" t="s">
        <v>779</v>
      </c>
      <c r="Q208">
        <v>1</v>
      </c>
      <c r="W208">
        <v>0</v>
      </c>
      <c r="X208">
        <v>1188625873</v>
      </c>
      <c r="Y208">
        <v>1.19</v>
      </c>
      <c r="AA208">
        <v>0</v>
      </c>
      <c r="AB208">
        <v>209.75</v>
      </c>
      <c r="AC208">
        <v>13.5</v>
      </c>
      <c r="AD208">
        <v>0</v>
      </c>
      <c r="AE208">
        <v>0</v>
      </c>
      <c r="AF208">
        <v>31.26</v>
      </c>
      <c r="AG208">
        <v>13.5</v>
      </c>
      <c r="AH208">
        <v>0</v>
      </c>
      <c r="AI208">
        <v>1</v>
      </c>
      <c r="AJ208">
        <v>6.71</v>
      </c>
      <c r="AK208">
        <v>1</v>
      </c>
      <c r="AL208">
        <v>1</v>
      </c>
      <c r="AN208">
        <v>0</v>
      </c>
      <c r="AO208">
        <v>1</v>
      </c>
      <c r="AP208">
        <v>0</v>
      </c>
      <c r="AQ208">
        <v>0</v>
      </c>
      <c r="AR208">
        <v>0</v>
      </c>
      <c r="AS208" t="s">
        <v>6</v>
      </c>
      <c r="AT208">
        <v>1.19</v>
      </c>
      <c r="AU208" t="s">
        <v>6</v>
      </c>
      <c r="AV208">
        <v>0</v>
      </c>
      <c r="AW208">
        <v>2</v>
      </c>
      <c r="AX208">
        <v>16813389</v>
      </c>
      <c r="AY208">
        <v>1</v>
      </c>
      <c r="AZ208">
        <v>0</v>
      </c>
      <c r="BA208">
        <v>202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Y208*Source!I142</f>
        <v>0.27417599999999998</v>
      </c>
      <c r="CY208">
        <f>AB208</f>
        <v>209.75</v>
      </c>
      <c r="CZ208">
        <f>AF208</f>
        <v>31.26</v>
      </c>
      <c r="DA208">
        <f>AJ208</f>
        <v>6.71</v>
      </c>
      <c r="DB208">
        <f t="shared" si="25"/>
        <v>37.200000000000003</v>
      </c>
      <c r="DC208">
        <f t="shared" si="26"/>
        <v>16.07</v>
      </c>
    </row>
    <row r="209" spans="1:107" x14ac:dyDescent="0.2">
      <c r="A209">
        <f>ROW(Source!A142)</f>
        <v>142</v>
      </c>
      <c r="B209">
        <v>16812721</v>
      </c>
      <c r="C209">
        <v>16813374</v>
      </c>
      <c r="D209">
        <v>15248793</v>
      </c>
      <c r="E209">
        <v>1</v>
      </c>
      <c r="F209">
        <v>1</v>
      </c>
      <c r="G209">
        <v>1</v>
      </c>
      <c r="H209">
        <v>2</v>
      </c>
      <c r="I209" t="s">
        <v>962</v>
      </c>
      <c r="J209" t="s">
        <v>963</v>
      </c>
      <c r="K209" t="s">
        <v>964</v>
      </c>
      <c r="L209">
        <v>1368</v>
      </c>
      <c r="N209">
        <v>1011</v>
      </c>
      <c r="O209" t="s">
        <v>779</v>
      </c>
      <c r="P209" t="s">
        <v>779</v>
      </c>
      <c r="Q209">
        <v>1</v>
      </c>
      <c r="W209">
        <v>0</v>
      </c>
      <c r="X209">
        <v>-1347092713</v>
      </c>
      <c r="Y209">
        <v>0.8</v>
      </c>
      <c r="AA209">
        <v>0</v>
      </c>
      <c r="AB209">
        <v>199.09</v>
      </c>
      <c r="AC209">
        <v>0</v>
      </c>
      <c r="AD209">
        <v>0</v>
      </c>
      <c r="AE209">
        <v>0</v>
      </c>
      <c r="AF209">
        <v>29.67</v>
      </c>
      <c r="AG209">
        <v>0</v>
      </c>
      <c r="AH209">
        <v>0</v>
      </c>
      <c r="AI209">
        <v>1</v>
      </c>
      <c r="AJ209">
        <v>6.71</v>
      </c>
      <c r="AK209">
        <v>1</v>
      </c>
      <c r="AL209">
        <v>1</v>
      </c>
      <c r="AN209">
        <v>0</v>
      </c>
      <c r="AO209">
        <v>1</v>
      </c>
      <c r="AP209">
        <v>0</v>
      </c>
      <c r="AQ209">
        <v>0</v>
      </c>
      <c r="AR209">
        <v>0</v>
      </c>
      <c r="AS209" t="s">
        <v>6</v>
      </c>
      <c r="AT209">
        <v>0.8</v>
      </c>
      <c r="AU209" t="s">
        <v>6</v>
      </c>
      <c r="AV209">
        <v>0</v>
      </c>
      <c r="AW209">
        <v>2</v>
      </c>
      <c r="AX209">
        <v>16813390</v>
      </c>
      <c r="AY209">
        <v>1</v>
      </c>
      <c r="AZ209">
        <v>0</v>
      </c>
      <c r="BA209">
        <v>203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Y209*Source!I142</f>
        <v>0.18432000000000001</v>
      </c>
      <c r="CY209">
        <f>AB209</f>
        <v>199.09</v>
      </c>
      <c r="CZ209">
        <f>AF209</f>
        <v>29.67</v>
      </c>
      <c r="DA209">
        <f>AJ209</f>
        <v>6.71</v>
      </c>
      <c r="DB209">
        <f t="shared" si="25"/>
        <v>23.74</v>
      </c>
      <c r="DC209">
        <f t="shared" si="26"/>
        <v>0</v>
      </c>
    </row>
    <row r="210" spans="1:107" x14ac:dyDescent="0.2">
      <c r="A210">
        <f>ROW(Source!A142)</f>
        <v>142</v>
      </c>
      <c r="B210">
        <v>16812721</v>
      </c>
      <c r="C210">
        <v>16813374</v>
      </c>
      <c r="D210">
        <v>15249073</v>
      </c>
      <c r="E210">
        <v>1</v>
      </c>
      <c r="F210">
        <v>1</v>
      </c>
      <c r="G210">
        <v>1</v>
      </c>
      <c r="H210">
        <v>2</v>
      </c>
      <c r="I210" t="s">
        <v>782</v>
      </c>
      <c r="J210" t="s">
        <v>783</v>
      </c>
      <c r="K210" t="s">
        <v>784</v>
      </c>
      <c r="L210">
        <v>1368</v>
      </c>
      <c r="N210">
        <v>1011</v>
      </c>
      <c r="O210" t="s">
        <v>779</v>
      </c>
      <c r="P210" t="s">
        <v>779</v>
      </c>
      <c r="Q210">
        <v>1</v>
      </c>
      <c r="W210">
        <v>0</v>
      </c>
      <c r="X210">
        <v>1372534845</v>
      </c>
      <c r="Y210">
        <v>1.85</v>
      </c>
      <c r="AA210">
        <v>0</v>
      </c>
      <c r="AB210">
        <v>440.91</v>
      </c>
      <c r="AC210">
        <v>11.6</v>
      </c>
      <c r="AD210">
        <v>0</v>
      </c>
      <c r="AE210">
        <v>0</v>
      </c>
      <c r="AF210">
        <v>65.709999999999994</v>
      </c>
      <c r="AG210">
        <v>11.6</v>
      </c>
      <c r="AH210">
        <v>0</v>
      </c>
      <c r="AI210">
        <v>1</v>
      </c>
      <c r="AJ210">
        <v>6.71</v>
      </c>
      <c r="AK210">
        <v>1</v>
      </c>
      <c r="AL210">
        <v>1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6</v>
      </c>
      <c r="AT210">
        <v>1.85</v>
      </c>
      <c r="AU210" t="s">
        <v>6</v>
      </c>
      <c r="AV210">
        <v>0</v>
      </c>
      <c r="AW210">
        <v>2</v>
      </c>
      <c r="AX210">
        <v>16813391</v>
      </c>
      <c r="AY210">
        <v>1</v>
      </c>
      <c r="AZ210">
        <v>0</v>
      </c>
      <c r="BA210">
        <v>204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Y210*Source!I142</f>
        <v>0.42624000000000001</v>
      </c>
      <c r="CY210">
        <f>AB210</f>
        <v>440.91</v>
      </c>
      <c r="CZ210">
        <f>AF210</f>
        <v>65.709999999999994</v>
      </c>
      <c r="DA210">
        <f>AJ210</f>
        <v>6.71</v>
      </c>
      <c r="DB210">
        <f t="shared" si="25"/>
        <v>121.56</v>
      </c>
      <c r="DC210">
        <f t="shared" si="26"/>
        <v>21.46</v>
      </c>
    </row>
    <row r="211" spans="1:107" x14ac:dyDescent="0.2">
      <c r="A211">
        <f>ROW(Source!A142)</f>
        <v>142</v>
      </c>
      <c r="B211">
        <v>16812721</v>
      </c>
      <c r="C211">
        <v>16813374</v>
      </c>
      <c r="D211">
        <v>15166084</v>
      </c>
      <c r="E211">
        <v>1</v>
      </c>
      <c r="F211">
        <v>1</v>
      </c>
      <c r="G211">
        <v>1</v>
      </c>
      <c r="H211">
        <v>3</v>
      </c>
      <c r="I211" t="s">
        <v>965</v>
      </c>
      <c r="J211" t="s">
        <v>966</v>
      </c>
      <c r="K211" t="s">
        <v>967</v>
      </c>
      <c r="L211">
        <v>1339</v>
      </c>
      <c r="N211">
        <v>1007</v>
      </c>
      <c r="O211" t="s">
        <v>141</v>
      </c>
      <c r="P211" t="s">
        <v>141</v>
      </c>
      <c r="Q211">
        <v>1</v>
      </c>
      <c r="W211">
        <v>0</v>
      </c>
      <c r="X211">
        <v>2048996427</v>
      </c>
      <c r="Y211">
        <v>0.67</v>
      </c>
      <c r="AA211">
        <v>307.52</v>
      </c>
      <c r="AB211">
        <v>0</v>
      </c>
      <c r="AC211">
        <v>0</v>
      </c>
      <c r="AD211">
        <v>0</v>
      </c>
      <c r="AE211">
        <v>45.83</v>
      </c>
      <c r="AF211">
        <v>0</v>
      </c>
      <c r="AG211">
        <v>0</v>
      </c>
      <c r="AH211">
        <v>0</v>
      </c>
      <c r="AI211">
        <v>6.71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6</v>
      </c>
      <c r="AT211">
        <v>0.67</v>
      </c>
      <c r="AU211" t="s">
        <v>6</v>
      </c>
      <c r="AV211">
        <v>0</v>
      </c>
      <c r="AW211">
        <v>2</v>
      </c>
      <c r="AX211">
        <v>16813392</v>
      </c>
      <c r="AY211">
        <v>1</v>
      </c>
      <c r="AZ211">
        <v>0</v>
      </c>
      <c r="BA211">
        <v>205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Y211*Source!I142</f>
        <v>0.15436800000000001</v>
      </c>
      <c r="CY211">
        <f>AA211</f>
        <v>307.52</v>
      </c>
      <c r="CZ211">
        <f>AE211</f>
        <v>45.83</v>
      </c>
      <c r="DA211">
        <f>AI211</f>
        <v>6.71</v>
      </c>
      <c r="DB211">
        <f t="shared" si="25"/>
        <v>30.71</v>
      </c>
      <c r="DC211">
        <f t="shared" si="26"/>
        <v>0</v>
      </c>
    </row>
    <row r="212" spans="1:107" x14ac:dyDescent="0.2">
      <c r="A212">
        <f>ROW(Source!A142)</f>
        <v>142</v>
      </c>
      <c r="B212">
        <v>16812721</v>
      </c>
      <c r="C212">
        <v>16813374</v>
      </c>
      <c r="D212">
        <v>15167286</v>
      </c>
      <c r="E212">
        <v>1</v>
      </c>
      <c r="F212">
        <v>1</v>
      </c>
      <c r="G212">
        <v>1</v>
      </c>
      <c r="H212">
        <v>3</v>
      </c>
      <c r="I212" t="s">
        <v>801</v>
      </c>
      <c r="J212" t="s">
        <v>802</v>
      </c>
      <c r="K212" t="s">
        <v>803</v>
      </c>
      <c r="L212">
        <v>1339</v>
      </c>
      <c r="N212">
        <v>1007</v>
      </c>
      <c r="O212" t="s">
        <v>141</v>
      </c>
      <c r="P212" t="s">
        <v>141</v>
      </c>
      <c r="Q212">
        <v>1</v>
      </c>
      <c r="W212">
        <v>0</v>
      </c>
      <c r="X212">
        <v>-1660354250</v>
      </c>
      <c r="Y212">
        <v>15</v>
      </c>
      <c r="AA212">
        <v>16.37</v>
      </c>
      <c r="AB212">
        <v>0</v>
      </c>
      <c r="AC212">
        <v>0</v>
      </c>
      <c r="AD212">
        <v>0</v>
      </c>
      <c r="AE212">
        <v>2.44</v>
      </c>
      <c r="AF212">
        <v>0</v>
      </c>
      <c r="AG212">
        <v>0</v>
      </c>
      <c r="AH212">
        <v>0</v>
      </c>
      <c r="AI212">
        <v>6.71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6</v>
      </c>
      <c r="AT212">
        <v>15</v>
      </c>
      <c r="AU212" t="s">
        <v>6</v>
      </c>
      <c r="AV212">
        <v>0</v>
      </c>
      <c r="AW212">
        <v>2</v>
      </c>
      <c r="AX212">
        <v>16813393</v>
      </c>
      <c r="AY212">
        <v>1</v>
      </c>
      <c r="AZ212">
        <v>0</v>
      </c>
      <c r="BA212">
        <v>206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Y212*Source!I142</f>
        <v>3.456</v>
      </c>
      <c r="CY212">
        <f>AA212</f>
        <v>16.37</v>
      </c>
      <c r="CZ212">
        <f>AE212</f>
        <v>2.44</v>
      </c>
      <c r="DA212">
        <f>AI212</f>
        <v>6.71</v>
      </c>
      <c r="DB212">
        <f t="shared" si="25"/>
        <v>36.6</v>
      </c>
      <c r="DC212">
        <f t="shared" si="26"/>
        <v>0</v>
      </c>
    </row>
    <row r="213" spans="1:107" x14ac:dyDescent="0.2">
      <c r="A213">
        <f>ROW(Source!A142)</f>
        <v>142</v>
      </c>
      <c r="B213">
        <v>16812721</v>
      </c>
      <c r="C213">
        <v>16813374</v>
      </c>
      <c r="D213">
        <v>15212828</v>
      </c>
      <c r="E213">
        <v>1</v>
      </c>
      <c r="F213">
        <v>1</v>
      </c>
      <c r="G213">
        <v>1</v>
      </c>
      <c r="H213">
        <v>3</v>
      </c>
      <c r="I213" t="s">
        <v>968</v>
      </c>
      <c r="J213" t="s">
        <v>969</v>
      </c>
      <c r="K213" t="s">
        <v>970</v>
      </c>
      <c r="L213">
        <v>1035</v>
      </c>
      <c r="N213">
        <v>1013</v>
      </c>
      <c r="O213" t="s">
        <v>127</v>
      </c>
      <c r="P213" t="s">
        <v>127</v>
      </c>
      <c r="Q213">
        <v>1</v>
      </c>
      <c r="W213">
        <v>0</v>
      </c>
      <c r="X213">
        <v>-1223829238</v>
      </c>
      <c r="Y213">
        <v>44.2</v>
      </c>
      <c r="AA213">
        <v>166.07</v>
      </c>
      <c r="AB213">
        <v>0</v>
      </c>
      <c r="AC213">
        <v>0</v>
      </c>
      <c r="AD213">
        <v>0</v>
      </c>
      <c r="AE213">
        <v>24.75</v>
      </c>
      <c r="AF213">
        <v>0</v>
      </c>
      <c r="AG213">
        <v>0</v>
      </c>
      <c r="AH213">
        <v>0</v>
      </c>
      <c r="AI213">
        <v>6.71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44.2</v>
      </c>
      <c r="AU213" t="s">
        <v>6</v>
      </c>
      <c r="AV213">
        <v>0</v>
      </c>
      <c r="AW213">
        <v>2</v>
      </c>
      <c r="AX213">
        <v>16813396</v>
      </c>
      <c r="AY213">
        <v>1</v>
      </c>
      <c r="AZ213">
        <v>0</v>
      </c>
      <c r="BA213">
        <v>209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Y213*Source!I142</f>
        <v>10.183680000000001</v>
      </c>
      <c r="CY213">
        <f>AA213</f>
        <v>166.07</v>
      </c>
      <c r="CZ213">
        <f>AE213</f>
        <v>24.75</v>
      </c>
      <c r="DA213">
        <f>AI213</f>
        <v>6.71</v>
      </c>
      <c r="DB213">
        <f t="shared" si="25"/>
        <v>1093.95</v>
      </c>
      <c r="DC213">
        <f t="shared" si="26"/>
        <v>0</v>
      </c>
    </row>
    <row r="214" spans="1:107" x14ac:dyDescent="0.2">
      <c r="A214">
        <f>ROW(Source!A142)</f>
        <v>142</v>
      </c>
      <c r="B214">
        <v>16812721</v>
      </c>
      <c r="C214">
        <v>16813374</v>
      </c>
      <c r="D214">
        <v>15213166</v>
      </c>
      <c r="E214">
        <v>1</v>
      </c>
      <c r="F214">
        <v>1</v>
      </c>
      <c r="G214">
        <v>1</v>
      </c>
      <c r="H214">
        <v>3</v>
      </c>
      <c r="I214" t="s">
        <v>427</v>
      </c>
      <c r="J214" t="s">
        <v>429</v>
      </c>
      <c r="K214" t="s">
        <v>428</v>
      </c>
      <c r="L214">
        <v>1354</v>
      </c>
      <c r="N214">
        <v>1010</v>
      </c>
      <c r="O214" t="s">
        <v>62</v>
      </c>
      <c r="P214" t="s">
        <v>62</v>
      </c>
      <c r="Q214">
        <v>1</v>
      </c>
      <c r="W214">
        <v>0</v>
      </c>
      <c r="X214">
        <v>-2076158712</v>
      </c>
      <c r="Y214">
        <v>47.743056000000003</v>
      </c>
      <c r="AA214">
        <v>10089.76</v>
      </c>
      <c r="AB214">
        <v>0</v>
      </c>
      <c r="AC214">
        <v>0</v>
      </c>
      <c r="AD214">
        <v>0</v>
      </c>
      <c r="AE214">
        <v>1503.69</v>
      </c>
      <c r="AF214">
        <v>0</v>
      </c>
      <c r="AG214">
        <v>0</v>
      </c>
      <c r="AH214">
        <v>0</v>
      </c>
      <c r="AI214">
        <v>6.71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47.743056000000003</v>
      </c>
      <c r="AU214" t="s">
        <v>6</v>
      </c>
      <c r="AV214">
        <v>0</v>
      </c>
      <c r="AW214">
        <v>1</v>
      </c>
      <c r="AX214">
        <v>-1</v>
      </c>
      <c r="AY214">
        <v>0</v>
      </c>
      <c r="AZ214">
        <v>0</v>
      </c>
      <c r="BA214" t="s">
        <v>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Y214*Source!I142</f>
        <v>11.0000001024</v>
      </c>
      <c r="CY214">
        <f>AA214</f>
        <v>10089.76</v>
      </c>
      <c r="CZ214">
        <f>AE214</f>
        <v>1503.69</v>
      </c>
      <c r="DA214">
        <f>AI214</f>
        <v>6.71</v>
      </c>
      <c r="DB214">
        <f t="shared" si="25"/>
        <v>71790.759999999995</v>
      </c>
      <c r="DC214">
        <f t="shared" si="26"/>
        <v>0</v>
      </c>
    </row>
    <row r="215" spans="1:107" x14ac:dyDescent="0.2">
      <c r="A215">
        <f>ROW(Source!A142)</f>
        <v>142</v>
      </c>
      <c r="B215">
        <v>16812721</v>
      </c>
      <c r="C215">
        <v>16813374</v>
      </c>
      <c r="D215">
        <v>15163239</v>
      </c>
      <c r="E215">
        <v>17</v>
      </c>
      <c r="F215">
        <v>1</v>
      </c>
      <c r="G215">
        <v>1</v>
      </c>
      <c r="H215">
        <v>3</v>
      </c>
      <c r="I215" t="s">
        <v>431</v>
      </c>
      <c r="J215" t="s">
        <v>6</v>
      </c>
      <c r="K215" t="s">
        <v>432</v>
      </c>
      <c r="L215">
        <v>1033</v>
      </c>
      <c r="N215">
        <v>1013</v>
      </c>
      <c r="O215" t="s">
        <v>433</v>
      </c>
      <c r="P215" t="s">
        <v>433</v>
      </c>
      <c r="Q215">
        <v>1</v>
      </c>
      <c r="W215">
        <v>0</v>
      </c>
      <c r="X215">
        <v>704408924</v>
      </c>
      <c r="Y215">
        <v>100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6.71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6</v>
      </c>
      <c r="AT215">
        <v>100</v>
      </c>
      <c r="AU215" t="s">
        <v>6</v>
      </c>
      <c r="AV215">
        <v>0</v>
      </c>
      <c r="AW215">
        <v>2</v>
      </c>
      <c r="AX215">
        <v>16813397</v>
      </c>
      <c r="AY215">
        <v>1</v>
      </c>
      <c r="AZ215">
        <v>0</v>
      </c>
      <c r="BA215">
        <v>210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Y215*Source!I142</f>
        <v>23.04</v>
      </c>
      <c r="CY215">
        <f>AA215</f>
        <v>0</v>
      </c>
      <c r="CZ215">
        <f>AE215</f>
        <v>0</v>
      </c>
      <c r="DA215">
        <f>AI215</f>
        <v>6.71</v>
      </c>
      <c r="DB215">
        <f t="shared" si="25"/>
        <v>0</v>
      </c>
      <c r="DC215">
        <f t="shared" si="26"/>
        <v>0</v>
      </c>
    </row>
    <row r="216" spans="1:107" x14ac:dyDescent="0.2">
      <c r="A216">
        <f>ROW(Source!A145)</f>
        <v>145</v>
      </c>
      <c r="B216">
        <v>16812721</v>
      </c>
      <c r="C216">
        <v>16813400</v>
      </c>
      <c r="D216">
        <v>15430447</v>
      </c>
      <c r="E216">
        <v>1</v>
      </c>
      <c r="F216">
        <v>1</v>
      </c>
      <c r="G216">
        <v>1</v>
      </c>
      <c r="H216">
        <v>1</v>
      </c>
      <c r="I216" t="s">
        <v>888</v>
      </c>
      <c r="J216" t="s">
        <v>6</v>
      </c>
      <c r="K216" t="s">
        <v>889</v>
      </c>
      <c r="L216">
        <v>1191</v>
      </c>
      <c r="N216">
        <v>1013</v>
      </c>
      <c r="O216" t="s">
        <v>773</v>
      </c>
      <c r="P216" t="s">
        <v>773</v>
      </c>
      <c r="Q216">
        <v>1</v>
      </c>
      <c r="W216">
        <v>0</v>
      </c>
      <c r="X216">
        <v>145020957</v>
      </c>
      <c r="Y216">
        <v>1.47</v>
      </c>
      <c r="AA216">
        <v>0</v>
      </c>
      <c r="AB216">
        <v>0</v>
      </c>
      <c r="AC216">
        <v>0</v>
      </c>
      <c r="AD216">
        <v>60.86</v>
      </c>
      <c r="AE216">
        <v>0</v>
      </c>
      <c r="AF216">
        <v>0</v>
      </c>
      <c r="AG216">
        <v>0</v>
      </c>
      <c r="AH216">
        <v>9.07</v>
      </c>
      <c r="AI216">
        <v>1</v>
      </c>
      <c r="AJ216">
        <v>1</v>
      </c>
      <c r="AK216">
        <v>1</v>
      </c>
      <c r="AL216">
        <v>6.71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6</v>
      </c>
      <c r="AT216">
        <v>1.47</v>
      </c>
      <c r="AU216" t="s">
        <v>6</v>
      </c>
      <c r="AV216">
        <v>1</v>
      </c>
      <c r="AW216">
        <v>2</v>
      </c>
      <c r="AX216">
        <v>16813409</v>
      </c>
      <c r="AY216">
        <v>1</v>
      </c>
      <c r="AZ216">
        <v>0</v>
      </c>
      <c r="BA216">
        <v>211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Y216*Source!I145</f>
        <v>32.339999999999996</v>
      </c>
      <c r="CY216">
        <f>AD216</f>
        <v>60.86</v>
      </c>
      <c r="CZ216">
        <f>AH216</f>
        <v>9.07</v>
      </c>
      <c r="DA216">
        <f>AL216</f>
        <v>6.71</v>
      </c>
      <c r="DB216">
        <f t="shared" si="25"/>
        <v>13.33</v>
      </c>
      <c r="DC216">
        <f t="shared" si="26"/>
        <v>0</v>
      </c>
    </row>
    <row r="217" spans="1:107" x14ac:dyDescent="0.2">
      <c r="A217">
        <f>ROW(Source!A145)</f>
        <v>145</v>
      </c>
      <c r="B217">
        <v>16812721</v>
      </c>
      <c r="C217">
        <v>16813400</v>
      </c>
      <c r="D217">
        <v>15430395</v>
      </c>
      <c r="E217">
        <v>1</v>
      </c>
      <c r="F217">
        <v>1</v>
      </c>
      <c r="G217">
        <v>1</v>
      </c>
      <c r="H217">
        <v>1</v>
      </c>
      <c r="I217" t="s">
        <v>774</v>
      </c>
      <c r="J217" t="s">
        <v>6</v>
      </c>
      <c r="K217" t="s">
        <v>775</v>
      </c>
      <c r="L217">
        <v>1191</v>
      </c>
      <c r="N217">
        <v>1013</v>
      </c>
      <c r="O217" t="s">
        <v>773</v>
      </c>
      <c r="P217" t="s">
        <v>773</v>
      </c>
      <c r="Q217">
        <v>1</v>
      </c>
      <c r="W217">
        <v>0</v>
      </c>
      <c r="X217">
        <v>-1417349443</v>
      </c>
      <c r="Y217">
        <v>0.01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1</v>
      </c>
      <c r="AJ217">
        <v>1</v>
      </c>
      <c r="AK217">
        <v>6.71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6</v>
      </c>
      <c r="AT217">
        <v>0.01</v>
      </c>
      <c r="AU217" t="s">
        <v>6</v>
      </c>
      <c r="AV217">
        <v>2</v>
      </c>
      <c r="AW217">
        <v>2</v>
      </c>
      <c r="AX217">
        <v>16813410</v>
      </c>
      <c r="AY217">
        <v>1</v>
      </c>
      <c r="AZ217">
        <v>0</v>
      </c>
      <c r="BA217">
        <v>212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Y217*Source!I145</f>
        <v>0.22</v>
      </c>
      <c r="CY217">
        <f>AD217</f>
        <v>0</v>
      </c>
      <c r="CZ217">
        <f>AH217</f>
        <v>0</v>
      </c>
      <c r="DA217">
        <f>AL217</f>
        <v>1</v>
      </c>
      <c r="DB217">
        <f t="shared" si="25"/>
        <v>0</v>
      </c>
      <c r="DC217">
        <f t="shared" si="26"/>
        <v>0</v>
      </c>
    </row>
    <row r="218" spans="1:107" x14ac:dyDescent="0.2">
      <c r="A218">
        <f>ROW(Source!A145)</f>
        <v>145</v>
      </c>
      <c r="B218">
        <v>16812721</v>
      </c>
      <c r="C218">
        <v>16813400</v>
      </c>
      <c r="D218">
        <v>15249073</v>
      </c>
      <c r="E218">
        <v>1</v>
      </c>
      <c r="F218">
        <v>1</v>
      </c>
      <c r="G218">
        <v>1</v>
      </c>
      <c r="H218">
        <v>2</v>
      </c>
      <c r="I218" t="s">
        <v>782</v>
      </c>
      <c r="J218" t="s">
        <v>783</v>
      </c>
      <c r="K218" t="s">
        <v>784</v>
      </c>
      <c r="L218">
        <v>1368</v>
      </c>
      <c r="N218">
        <v>1011</v>
      </c>
      <c r="O218" t="s">
        <v>779</v>
      </c>
      <c r="P218" t="s">
        <v>779</v>
      </c>
      <c r="Q218">
        <v>1</v>
      </c>
      <c r="W218">
        <v>0</v>
      </c>
      <c r="X218">
        <v>1372534845</v>
      </c>
      <c r="Y218">
        <v>0.01</v>
      </c>
      <c r="AA218">
        <v>0</v>
      </c>
      <c r="AB218">
        <v>440.91</v>
      </c>
      <c r="AC218">
        <v>11.6</v>
      </c>
      <c r="AD218">
        <v>0</v>
      </c>
      <c r="AE218">
        <v>0</v>
      </c>
      <c r="AF218">
        <v>65.709999999999994</v>
      </c>
      <c r="AG218">
        <v>11.6</v>
      </c>
      <c r="AH218">
        <v>0</v>
      </c>
      <c r="AI218">
        <v>1</v>
      </c>
      <c r="AJ218">
        <v>6.71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0.01</v>
      </c>
      <c r="AU218" t="s">
        <v>6</v>
      </c>
      <c r="AV218">
        <v>0</v>
      </c>
      <c r="AW218">
        <v>2</v>
      </c>
      <c r="AX218">
        <v>16813411</v>
      </c>
      <c r="AY218">
        <v>1</v>
      </c>
      <c r="AZ218">
        <v>0</v>
      </c>
      <c r="BA218">
        <v>213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Y218*Source!I145</f>
        <v>0.22</v>
      </c>
      <c r="CY218">
        <f>AB218</f>
        <v>440.91</v>
      </c>
      <c r="CZ218">
        <f>AF218</f>
        <v>65.709999999999994</v>
      </c>
      <c r="DA218">
        <f>AJ218</f>
        <v>6.71</v>
      </c>
      <c r="DB218">
        <f t="shared" si="25"/>
        <v>0.66</v>
      </c>
      <c r="DC218">
        <f t="shared" si="26"/>
        <v>0.12</v>
      </c>
    </row>
    <row r="219" spans="1:107" x14ac:dyDescent="0.2">
      <c r="A219">
        <f>ROW(Source!A145)</f>
        <v>145</v>
      </c>
      <c r="B219">
        <v>16812721</v>
      </c>
      <c r="C219">
        <v>16813400</v>
      </c>
      <c r="D219">
        <v>15249377</v>
      </c>
      <c r="E219">
        <v>1</v>
      </c>
      <c r="F219">
        <v>1</v>
      </c>
      <c r="G219">
        <v>1</v>
      </c>
      <c r="H219">
        <v>2</v>
      </c>
      <c r="I219" t="s">
        <v>785</v>
      </c>
      <c r="J219" t="s">
        <v>786</v>
      </c>
      <c r="K219" t="s">
        <v>787</v>
      </c>
      <c r="L219">
        <v>1368</v>
      </c>
      <c r="N219">
        <v>1011</v>
      </c>
      <c r="O219" t="s">
        <v>779</v>
      </c>
      <c r="P219" t="s">
        <v>779</v>
      </c>
      <c r="Q219">
        <v>1</v>
      </c>
      <c r="W219">
        <v>0</v>
      </c>
      <c r="X219">
        <v>-353815937</v>
      </c>
      <c r="Y219">
        <v>0.35</v>
      </c>
      <c r="AA219">
        <v>0</v>
      </c>
      <c r="AB219">
        <v>54.35</v>
      </c>
      <c r="AC219">
        <v>0</v>
      </c>
      <c r="AD219">
        <v>0</v>
      </c>
      <c r="AE219">
        <v>0</v>
      </c>
      <c r="AF219">
        <v>8.1</v>
      </c>
      <c r="AG219">
        <v>0</v>
      </c>
      <c r="AH219">
        <v>0</v>
      </c>
      <c r="AI219">
        <v>1</v>
      </c>
      <c r="AJ219">
        <v>6.71</v>
      </c>
      <c r="AK219">
        <v>1</v>
      </c>
      <c r="AL219">
        <v>1</v>
      </c>
      <c r="AN219">
        <v>0</v>
      </c>
      <c r="AO219">
        <v>1</v>
      </c>
      <c r="AP219">
        <v>0</v>
      </c>
      <c r="AQ219">
        <v>0</v>
      </c>
      <c r="AR219">
        <v>0</v>
      </c>
      <c r="AS219" t="s">
        <v>6</v>
      </c>
      <c r="AT219">
        <v>0.35</v>
      </c>
      <c r="AU219" t="s">
        <v>6</v>
      </c>
      <c r="AV219">
        <v>0</v>
      </c>
      <c r="AW219">
        <v>2</v>
      </c>
      <c r="AX219">
        <v>16813412</v>
      </c>
      <c r="AY219">
        <v>1</v>
      </c>
      <c r="AZ219">
        <v>0</v>
      </c>
      <c r="BA219">
        <v>214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Y219*Source!I145</f>
        <v>7.6999999999999993</v>
      </c>
      <c r="CY219">
        <f>AB219</f>
        <v>54.35</v>
      </c>
      <c r="CZ219">
        <f>AF219</f>
        <v>8.1</v>
      </c>
      <c r="DA219">
        <f>AJ219</f>
        <v>6.71</v>
      </c>
      <c r="DB219">
        <f t="shared" si="25"/>
        <v>2.84</v>
      </c>
      <c r="DC219">
        <f t="shared" si="26"/>
        <v>0</v>
      </c>
    </row>
    <row r="220" spans="1:107" x14ac:dyDescent="0.2">
      <c r="A220">
        <f>ROW(Source!A145)</f>
        <v>145</v>
      </c>
      <c r="B220">
        <v>16812721</v>
      </c>
      <c r="C220">
        <v>16813400</v>
      </c>
      <c r="D220">
        <v>15165267</v>
      </c>
      <c r="E220">
        <v>1</v>
      </c>
      <c r="F220">
        <v>1</v>
      </c>
      <c r="G220">
        <v>1</v>
      </c>
      <c r="H220">
        <v>3</v>
      </c>
      <c r="I220" t="s">
        <v>971</v>
      </c>
      <c r="J220" t="s">
        <v>972</v>
      </c>
      <c r="K220" t="s">
        <v>973</v>
      </c>
      <c r="L220">
        <v>1356</v>
      </c>
      <c r="N220">
        <v>1010</v>
      </c>
      <c r="O220" t="s">
        <v>882</v>
      </c>
      <c r="P220" t="s">
        <v>882</v>
      </c>
      <c r="Q220">
        <v>1000</v>
      </c>
      <c r="W220">
        <v>0</v>
      </c>
      <c r="X220">
        <v>-1705143825</v>
      </c>
      <c r="Y220">
        <v>2E-3</v>
      </c>
      <c r="AA220">
        <v>23149.5</v>
      </c>
      <c r="AB220">
        <v>0</v>
      </c>
      <c r="AC220">
        <v>0</v>
      </c>
      <c r="AD220">
        <v>0</v>
      </c>
      <c r="AE220">
        <v>3450</v>
      </c>
      <c r="AF220">
        <v>0</v>
      </c>
      <c r="AG220">
        <v>0</v>
      </c>
      <c r="AH220">
        <v>0</v>
      </c>
      <c r="AI220">
        <v>6.71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0</v>
      </c>
      <c r="AQ220">
        <v>0</v>
      </c>
      <c r="AR220">
        <v>0</v>
      </c>
      <c r="AS220" t="s">
        <v>6</v>
      </c>
      <c r="AT220">
        <v>2E-3</v>
      </c>
      <c r="AU220" t="s">
        <v>6</v>
      </c>
      <c r="AV220">
        <v>0</v>
      </c>
      <c r="AW220">
        <v>2</v>
      </c>
      <c r="AX220">
        <v>16813413</v>
      </c>
      <c r="AY220">
        <v>1</v>
      </c>
      <c r="AZ220">
        <v>0</v>
      </c>
      <c r="BA220">
        <v>215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Y220*Source!I145</f>
        <v>4.3999999999999997E-2</v>
      </c>
      <c r="CY220">
        <f>AA220</f>
        <v>23149.5</v>
      </c>
      <c r="CZ220">
        <f>AE220</f>
        <v>3450</v>
      </c>
      <c r="DA220">
        <f>AI220</f>
        <v>6.71</v>
      </c>
      <c r="DB220">
        <f t="shared" si="25"/>
        <v>6.9</v>
      </c>
      <c r="DC220">
        <f t="shared" si="26"/>
        <v>0</v>
      </c>
    </row>
    <row r="221" spans="1:107" x14ac:dyDescent="0.2">
      <c r="A221">
        <f>ROW(Source!A145)</f>
        <v>145</v>
      </c>
      <c r="B221">
        <v>16812721</v>
      </c>
      <c r="C221">
        <v>16813400</v>
      </c>
      <c r="D221">
        <v>15168763</v>
      </c>
      <c r="E221">
        <v>1</v>
      </c>
      <c r="F221">
        <v>1</v>
      </c>
      <c r="G221">
        <v>1</v>
      </c>
      <c r="H221">
        <v>3</v>
      </c>
      <c r="I221" t="s">
        <v>974</v>
      </c>
      <c r="J221" t="s">
        <v>975</v>
      </c>
      <c r="K221" t="s">
        <v>976</v>
      </c>
      <c r="L221">
        <v>1348</v>
      </c>
      <c r="N221">
        <v>1009</v>
      </c>
      <c r="O221" t="s">
        <v>145</v>
      </c>
      <c r="P221" t="s">
        <v>145</v>
      </c>
      <c r="Q221">
        <v>1000</v>
      </c>
      <c r="W221">
        <v>0</v>
      </c>
      <c r="X221">
        <v>-1068056325</v>
      </c>
      <c r="Y221">
        <v>1.3999999999999999E-4</v>
      </c>
      <c r="AA221">
        <v>69529.02</v>
      </c>
      <c r="AB221">
        <v>0</v>
      </c>
      <c r="AC221">
        <v>0</v>
      </c>
      <c r="AD221">
        <v>0</v>
      </c>
      <c r="AE221">
        <v>10362</v>
      </c>
      <c r="AF221">
        <v>0</v>
      </c>
      <c r="AG221">
        <v>0</v>
      </c>
      <c r="AH221">
        <v>0</v>
      </c>
      <c r="AI221">
        <v>6.71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0</v>
      </c>
      <c r="AQ221">
        <v>0</v>
      </c>
      <c r="AR221">
        <v>0</v>
      </c>
      <c r="AS221" t="s">
        <v>6</v>
      </c>
      <c r="AT221">
        <v>1.3999999999999999E-4</v>
      </c>
      <c r="AU221" t="s">
        <v>6</v>
      </c>
      <c r="AV221">
        <v>0</v>
      </c>
      <c r="AW221">
        <v>2</v>
      </c>
      <c r="AX221">
        <v>16813414</v>
      </c>
      <c r="AY221">
        <v>1</v>
      </c>
      <c r="AZ221">
        <v>0</v>
      </c>
      <c r="BA221">
        <v>216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Y221*Source!I145</f>
        <v>3.0799999999999998E-3</v>
      </c>
      <c r="CY221">
        <f>AA221</f>
        <v>69529.02</v>
      </c>
      <c r="CZ221">
        <f>AE221</f>
        <v>10362</v>
      </c>
      <c r="DA221">
        <f>AI221</f>
        <v>6.71</v>
      </c>
      <c r="DB221">
        <f t="shared" si="25"/>
        <v>1.45</v>
      </c>
      <c r="DC221">
        <f t="shared" si="26"/>
        <v>0</v>
      </c>
    </row>
    <row r="222" spans="1:107" x14ac:dyDescent="0.2">
      <c r="A222">
        <f>ROW(Source!A145)</f>
        <v>145</v>
      </c>
      <c r="B222">
        <v>16812721</v>
      </c>
      <c r="C222">
        <v>16813400</v>
      </c>
      <c r="D222">
        <v>15169923</v>
      </c>
      <c r="E222">
        <v>1</v>
      </c>
      <c r="F222">
        <v>1</v>
      </c>
      <c r="G222">
        <v>1</v>
      </c>
      <c r="H222">
        <v>3</v>
      </c>
      <c r="I222" t="s">
        <v>977</v>
      </c>
      <c r="J222" t="s">
        <v>978</v>
      </c>
      <c r="K222" t="s">
        <v>979</v>
      </c>
      <c r="L222">
        <v>1348</v>
      </c>
      <c r="N222">
        <v>1009</v>
      </c>
      <c r="O222" t="s">
        <v>145</v>
      </c>
      <c r="P222" t="s">
        <v>145</v>
      </c>
      <c r="Q222">
        <v>1000</v>
      </c>
      <c r="W222">
        <v>0</v>
      </c>
      <c r="X222">
        <v>56621460</v>
      </c>
      <c r="Y222">
        <v>1.1000000000000001E-3</v>
      </c>
      <c r="AA222">
        <v>102817.33</v>
      </c>
      <c r="AB222">
        <v>0</v>
      </c>
      <c r="AC222">
        <v>0</v>
      </c>
      <c r="AD222">
        <v>0</v>
      </c>
      <c r="AE222">
        <v>15323</v>
      </c>
      <c r="AF222">
        <v>0</v>
      </c>
      <c r="AG222">
        <v>0</v>
      </c>
      <c r="AH222">
        <v>0</v>
      </c>
      <c r="AI222">
        <v>6.71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0</v>
      </c>
      <c r="AQ222">
        <v>0</v>
      </c>
      <c r="AR222">
        <v>0</v>
      </c>
      <c r="AS222" t="s">
        <v>6</v>
      </c>
      <c r="AT222">
        <v>1.1000000000000001E-3</v>
      </c>
      <c r="AU222" t="s">
        <v>6</v>
      </c>
      <c r="AV222">
        <v>0</v>
      </c>
      <c r="AW222">
        <v>2</v>
      </c>
      <c r="AX222">
        <v>16813415</v>
      </c>
      <c r="AY222">
        <v>1</v>
      </c>
      <c r="AZ222">
        <v>0</v>
      </c>
      <c r="BA222">
        <v>217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Y222*Source!I145</f>
        <v>2.4200000000000003E-2</v>
      </c>
      <c r="CY222">
        <f>AA222</f>
        <v>102817.33</v>
      </c>
      <c r="CZ222">
        <f>AE222</f>
        <v>15323</v>
      </c>
      <c r="DA222">
        <f>AI222</f>
        <v>6.71</v>
      </c>
      <c r="DB222">
        <f t="shared" si="25"/>
        <v>16.86</v>
      </c>
      <c r="DC222">
        <f t="shared" si="26"/>
        <v>0</v>
      </c>
    </row>
    <row r="223" spans="1:107" x14ac:dyDescent="0.2">
      <c r="A223">
        <f>ROW(Source!A145)</f>
        <v>145</v>
      </c>
      <c r="B223">
        <v>16812721</v>
      </c>
      <c r="C223">
        <v>16813400</v>
      </c>
      <c r="D223">
        <v>15210567</v>
      </c>
      <c r="E223">
        <v>1</v>
      </c>
      <c r="F223">
        <v>1</v>
      </c>
      <c r="G223">
        <v>1</v>
      </c>
      <c r="H223">
        <v>3</v>
      </c>
      <c r="I223" t="s">
        <v>442</v>
      </c>
      <c r="J223" t="s">
        <v>444</v>
      </c>
      <c r="K223" t="s">
        <v>443</v>
      </c>
      <c r="L223">
        <v>1354</v>
      </c>
      <c r="N223">
        <v>1010</v>
      </c>
      <c r="O223" t="s">
        <v>62</v>
      </c>
      <c r="P223" t="s">
        <v>62</v>
      </c>
      <c r="Q223">
        <v>1</v>
      </c>
      <c r="W223">
        <v>0</v>
      </c>
      <c r="X223">
        <v>898688576</v>
      </c>
      <c r="Y223">
        <v>1</v>
      </c>
      <c r="AA223">
        <v>367.24</v>
      </c>
      <c r="AB223">
        <v>0</v>
      </c>
      <c r="AC223">
        <v>0</v>
      </c>
      <c r="AD223">
        <v>0</v>
      </c>
      <c r="AE223">
        <v>54.73</v>
      </c>
      <c r="AF223">
        <v>0</v>
      </c>
      <c r="AG223">
        <v>0</v>
      </c>
      <c r="AH223">
        <v>0</v>
      </c>
      <c r="AI223">
        <v>6.71</v>
      </c>
      <c r="AJ223">
        <v>1</v>
      </c>
      <c r="AK223">
        <v>1</v>
      </c>
      <c r="AL223">
        <v>1</v>
      </c>
      <c r="AN223">
        <v>0</v>
      </c>
      <c r="AO223">
        <v>0</v>
      </c>
      <c r="AP223">
        <v>0</v>
      </c>
      <c r="AQ223">
        <v>0</v>
      </c>
      <c r="AR223">
        <v>0</v>
      </c>
      <c r="AS223" t="s">
        <v>6</v>
      </c>
      <c r="AT223">
        <v>1</v>
      </c>
      <c r="AU223" t="s">
        <v>6</v>
      </c>
      <c r="AV223">
        <v>0</v>
      </c>
      <c r="AW223">
        <v>1</v>
      </c>
      <c r="AX223">
        <v>-1</v>
      </c>
      <c r="AY223">
        <v>0</v>
      </c>
      <c r="AZ223">
        <v>0</v>
      </c>
      <c r="BA223" t="s">
        <v>6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Y223*Source!I145</f>
        <v>22</v>
      </c>
      <c r="CY223">
        <f>AA223</f>
        <v>367.24</v>
      </c>
      <c r="CZ223">
        <f>AE223</f>
        <v>54.73</v>
      </c>
      <c r="DA223">
        <f>AI223</f>
        <v>6.71</v>
      </c>
      <c r="DB223">
        <f t="shared" si="25"/>
        <v>54.73</v>
      </c>
      <c r="DC223">
        <f t="shared" si="26"/>
        <v>0</v>
      </c>
    </row>
    <row r="224" spans="1:107" x14ac:dyDescent="0.2">
      <c r="A224">
        <f>ROW(Source!A147)</f>
        <v>147</v>
      </c>
      <c r="B224">
        <v>16812721</v>
      </c>
      <c r="C224">
        <v>16813419</v>
      </c>
      <c r="D224">
        <v>15430497</v>
      </c>
      <c r="E224">
        <v>1</v>
      </c>
      <c r="F224">
        <v>1</v>
      </c>
      <c r="G224">
        <v>1</v>
      </c>
      <c r="H224">
        <v>1</v>
      </c>
      <c r="I224" t="s">
        <v>916</v>
      </c>
      <c r="J224" t="s">
        <v>6</v>
      </c>
      <c r="K224" t="s">
        <v>917</v>
      </c>
      <c r="L224">
        <v>1191</v>
      </c>
      <c r="N224">
        <v>1013</v>
      </c>
      <c r="O224" t="s">
        <v>773</v>
      </c>
      <c r="P224" t="s">
        <v>773</v>
      </c>
      <c r="Q224">
        <v>1</v>
      </c>
      <c r="W224">
        <v>0</v>
      </c>
      <c r="X224">
        <v>-719309759</v>
      </c>
      <c r="Y224">
        <v>71.06</v>
      </c>
      <c r="AA224">
        <v>0</v>
      </c>
      <c r="AB224">
        <v>0</v>
      </c>
      <c r="AC224">
        <v>0</v>
      </c>
      <c r="AD224">
        <v>59.45</v>
      </c>
      <c r="AE224">
        <v>0</v>
      </c>
      <c r="AF224">
        <v>0</v>
      </c>
      <c r="AG224">
        <v>0</v>
      </c>
      <c r="AH224">
        <v>8.86</v>
      </c>
      <c r="AI224">
        <v>1</v>
      </c>
      <c r="AJ224">
        <v>1</v>
      </c>
      <c r="AK224">
        <v>1</v>
      </c>
      <c r="AL224">
        <v>6.71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71.06</v>
      </c>
      <c r="AU224" t="s">
        <v>6</v>
      </c>
      <c r="AV224">
        <v>1</v>
      </c>
      <c r="AW224">
        <v>2</v>
      </c>
      <c r="AX224">
        <v>16813428</v>
      </c>
      <c r="AY224">
        <v>1</v>
      </c>
      <c r="AZ224">
        <v>0</v>
      </c>
      <c r="BA224">
        <v>220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Y224*Source!I147</f>
        <v>4.4341439999999999</v>
      </c>
      <c r="CY224">
        <f>AD224</f>
        <v>59.45</v>
      </c>
      <c r="CZ224">
        <f>AH224</f>
        <v>8.86</v>
      </c>
      <c r="DA224">
        <f>AL224</f>
        <v>6.71</v>
      </c>
      <c r="DB224">
        <f t="shared" si="25"/>
        <v>629.59</v>
      </c>
      <c r="DC224">
        <f t="shared" si="26"/>
        <v>0</v>
      </c>
    </row>
    <row r="225" spans="1:107" x14ac:dyDescent="0.2">
      <c r="A225">
        <f>ROW(Source!A147)</f>
        <v>147</v>
      </c>
      <c r="B225">
        <v>16812721</v>
      </c>
      <c r="C225">
        <v>16813419</v>
      </c>
      <c r="D225">
        <v>15430395</v>
      </c>
      <c r="E225">
        <v>1</v>
      </c>
      <c r="F225">
        <v>1</v>
      </c>
      <c r="G225">
        <v>1</v>
      </c>
      <c r="H225">
        <v>1</v>
      </c>
      <c r="I225" t="s">
        <v>774</v>
      </c>
      <c r="J225" t="s">
        <v>6</v>
      </c>
      <c r="K225" t="s">
        <v>775</v>
      </c>
      <c r="L225">
        <v>1191</v>
      </c>
      <c r="N225">
        <v>1013</v>
      </c>
      <c r="O225" t="s">
        <v>773</v>
      </c>
      <c r="P225" t="s">
        <v>773</v>
      </c>
      <c r="Q225">
        <v>1</v>
      </c>
      <c r="W225">
        <v>0</v>
      </c>
      <c r="X225">
        <v>-1417349443</v>
      </c>
      <c r="Y225">
        <v>0.04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6.71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0.04</v>
      </c>
      <c r="AU225" t="s">
        <v>6</v>
      </c>
      <c r="AV225">
        <v>2</v>
      </c>
      <c r="AW225">
        <v>2</v>
      </c>
      <c r="AX225">
        <v>16813429</v>
      </c>
      <c r="AY225">
        <v>1</v>
      </c>
      <c r="AZ225">
        <v>0</v>
      </c>
      <c r="BA225">
        <v>221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Y225*Source!I147</f>
        <v>2.496E-3</v>
      </c>
      <c r="CY225">
        <f>AD225</f>
        <v>0</v>
      </c>
      <c r="CZ225">
        <f>AH225</f>
        <v>0</v>
      </c>
      <c r="DA225">
        <f>AL225</f>
        <v>1</v>
      </c>
      <c r="DB225">
        <f t="shared" si="25"/>
        <v>0</v>
      </c>
      <c r="DC225">
        <f t="shared" si="26"/>
        <v>0</v>
      </c>
    </row>
    <row r="226" spans="1:107" x14ac:dyDescent="0.2">
      <c r="A226">
        <f>ROW(Source!A147)</f>
        <v>147</v>
      </c>
      <c r="B226">
        <v>16812721</v>
      </c>
      <c r="C226">
        <v>16813419</v>
      </c>
      <c r="D226">
        <v>15247974</v>
      </c>
      <c r="E226">
        <v>1</v>
      </c>
      <c r="F226">
        <v>1</v>
      </c>
      <c r="G226">
        <v>1</v>
      </c>
      <c r="H226">
        <v>2</v>
      </c>
      <c r="I226" t="s">
        <v>776</v>
      </c>
      <c r="J226" t="s">
        <v>777</v>
      </c>
      <c r="K226" t="s">
        <v>778</v>
      </c>
      <c r="L226">
        <v>1368</v>
      </c>
      <c r="N226">
        <v>1011</v>
      </c>
      <c r="O226" t="s">
        <v>779</v>
      </c>
      <c r="P226" t="s">
        <v>779</v>
      </c>
      <c r="Q226">
        <v>1</v>
      </c>
      <c r="W226">
        <v>0</v>
      </c>
      <c r="X226">
        <v>1188625873</v>
      </c>
      <c r="Y226">
        <v>0.01</v>
      </c>
      <c r="AA226">
        <v>0</v>
      </c>
      <c r="AB226">
        <v>209.75</v>
      </c>
      <c r="AC226">
        <v>13.5</v>
      </c>
      <c r="AD226">
        <v>0</v>
      </c>
      <c r="AE226">
        <v>0</v>
      </c>
      <c r="AF226">
        <v>31.26</v>
      </c>
      <c r="AG226">
        <v>13.5</v>
      </c>
      <c r="AH226">
        <v>0</v>
      </c>
      <c r="AI226">
        <v>1</v>
      </c>
      <c r="AJ226">
        <v>6.71</v>
      </c>
      <c r="AK226">
        <v>1</v>
      </c>
      <c r="AL226">
        <v>1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6</v>
      </c>
      <c r="AT226">
        <v>0.01</v>
      </c>
      <c r="AU226" t="s">
        <v>6</v>
      </c>
      <c r="AV226">
        <v>0</v>
      </c>
      <c r="AW226">
        <v>2</v>
      </c>
      <c r="AX226">
        <v>16813430</v>
      </c>
      <c r="AY226">
        <v>1</v>
      </c>
      <c r="AZ226">
        <v>0</v>
      </c>
      <c r="BA226">
        <v>222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Y226*Source!I147</f>
        <v>6.2399999999999999E-4</v>
      </c>
      <c r="CY226">
        <f>AB226</f>
        <v>209.75</v>
      </c>
      <c r="CZ226">
        <f>AF226</f>
        <v>31.26</v>
      </c>
      <c r="DA226">
        <f>AJ226</f>
        <v>6.71</v>
      </c>
      <c r="DB226">
        <f t="shared" si="25"/>
        <v>0.31</v>
      </c>
      <c r="DC226">
        <f t="shared" si="26"/>
        <v>0.14000000000000001</v>
      </c>
    </row>
    <row r="227" spans="1:107" x14ac:dyDescent="0.2">
      <c r="A227">
        <f>ROW(Source!A147)</f>
        <v>147</v>
      </c>
      <c r="B227">
        <v>16812721</v>
      </c>
      <c r="C227">
        <v>16813419</v>
      </c>
      <c r="D227">
        <v>15249073</v>
      </c>
      <c r="E227">
        <v>1</v>
      </c>
      <c r="F227">
        <v>1</v>
      </c>
      <c r="G227">
        <v>1</v>
      </c>
      <c r="H227">
        <v>2</v>
      </c>
      <c r="I227" t="s">
        <v>782</v>
      </c>
      <c r="J227" t="s">
        <v>783</v>
      </c>
      <c r="K227" t="s">
        <v>784</v>
      </c>
      <c r="L227">
        <v>1368</v>
      </c>
      <c r="N227">
        <v>1011</v>
      </c>
      <c r="O227" t="s">
        <v>779</v>
      </c>
      <c r="P227" t="s">
        <v>779</v>
      </c>
      <c r="Q227">
        <v>1</v>
      </c>
      <c r="W227">
        <v>0</v>
      </c>
      <c r="X227">
        <v>1372534845</v>
      </c>
      <c r="Y227">
        <v>0.03</v>
      </c>
      <c r="AA227">
        <v>0</v>
      </c>
      <c r="AB227">
        <v>440.91</v>
      </c>
      <c r="AC227">
        <v>11.6</v>
      </c>
      <c r="AD227">
        <v>0</v>
      </c>
      <c r="AE227">
        <v>0</v>
      </c>
      <c r="AF227">
        <v>65.709999999999994</v>
      </c>
      <c r="AG227">
        <v>11.6</v>
      </c>
      <c r="AH227">
        <v>0</v>
      </c>
      <c r="AI227">
        <v>1</v>
      </c>
      <c r="AJ227">
        <v>6.71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0.03</v>
      </c>
      <c r="AU227" t="s">
        <v>6</v>
      </c>
      <c r="AV227">
        <v>0</v>
      </c>
      <c r="AW227">
        <v>2</v>
      </c>
      <c r="AX227">
        <v>16813431</v>
      </c>
      <c r="AY227">
        <v>1</v>
      </c>
      <c r="AZ227">
        <v>0</v>
      </c>
      <c r="BA227">
        <v>223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Y227*Source!I147</f>
        <v>1.8719999999999997E-3</v>
      </c>
      <c r="CY227">
        <f>AB227</f>
        <v>440.91</v>
      </c>
      <c r="CZ227">
        <f>AF227</f>
        <v>65.709999999999994</v>
      </c>
      <c r="DA227">
        <f>AJ227</f>
        <v>6.71</v>
      </c>
      <c r="DB227">
        <f t="shared" si="25"/>
        <v>1.97</v>
      </c>
      <c r="DC227">
        <f t="shared" si="26"/>
        <v>0.35</v>
      </c>
    </row>
    <row r="228" spans="1:107" x14ac:dyDescent="0.2">
      <c r="A228">
        <f>ROW(Source!A147)</f>
        <v>147</v>
      </c>
      <c r="B228">
        <v>16812721</v>
      </c>
      <c r="C228">
        <v>16813419</v>
      </c>
      <c r="D228">
        <v>15171018</v>
      </c>
      <c r="E228">
        <v>1</v>
      </c>
      <c r="F228">
        <v>1</v>
      </c>
      <c r="G228">
        <v>1</v>
      </c>
      <c r="H228">
        <v>3</v>
      </c>
      <c r="I228" t="s">
        <v>824</v>
      </c>
      <c r="J228" t="s">
        <v>825</v>
      </c>
      <c r="K228" t="s">
        <v>826</v>
      </c>
      <c r="L228">
        <v>1346</v>
      </c>
      <c r="N228">
        <v>1009</v>
      </c>
      <c r="O228" t="s">
        <v>277</v>
      </c>
      <c r="P228" t="s">
        <v>277</v>
      </c>
      <c r="Q228">
        <v>1</v>
      </c>
      <c r="W228">
        <v>0</v>
      </c>
      <c r="X228">
        <v>813963326</v>
      </c>
      <c r="Y228">
        <v>0.3</v>
      </c>
      <c r="AA228">
        <v>12.21</v>
      </c>
      <c r="AB228">
        <v>0</v>
      </c>
      <c r="AC228">
        <v>0</v>
      </c>
      <c r="AD228">
        <v>0</v>
      </c>
      <c r="AE228">
        <v>1.82</v>
      </c>
      <c r="AF228">
        <v>0</v>
      </c>
      <c r="AG228">
        <v>0</v>
      </c>
      <c r="AH228">
        <v>0</v>
      </c>
      <c r="AI228">
        <v>6.71</v>
      </c>
      <c r="AJ228">
        <v>1</v>
      </c>
      <c r="AK228">
        <v>1</v>
      </c>
      <c r="AL228">
        <v>1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6</v>
      </c>
      <c r="AT228">
        <v>0.3</v>
      </c>
      <c r="AU228" t="s">
        <v>6</v>
      </c>
      <c r="AV228">
        <v>0</v>
      </c>
      <c r="AW228">
        <v>2</v>
      </c>
      <c r="AX228">
        <v>16813432</v>
      </c>
      <c r="AY228">
        <v>1</v>
      </c>
      <c r="AZ228">
        <v>0</v>
      </c>
      <c r="BA228">
        <v>224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Y228*Source!I147</f>
        <v>1.8719999999999997E-2</v>
      </c>
      <c r="CY228">
        <f>AA228</f>
        <v>12.21</v>
      </c>
      <c r="CZ228">
        <f>AE228</f>
        <v>1.82</v>
      </c>
      <c r="DA228">
        <f>AI228</f>
        <v>6.71</v>
      </c>
      <c r="DB228">
        <f t="shared" si="25"/>
        <v>0.55000000000000004</v>
      </c>
      <c r="DC228">
        <f t="shared" si="26"/>
        <v>0</v>
      </c>
    </row>
    <row r="229" spans="1:107" x14ac:dyDescent="0.2">
      <c r="A229">
        <f>ROW(Source!A147)</f>
        <v>147</v>
      </c>
      <c r="B229">
        <v>16812721</v>
      </c>
      <c r="C229">
        <v>16813419</v>
      </c>
      <c r="D229">
        <v>15163068</v>
      </c>
      <c r="E229">
        <v>17</v>
      </c>
      <c r="F229">
        <v>1</v>
      </c>
      <c r="G229">
        <v>1</v>
      </c>
      <c r="H229">
        <v>3</v>
      </c>
      <c r="I229" t="s">
        <v>450</v>
      </c>
      <c r="J229" t="s">
        <v>6</v>
      </c>
      <c r="K229" t="s">
        <v>451</v>
      </c>
      <c r="L229">
        <v>1348</v>
      </c>
      <c r="N229">
        <v>1009</v>
      </c>
      <c r="O229" t="s">
        <v>145</v>
      </c>
      <c r="P229" t="s">
        <v>145</v>
      </c>
      <c r="Q229">
        <v>1000</v>
      </c>
      <c r="W229">
        <v>0</v>
      </c>
      <c r="X229">
        <v>84301199</v>
      </c>
      <c r="Y229">
        <v>2.46E-2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6.71</v>
      </c>
      <c r="AJ229">
        <v>1</v>
      </c>
      <c r="AK229">
        <v>1</v>
      </c>
      <c r="AL229">
        <v>1</v>
      </c>
      <c r="AN229">
        <v>0</v>
      </c>
      <c r="AO229">
        <v>0</v>
      </c>
      <c r="AP229">
        <v>0</v>
      </c>
      <c r="AQ229">
        <v>0</v>
      </c>
      <c r="AR229">
        <v>0</v>
      </c>
      <c r="AS229" t="s">
        <v>6</v>
      </c>
      <c r="AT229">
        <v>2.46E-2</v>
      </c>
      <c r="AU229" t="s">
        <v>6</v>
      </c>
      <c r="AV229">
        <v>0</v>
      </c>
      <c r="AW229">
        <v>2</v>
      </c>
      <c r="AX229">
        <v>16813433</v>
      </c>
      <c r="AY229">
        <v>1</v>
      </c>
      <c r="AZ229">
        <v>0</v>
      </c>
      <c r="BA229">
        <v>225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Y229*Source!I147</f>
        <v>1.5350399999999999E-3</v>
      </c>
      <c r="CY229">
        <f>AA229</f>
        <v>0</v>
      </c>
      <c r="CZ229">
        <f>AE229</f>
        <v>0</v>
      </c>
      <c r="DA229">
        <f>AI229</f>
        <v>6.71</v>
      </c>
      <c r="DB229">
        <f t="shared" si="25"/>
        <v>0</v>
      </c>
      <c r="DC229">
        <f t="shared" si="26"/>
        <v>0</v>
      </c>
    </row>
    <row r="230" spans="1:107" x14ac:dyDescent="0.2">
      <c r="A230">
        <f>ROW(Source!A147)</f>
        <v>147</v>
      </c>
      <c r="B230">
        <v>16812721</v>
      </c>
      <c r="C230">
        <v>16813419</v>
      </c>
      <c r="D230">
        <v>15203725</v>
      </c>
      <c r="E230">
        <v>1</v>
      </c>
      <c r="F230">
        <v>1</v>
      </c>
      <c r="G230">
        <v>1</v>
      </c>
      <c r="H230">
        <v>3</v>
      </c>
      <c r="I230" t="s">
        <v>453</v>
      </c>
      <c r="J230" t="s">
        <v>455</v>
      </c>
      <c r="K230" t="s">
        <v>454</v>
      </c>
      <c r="L230">
        <v>1348</v>
      </c>
      <c r="N230">
        <v>1009</v>
      </c>
      <c r="O230" t="s">
        <v>145</v>
      </c>
      <c r="P230" t="s">
        <v>145</v>
      </c>
      <c r="Q230">
        <v>1000</v>
      </c>
      <c r="W230">
        <v>0</v>
      </c>
      <c r="X230">
        <v>-777870615</v>
      </c>
      <c r="Y230">
        <v>2.4598999999999999E-2</v>
      </c>
      <c r="AA230">
        <v>285229.95</v>
      </c>
      <c r="AB230">
        <v>0</v>
      </c>
      <c r="AC230">
        <v>0</v>
      </c>
      <c r="AD230">
        <v>0</v>
      </c>
      <c r="AE230">
        <v>42508.19</v>
      </c>
      <c r="AF230">
        <v>0</v>
      </c>
      <c r="AG230">
        <v>0</v>
      </c>
      <c r="AH230">
        <v>0</v>
      </c>
      <c r="AI230">
        <v>6.71</v>
      </c>
      <c r="AJ230">
        <v>1</v>
      </c>
      <c r="AK230">
        <v>1</v>
      </c>
      <c r="AL230">
        <v>1</v>
      </c>
      <c r="AN230">
        <v>0</v>
      </c>
      <c r="AO230">
        <v>0</v>
      </c>
      <c r="AP230">
        <v>0</v>
      </c>
      <c r="AQ230">
        <v>0</v>
      </c>
      <c r="AR230">
        <v>0</v>
      </c>
      <c r="AS230" t="s">
        <v>6</v>
      </c>
      <c r="AT230">
        <v>2.4598999999999999E-2</v>
      </c>
      <c r="AU230" t="s">
        <v>6</v>
      </c>
      <c r="AV230">
        <v>0</v>
      </c>
      <c r="AW230">
        <v>1</v>
      </c>
      <c r="AX230">
        <v>-1</v>
      </c>
      <c r="AY230">
        <v>0</v>
      </c>
      <c r="AZ230">
        <v>0</v>
      </c>
      <c r="BA230" t="s">
        <v>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Y230*Source!I147</f>
        <v>1.5349775999999999E-3</v>
      </c>
      <c r="CY230">
        <f>AA230</f>
        <v>285229.95</v>
      </c>
      <c r="CZ230">
        <f>AE230</f>
        <v>42508.19</v>
      </c>
      <c r="DA230">
        <f>AI230</f>
        <v>6.71</v>
      </c>
      <c r="DB230">
        <f t="shared" si="25"/>
        <v>1045.6600000000001</v>
      </c>
      <c r="DC230">
        <f t="shared" si="26"/>
        <v>0</v>
      </c>
    </row>
    <row r="231" spans="1:107" x14ac:dyDescent="0.2">
      <c r="A231">
        <f>ROW(Source!A147)</f>
        <v>147</v>
      </c>
      <c r="B231">
        <v>16812721</v>
      </c>
      <c r="C231">
        <v>16813419</v>
      </c>
      <c r="D231">
        <v>15204471</v>
      </c>
      <c r="E231">
        <v>1</v>
      </c>
      <c r="F231">
        <v>1</v>
      </c>
      <c r="G231">
        <v>1</v>
      </c>
      <c r="H231">
        <v>3</v>
      </c>
      <c r="I231" t="s">
        <v>980</v>
      </c>
      <c r="J231" t="s">
        <v>981</v>
      </c>
      <c r="K231" t="s">
        <v>982</v>
      </c>
      <c r="L231">
        <v>1346</v>
      </c>
      <c r="N231">
        <v>1009</v>
      </c>
      <c r="O231" t="s">
        <v>277</v>
      </c>
      <c r="P231" t="s">
        <v>277</v>
      </c>
      <c r="Q231">
        <v>1</v>
      </c>
      <c r="W231">
        <v>0</v>
      </c>
      <c r="X231">
        <v>-608190322</v>
      </c>
      <c r="Y231">
        <v>2.7</v>
      </c>
      <c r="AA231">
        <v>218.75</v>
      </c>
      <c r="AB231">
        <v>0</v>
      </c>
      <c r="AC231">
        <v>0</v>
      </c>
      <c r="AD231">
        <v>0</v>
      </c>
      <c r="AE231">
        <v>32.6</v>
      </c>
      <c r="AF231">
        <v>0</v>
      </c>
      <c r="AG231">
        <v>0</v>
      </c>
      <c r="AH231">
        <v>0</v>
      </c>
      <c r="AI231">
        <v>6.71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6</v>
      </c>
      <c r="AT231">
        <v>2.7</v>
      </c>
      <c r="AU231" t="s">
        <v>6</v>
      </c>
      <c r="AV231">
        <v>0</v>
      </c>
      <c r="AW231">
        <v>2</v>
      </c>
      <c r="AX231">
        <v>16813434</v>
      </c>
      <c r="AY231">
        <v>1</v>
      </c>
      <c r="AZ231">
        <v>0</v>
      </c>
      <c r="BA231">
        <v>226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Y231*Source!I147</f>
        <v>0.16847999999999999</v>
      </c>
      <c r="CY231">
        <f>AA231</f>
        <v>218.75</v>
      </c>
      <c r="CZ231">
        <f>AE231</f>
        <v>32.6</v>
      </c>
      <c r="DA231">
        <f>AI231</f>
        <v>6.71</v>
      </c>
      <c r="DB231">
        <f t="shared" si="25"/>
        <v>88.02</v>
      </c>
      <c r="DC231">
        <f t="shared" si="26"/>
        <v>0</v>
      </c>
    </row>
    <row r="232" spans="1:107" x14ac:dyDescent="0.2">
      <c r="A232">
        <f>ROW(Source!A150)</f>
        <v>150</v>
      </c>
      <c r="B232">
        <v>16812721</v>
      </c>
      <c r="C232">
        <v>16813437</v>
      </c>
      <c r="D232">
        <v>15430767</v>
      </c>
      <c r="E232">
        <v>1</v>
      </c>
      <c r="F232">
        <v>1</v>
      </c>
      <c r="G232">
        <v>1</v>
      </c>
      <c r="H232">
        <v>1</v>
      </c>
      <c r="I232" t="s">
        <v>799</v>
      </c>
      <c r="J232" t="s">
        <v>6</v>
      </c>
      <c r="K232" t="s">
        <v>800</v>
      </c>
      <c r="L232">
        <v>1191</v>
      </c>
      <c r="N232">
        <v>1013</v>
      </c>
      <c r="O232" t="s">
        <v>773</v>
      </c>
      <c r="P232" t="s">
        <v>773</v>
      </c>
      <c r="Q232">
        <v>1</v>
      </c>
      <c r="W232">
        <v>0</v>
      </c>
      <c r="X232">
        <v>-400197608</v>
      </c>
      <c r="Y232">
        <v>15.73</v>
      </c>
      <c r="AA232">
        <v>0</v>
      </c>
      <c r="AB232">
        <v>0</v>
      </c>
      <c r="AC232">
        <v>0</v>
      </c>
      <c r="AD232">
        <v>57.24</v>
      </c>
      <c r="AE232">
        <v>0</v>
      </c>
      <c r="AF232">
        <v>0</v>
      </c>
      <c r="AG232">
        <v>0</v>
      </c>
      <c r="AH232">
        <v>8.5299999999999994</v>
      </c>
      <c r="AI232">
        <v>1</v>
      </c>
      <c r="AJ232">
        <v>1</v>
      </c>
      <c r="AK232">
        <v>1</v>
      </c>
      <c r="AL232">
        <v>6.71</v>
      </c>
      <c r="AN232">
        <v>0</v>
      </c>
      <c r="AO232">
        <v>1</v>
      </c>
      <c r="AP232">
        <v>0</v>
      </c>
      <c r="AQ232">
        <v>0</v>
      </c>
      <c r="AR232">
        <v>0</v>
      </c>
      <c r="AS232" t="s">
        <v>6</v>
      </c>
      <c r="AT232">
        <v>15.73</v>
      </c>
      <c r="AU232" t="s">
        <v>6</v>
      </c>
      <c r="AV232">
        <v>1</v>
      </c>
      <c r="AW232">
        <v>2</v>
      </c>
      <c r="AX232">
        <v>16813439</v>
      </c>
      <c r="AY232">
        <v>1</v>
      </c>
      <c r="AZ232">
        <v>0</v>
      </c>
      <c r="BA232">
        <v>227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Y232*Source!I150</f>
        <v>1.7302999999999999</v>
      </c>
      <c r="CY232">
        <f>AD232</f>
        <v>57.24</v>
      </c>
      <c r="CZ232">
        <f>AH232</f>
        <v>8.5299999999999994</v>
      </c>
      <c r="DA232">
        <f>AL232</f>
        <v>6.71</v>
      </c>
      <c r="DB232">
        <f t="shared" si="25"/>
        <v>134.18</v>
      </c>
      <c r="DC232">
        <f t="shared" si="26"/>
        <v>0</v>
      </c>
    </row>
    <row r="233" spans="1:107" x14ac:dyDescent="0.2">
      <c r="A233">
        <f>ROW(Source!A186)</f>
        <v>186</v>
      </c>
      <c r="B233">
        <v>16812721</v>
      </c>
      <c r="C233">
        <v>16813441</v>
      </c>
      <c r="D233">
        <v>15435721</v>
      </c>
      <c r="E233">
        <v>1</v>
      </c>
      <c r="F233">
        <v>1</v>
      </c>
      <c r="G233">
        <v>1</v>
      </c>
      <c r="H233">
        <v>1</v>
      </c>
      <c r="I233" t="s">
        <v>816</v>
      </c>
      <c r="J233" t="s">
        <v>6</v>
      </c>
      <c r="K233" t="s">
        <v>817</v>
      </c>
      <c r="L233">
        <v>1191</v>
      </c>
      <c r="N233">
        <v>1013</v>
      </c>
      <c r="O233" t="s">
        <v>773</v>
      </c>
      <c r="P233" t="s">
        <v>773</v>
      </c>
      <c r="Q233">
        <v>1</v>
      </c>
      <c r="W233">
        <v>0</v>
      </c>
      <c r="X233">
        <v>1983201532</v>
      </c>
      <c r="Y233">
        <v>4.8869999999999996</v>
      </c>
      <c r="AA233">
        <v>0</v>
      </c>
      <c r="AB233">
        <v>0</v>
      </c>
      <c r="AC233">
        <v>0</v>
      </c>
      <c r="AD233">
        <v>63.81</v>
      </c>
      <c r="AE233">
        <v>0</v>
      </c>
      <c r="AF233">
        <v>0</v>
      </c>
      <c r="AG233">
        <v>0</v>
      </c>
      <c r="AH233">
        <v>9.51</v>
      </c>
      <c r="AI233">
        <v>1</v>
      </c>
      <c r="AJ233">
        <v>1</v>
      </c>
      <c r="AK233">
        <v>1</v>
      </c>
      <c r="AL233">
        <v>6.71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16.29</v>
      </c>
      <c r="AU233" t="s">
        <v>471</v>
      </c>
      <c r="AV233">
        <v>1</v>
      </c>
      <c r="AW233">
        <v>2</v>
      </c>
      <c r="AX233">
        <v>16813448</v>
      </c>
      <c r="AY233">
        <v>1</v>
      </c>
      <c r="AZ233">
        <v>0</v>
      </c>
      <c r="BA233">
        <v>228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Y233*Source!I186</f>
        <v>4.6915199999999997</v>
      </c>
      <c r="CY233">
        <f>AD233</f>
        <v>63.81</v>
      </c>
      <c r="CZ233">
        <f>AH233</f>
        <v>9.51</v>
      </c>
      <c r="DA233">
        <f>AL233</f>
        <v>6.71</v>
      </c>
      <c r="DB233">
        <f>ROUND((ROUND(AT233*CZ233,2)*0.3),2)</f>
        <v>46.48</v>
      </c>
      <c r="DC233">
        <f>ROUND((ROUND(AT233*AG233,2)*0.3),2)</f>
        <v>0</v>
      </c>
    </row>
    <row r="234" spans="1:107" x14ac:dyDescent="0.2">
      <c r="A234">
        <f>ROW(Source!A186)</f>
        <v>186</v>
      </c>
      <c r="B234">
        <v>16812721</v>
      </c>
      <c r="C234">
        <v>16813441</v>
      </c>
      <c r="D234">
        <v>15430395</v>
      </c>
      <c r="E234">
        <v>1</v>
      </c>
      <c r="F234">
        <v>1</v>
      </c>
      <c r="G234">
        <v>1</v>
      </c>
      <c r="H234">
        <v>1</v>
      </c>
      <c r="I234" t="s">
        <v>774</v>
      </c>
      <c r="J234" t="s">
        <v>6</v>
      </c>
      <c r="K234" t="s">
        <v>775</v>
      </c>
      <c r="L234">
        <v>1191</v>
      </c>
      <c r="N234">
        <v>1013</v>
      </c>
      <c r="O234" t="s">
        <v>773</v>
      </c>
      <c r="P234" t="s">
        <v>773</v>
      </c>
      <c r="Q234">
        <v>1</v>
      </c>
      <c r="W234">
        <v>0</v>
      </c>
      <c r="X234">
        <v>-1417349443</v>
      </c>
      <c r="Y234">
        <v>0.01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1</v>
      </c>
      <c r="AJ234">
        <v>1</v>
      </c>
      <c r="AK234">
        <v>6.71</v>
      </c>
      <c r="AL234">
        <v>1</v>
      </c>
      <c r="AN234">
        <v>0</v>
      </c>
      <c r="AO234">
        <v>1</v>
      </c>
      <c r="AP234">
        <v>0</v>
      </c>
      <c r="AQ234">
        <v>0</v>
      </c>
      <c r="AR234">
        <v>0</v>
      </c>
      <c r="AS234" t="s">
        <v>6</v>
      </c>
      <c r="AT234">
        <v>0.01</v>
      </c>
      <c r="AU234" t="s">
        <v>6</v>
      </c>
      <c r="AV234">
        <v>2</v>
      </c>
      <c r="AW234">
        <v>2</v>
      </c>
      <c r="AX234">
        <v>16813449</v>
      </c>
      <c r="AY234">
        <v>1</v>
      </c>
      <c r="AZ234">
        <v>2048</v>
      </c>
      <c r="BA234">
        <v>229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Y234*Source!I186</f>
        <v>9.5999999999999992E-3</v>
      </c>
      <c r="CY234">
        <f>AD234</f>
        <v>0</v>
      </c>
      <c r="CZ234">
        <f>AH234</f>
        <v>0</v>
      </c>
      <c r="DA234">
        <f>AL234</f>
        <v>1</v>
      </c>
      <c r="DB234">
        <f>ROUND(ROUND(AT234*CZ234,2),2)</f>
        <v>0</v>
      </c>
      <c r="DC234">
        <f>ROUND(ROUND(AT234*AG234,2),2)</f>
        <v>0</v>
      </c>
    </row>
    <row r="235" spans="1:107" x14ac:dyDescent="0.2">
      <c r="A235">
        <f>ROW(Source!A186)</f>
        <v>186</v>
      </c>
      <c r="B235">
        <v>16812721</v>
      </c>
      <c r="C235">
        <v>16813441</v>
      </c>
      <c r="D235">
        <v>15247974</v>
      </c>
      <c r="E235">
        <v>1</v>
      </c>
      <c r="F235">
        <v>1</v>
      </c>
      <c r="G235">
        <v>1</v>
      </c>
      <c r="H235">
        <v>2</v>
      </c>
      <c r="I235" t="s">
        <v>776</v>
      </c>
      <c r="J235" t="s">
        <v>777</v>
      </c>
      <c r="K235" t="s">
        <v>778</v>
      </c>
      <c r="L235">
        <v>1368</v>
      </c>
      <c r="N235">
        <v>1011</v>
      </c>
      <c r="O235" t="s">
        <v>779</v>
      </c>
      <c r="P235" t="s">
        <v>779</v>
      </c>
      <c r="Q235">
        <v>1</v>
      </c>
      <c r="W235">
        <v>0</v>
      </c>
      <c r="X235">
        <v>1188625873</v>
      </c>
      <c r="Y235">
        <v>3.0000000000000001E-3</v>
      </c>
      <c r="AA235">
        <v>0</v>
      </c>
      <c r="AB235">
        <v>209.75</v>
      </c>
      <c r="AC235">
        <v>13.5</v>
      </c>
      <c r="AD235">
        <v>0</v>
      </c>
      <c r="AE235">
        <v>0</v>
      </c>
      <c r="AF235">
        <v>31.26</v>
      </c>
      <c r="AG235">
        <v>13.5</v>
      </c>
      <c r="AH235">
        <v>0</v>
      </c>
      <c r="AI235">
        <v>1</v>
      </c>
      <c r="AJ235">
        <v>6.71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6</v>
      </c>
      <c r="AT235">
        <v>0.01</v>
      </c>
      <c r="AU235" t="s">
        <v>471</v>
      </c>
      <c r="AV235">
        <v>0</v>
      </c>
      <c r="AW235">
        <v>2</v>
      </c>
      <c r="AX235">
        <v>16813450</v>
      </c>
      <c r="AY235">
        <v>1</v>
      </c>
      <c r="AZ235">
        <v>0</v>
      </c>
      <c r="BA235">
        <v>230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Y235*Source!I186</f>
        <v>2.8799999999999997E-3</v>
      </c>
      <c r="CY235">
        <f>AB235</f>
        <v>209.75</v>
      </c>
      <c r="CZ235">
        <f>AF235</f>
        <v>31.26</v>
      </c>
      <c r="DA235">
        <f>AJ235</f>
        <v>6.71</v>
      </c>
      <c r="DB235">
        <f>ROUND((ROUND(AT235*CZ235,2)*0.3),2)</f>
        <v>0.09</v>
      </c>
      <c r="DC235">
        <f>ROUND((ROUND(AT235*AG235,2)*0.3),2)</f>
        <v>0.04</v>
      </c>
    </row>
    <row r="236" spans="1:107" x14ac:dyDescent="0.2">
      <c r="A236">
        <f>ROW(Source!A186)</f>
        <v>186</v>
      </c>
      <c r="B236">
        <v>16812721</v>
      </c>
      <c r="C236">
        <v>16813441</v>
      </c>
      <c r="D236">
        <v>15170076</v>
      </c>
      <c r="E236">
        <v>1</v>
      </c>
      <c r="F236">
        <v>1</v>
      </c>
      <c r="G236">
        <v>1</v>
      </c>
      <c r="H236">
        <v>3</v>
      </c>
      <c r="I236" t="s">
        <v>983</v>
      </c>
      <c r="J236" t="s">
        <v>984</v>
      </c>
      <c r="K236" t="s">
        <v>985</v>
      </c>
      <c r="L236">
        <v>1356</v>
      </c>
      <c r="N236">
        <v>1010</v>
      </c>
      <c r="O236" t="s">
        <v>882</v>
      </c>
      <c r="P236" t="s">
        <v>882</v>
      </c>
      <c r="Q236">
        <v>1000</v>
      </c>
      <c r="W236">
        <v>0</v>
      </c>
      <c r="X236">
        <v>1975348994</v>
      </c>
      <c r="Y236">
        <v>0</v>
      </c>
      <c r="AA236">
        <v>1207.8</v>
      </c>
      <c r="AB236">
        <v>0</v>
      </c>
      <c r="AC236">
        <v>0</v>
      </c>
      <c r="AD236">
        <v>0</v>
      </c>
      <c r="AE236">
        <v>180</v>
      </c>
      <c r="AF236">
        <v>0</v>
      </c>
      <c r="AG236">
        <v>0</v>
      </c>
      <c r="AH236">
        <v>0</v>
      </c>
      <c r="AI236">
        <v>6.71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6</v>
      </c>
      <c r="AT236">
        <v>0.2</v>
      </c>
      <c r="AU236" t="s">
        <v>31</v>
      </c>
      <c r="AV236">
        <v>0</v>
      </c>
      <c r="AW236">
        <v>2</v>
      </c>
      <c r="AX236">
        <v>16813451</v>
      </c>
      <c r="AY236">
        <v>1</v>
      </c>
      <c r="AZ236">
        <v>0</v>
      </c>
      <c r="BA236">
        <v>231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Y236*Source!I186</f>
        <v>0</v>
      </c>
      <c r="CY236">
        <f>AA236</f>
        <v>1207.8</v>
      </c>
      <c r="CZ236">
        <f>AE236</f>
        <v>180</v>
      </c>
      <c r="DA236">
        <f>AI236</f>
        <v>6.71</v>
      </c>
      <c r="DB236">
        <f>ROUND((ROUND(AT236*CZ236,2)*0),2)</f>
        <v>0</v>
      </c>
      <c r="DC236">
        <f>ROUND((ROUND(AT236*AG236,2)*0),2)</f>
        <v>0</v>
      </c>
    </row>
    <row r="237" spans="1:107" x14ac:dyDescent="0.2">
      <c r="A237">
        <f>ROW(Source!A186)</f>
        <v>186</v>
      </c>
      <c r="B237">
        <v>16812721</v>
      </c>
      <c r="C237">
        <v>16813441</v>
      </c>
      <c r="D237">
        <v>15170438</v>
      </c>
      <c r="E237">
        <v>1</v>
      </c>
      <c r="F237">
        <v>1</v>
      </c>
      <c r="G237">
        <v>1</v>
      </c>
      <c r="H237">
        <v>3</v>
      </c>
      <c r="I237" t="s">
        <v>986</v>
      </c>
      <c r="J237" t="s">
        <v>987</v>
      </c>
      <c r="K237" t="s">
        <v>988</v>
      </c>
      <c r="L237">
        <v>1348</v>
      </c>
      <c r="N237">
        <v>1009</v>
      </c>
      <c r="O237" t="s">
        <v>145</v>
      </c>
      <c r="P237" t="s">
        <v>145</v>
      </c>
      <c r="Q237">
        <v>1000</v>
      </c>
      <c r="W237">
        <v>0</v>
      </c>
      <c r="X237">
        <v>-1755229539</v>
      </c>
      <c r="Y237">
        <v>0</v>
      </c>
      <c r="AA237">
        <v>83405.3</v>
      </c>
      <c r="AB237">
        <v>0</v>
      </c>
      <c r="AC237">
        <v>0</v>
      </c>
      <c r="AD237">
        <v>0</v>
      </c>
      <c r="AE237">
        <v>12430</v>
      </c>
      <c r="AF237">
        <v>0</v>
      </c>
      <c r="AG237">
        <v>0</v>
      </c>
      <c r="AH237">
        <v>0</v>
      </c>
      <c r="AI237">
        <v>6.71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6</v>
      </c>
      <c r="AT237">
        <v>1E-3</v>
      </c>
      <c r="AU237" t="s">
        <v>31</v>
      </c>
      <c r="AV237">
        <v>0</v>
      </c>
      <c r="AW237">
        <v>2</v>
      </c>
      <c r="AX237">
        <v>16813452</v>
      </c>
      <c r="AY237">
        <v>1</v>
      </c>
      <c r="AZ237">
        <v>0</v>
      </c>
      <c r="BA237">
        <v>232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Y237*Source!I186</f>
        <v>0</v>
      </c>
      <c r="CY237">
        <f>AA237</f>
        <v>83405.3</v>
      </c>
      <c r="CZ237">
        <f>AE237</f>
        <v>12430</v>
      </c>
      <c r="DA237">
        <f>AI237</f>
        <v>6.71</v>
      </c>
      <c r="DB237">
        <f>ROUND((ROUND(AT237*CZ237,2)*0),2)</f>
        <v>0</v>
      </c>
      <c r="DC237">
        <f>ROUND((ROUND(AT237*AG237,2)*0),2)</f>
        <v>0</v>
      </c>
    </row>
    <row r="238" spans="1:107" x14ac:dyDescent="0.2">
      <c r="A238">
        <f>ROW(Source!A186)</f>
        <v>186</v>
      </c>
      <c r="B238">
        <v>16812721</v>
      </c>
      <c r="C238">
        <v>16813441</v>
      </c>
      <c r="D238">
        <v>15164559</v>
      </c>
      <c r="E238">
        <v>17</v>
      </c>
      <c r="F238">
        <v>1</v>
      </c>
      <c r="G238">
        <v>1</v>
      </c>
      <c r="H238">
        <v>3</v>
      </c>
      <c r="I238" t="s">
        <v>989</v>
      </c>
      <c r="J238" t="s">
        <v>6</v>
      </c>
      <c r="K238" t="s">
        <v>990</v>
      </c>
      <c r="L238">
        <v>1374</v>
      </c>
      <c r="N238">
        <v>1013</v>
      </c>
      <c r="O238" t="s">
        <v>991</v>
      </c>
      <c r="P238" t="s">
        <v>991</v>
      </c>
      <c r="Q238">
        <v>1</v>
      </c>
      <c r="W238">
        <v>0</v>
      </c>
      <c r="X238">
        <v>-1731369543</v>
      </c>
      <c r="Y238">
        <v>0</v>
      </c>
      <c r="AA238">
        <v>1</v>
      </c>
      <c r="AB238">
        <v>0</v>
      </c>
      <c r="AC238">
        <v>0</v>
      </c>
      <c r="AD238">
        <v>0</v>
      </c>
      <c r="AE238">
        <v>1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1</v>
      </c>
      <c r="AP238">
        <v>1</v>
      </c>
      <c r="AQ238">
        <v>0</v>
      </c>
      <c r="AR238">
        <v>0</v>
      </c>
      <c r="AS238" t="s">
        <v>6</v>
      </c>
      <c r="AT238">
        <v>3.1</v>
      </c>
      <c r="AU238" t="s">
        <v>31</v>
      </c>
      <c r="AV238">
        <v>0</v>
      </c>
      <c r="AW238">
        <v>2</v>
      </c>
      <c r="AX238">
        <v>16813453</v>
      </c>
      <c r="AY238">
        <v>1</v>
      </c>
      <c r="AZ238">
        <v>0</v>
      </c>
      <c r="BA238">
        <v>233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Y238*Source!I186</f>
        <v>0</v>
      </c>
      <c r="CY238">
        <f>AA238</f>
        <v>1</v>
      </c>
      <c r="CZ238">
        <f>AE238</f>
        <v>1</v>
      </c>
      <c r="DA238">
        <f>AI238</f>
        <v>1</v>
      </c>
      <c r="DB238">
        <f>ROUND((ROUND(AT238*CZ238,2)*0),2)</f>
        <v>0</v>
      </c>
      <c r="DC238">
        <f>ROUND((ROUND(AT238*AG238,2)*0),2)</f>
        <v>0</v>
      </c>
    </row>
    <row r="239" spans="1:107" x14ac:dyDescent="0.2">
      <c r="A239">
        <f>ROW(Source!A187)</f>
        <v>187</v>
      </c>
      <c r="B239">
        <v>16812721</v>
      </c>
      <c r="C239">
        <v>16813454</v>
      </c>
      <c r="D239">
        <v>15446300</v>
      </c>
      <c r="E239">
        <v>1</v>
      </c>
      <c r="F239">
        <v>1</v>
      </c>
      <c r="G239">
        <v>1</v>
      </c>
      <c r="H239">
        <v>1</v>
      </c>
      <c r="I239" t="s">
        <v>780</v>
      </c>
      <c r="J239" t="s">
        <v>6</v>
      </c>
      <c r="K239" t="s">
        <v>781</v>
      </c>
      <c r="L239">
        <v>1191</v>
      </c>
      <c r="N239">
        <v>1013</v>
      </c>
      <c r="O239" t="s">
        <v>773</v>
      </c>
      <c r="P239" t="s">
        <v>773</v>
      </c>
      <c r="Q239">
        <v>1</v>
      </c>
      <c r="W239">
        <v>0</v>
      </c>
      <c r="X239">
        <v>912892513</v>
      </c>
      <c r="Y239">
        <v>103.6</v>
      </c>
      <c r="AA239">
        <v>0</v>
      </c>
      <c r="AB239">
        <v>0</v>
      </c>
      <c r="AC239">
        <v>0</v>
      </c>
      <c r="AD239">
        <v>66.56</v>
      </c>
      <c r="AE239">
        <v>0</v>
      </c>
      <c r="AF239">
        <v>0</v>
      </c>
      <c r="AG239">
        <v>0</v>
      </c>
      <c r="AH239">
        <v>9.92</v>
      </c>
      <c r="AI239">
        <v>1</v>
      </c>
      <c r="AJ239">
        <v>1</v>
      </c>
      <c r="AK239">
        <v>1</v>
      </c>
      <c r="AL239">
        <v>6.71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6</v>
      </c>
      <c r="AT239">
        <v>148</v>
      </c>
      <c r="AU239" t="s">
        <v>32</v>
      </c>
      <c r="AV239">
        <v>1</v>
      </c>
      <c r="AW239">
        <v>2</v>
      </c>
      <c r="AX239">
        <v>16813462</v>
      </c>
      <c r="AY239">
        <v>1</v>
      </c>
      <c r="AZ239">
        <v>0</v>
      </c>
      <c r="BA239">
        <v>234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Y239*Source!I187</f>
        <v>22.791999999999998</v>
      </c>
      <c r="CY239">
        <f>AD239</f>
        <v>66.56</v>
      </c>
      <c r="CZ239">
        <f>AH239</f>
        <v>9.92</v>
      </c>
      <c r="DA239">
        <f>AL239</f>
        <v>6.71</v>
      </c>
      <c r="DB239">
        <f>ROUND((ROUND(AT239*CZ239,2)*0.7),2)</f>
        <v>1027.71</v>
      </c>
      <c r="DC239">
        <f>ROUND((ROUND(AT239*AG239,2)*0.7),2)</f>
        <v>0</v>
      </c>
    </row>
    <row r="240" spans="1:107" x14ac:dyDescent="0.2">
      <c r="A240">
        <f>ROW(Source!A187)</f>
        <v>187</v>
      </c>
      <c r="B240">
        <v>16812721</v>
      </c>
      <c r="C240">
        <v>16813454</v>
      </c>
      <c r="D240">
        <v>15430395</v>
      </c>
      <c r="E240">
        <v>1</v>
      </c>
      <c r="F240">
        <v>1</v>
      </c>
      <c r="G240">
        <v>1</v>
      </c>
      <c r="H240">
        <v>1</v>
      </c>
      <c r="I240" t="s">
        <v>774</v>
      </c>
      <c r="J240" t="s">
        <v>6</v>
      </c>
      <c r="K240" t="s">
        <v>775</v>
      </c>
      <c r="L240">
        <v>1191</v>
      </c>
      <c r="N240">
        <v>1013</v>
      </c>
      <c r="O240" t="s">
        <v>773</v>
      </c>
      <c r="P240" t="s">
        <v>773</v>
      </c>
      <c r="Q240">
        <v>1</v>
      </c>
      <c r="W240">
        <v>0</v>
      </c>
      <c r="X240">
        <v>-1417349443</v>
      </c>
      <c r="Y240">
        <v>0.6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6.71</v>
      </c>
      <c r="AL240">
        <v>1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6</v>
      </c>
      <c r="AT240">
        <v>0.6</v>
      </c>
      <c r="AU240" t="s">
        <v>6</v>
      </c>
      <c r="AV240">
        <v>2</v>
      </c>
      <c r="AW240">
        <v>2</v>
      </c>
      <c r="AX240">
        <v>16813463</v>
      </c>
      <c r="AY240">
        <v>1</v>
      </c>
      <c r="AZ240">
        <v>2048</v>
      </c>
      <c r="BA240">
        <v>235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Y240*Source!I187</f>
        <v>0.13200000000000001</v>
      </c>
      <c r="CY240">
        <f>AD240</f>
        <v>0</v>
      </c>
      <c r="CZ240">
        <f>AH240</f>
        <v>0</v>
      </c>
      <c r="DA240">
        <f>AL240</f>
        <v>1</v>
      </c>
      <c r="DB240">
        <f>ROUND(ROUND(AT240*CZ240,2),2)</f>
        <v>0</v>
      </c>
      <c r="DC240">
        <f>ROUND(ROUND(AT240*AG240,2),2)</f>
        <v>0</v>
      </c>
    </row>
    <row r="241" spans="1:107" x14ac:dyDescent="0.2">
      <c r="A241">
        <f>ROW(Source!A187)</f>
        <v>187</v>
      </c>
      <c r="B241">
        <v>16812721</v>
      </c>
      <c r="C241">
        <v>16813454</v>
      </c>
      <c r="D241">
        <v>15247680</v>
      </c>
      <c r="E241">
        <v>1</v>
      </c>
      <c r="F241">
        <v>1</v>
      </c>
      <c r="G241">
        <v>1</v>
      </c>
      <c r="H241">
        <v>2</v>
      </c>
      <c r="I241" t="s">
        <v>959</v>
      </c>
      <c r="J241" t="s">
        <v>960</v>
      </c>
      <c r="K241" t="s">
        <v>961</v>
      </c>
      <c r="L241">
        <v>1368</v>
      </c>
      <c r="N241">
        <v>1011</v>
      </c>
      <c r="O241" t="s">
        <v>779</v>
      </c>
      <c r="P241" t="s">
        <v>779</v>
      </c>
      <c r="Q241">
        <v>1</v>
      </c>
      <c r="W241">
        <v>0</v>
      </c>
      <c r="X241">
        <v>-1718674368</v>
      </c>
      <c r="Y241">
        <v>0.21</v>
      </c>
      <c r="AA241">
        <v>0</v>
      </c>
      <c r="AB241">
        <v>751.45</v>
      </c>
      <c r="AC241">
        <v>13.5</v>
      </c>
      <c r="AD241">
        <v>0</v>
      </c>
      <c r="AE241">
        <v>0</v>
      </c>
      <c r="AF241">
        <v>111.99</v>
      </c>
      <c r="AG241">
        <v>13.5</v>
      </c>
      <c r="AH241">
        <v>0</v>
      </c>
      <c r="AI241">
        <v>1</v>
      </c>
      <c r="AJ241">
        <v>6.71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0.3</v>
      </c>
      <c r="AU241" t="s">
        <v>32</v>
      </c>
      <c r="AV241">
        <v>0</v>
      </c>
      <c r="AW241">
        <v>2</v>
      </c>
      <c r="AX241">
        <v>16813464</v>
      </c>
      <c r="AY241">
        <v>1</v>
      </c>
      <c r="AZ241">
        <v>0</v>
      </c>
      <c r="BA241">
        <v>236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Y241*Source!I187</f>
        <v>4.6199999999999998E-2</v>
      </c>
      <c r="CY241">
        <f>AB241</f>
        <v>751.45</v>
      </c>
      <c r="CZ241">
        <f>AF241</f>
        <v>111.99</v>
      </c>
      <c r="DA241">
        <f>AJ241</f>
        <v>6.71</v>
      </c>
      <c r="DB241">
        <f>ROUND((ROUND(AT241*CZ241,2)*0.7),2)</f>
        <v>23.52</v>
      </c>
      <c r="DC241">
        <f>ROUND((ROUND(AT241*AG241,2)*0.7),2)</f>
        <v>2.84</v>
      </c>
    </row>
    <row r="242" spans="1:107" x14ac:dyDescent="0.2">
      <c r="A242">
        <f>ROW(Source!A187)</f>
        <v>187</v>
      </c>
      <c r="B242">
        <v>16812721</v>
      </c>
      <c r="C242">
        <v>16813454</v>
      </c>
      <c r="D242">
        <v>15249073</v>
      </c>
      <c r="E242">
        <v>1</v>
      </c>
      <c r="F242">
        <v>1</v>
      </c>
      <c r="G242">
        <v>1</v>
      </c>
      <c r="H242">
        <v>2</v>
      </c>
      <c r="I242" t="s">
        <v>782</v>
      </c>
      <c r="J242" t="s">
        <v>783</v>
      </c>
      <c r="K242" t="s">
        <v>784</v>
      </c>
      <c r="L242">
        <v>1368</v>
      </c>
      <c r="N242">
        <v>1011</v>
      </c>
      <c r="O242" t="s">
        <v>779</v>
      </c>
      <c r="P242" t="s">
        <v>779</v>
      </c>
      <c r="Q242">
        <v>1</v>
      </c>
      <c r="W242">
        <v>0</v>
      </c>
      <c r="X242">
        <v>1372534845</v>
      </c>
      <c r="Y242">
        <v>0.21</v>
      </c>
      <c r="AA242">
        <v>0</v>
      </c>
      <c r="AB242">
        <v>440.91</v>
      </c>
      <c r="AC242">
        <v>11.6</v>
      </c>
      <c r="AD242">
        <v>0</v>
      </c>
      <c r="AE242">
        <v>0</v>
      </c>
      <c r="AF242">
        <v>65.709999999999994</v>
      </c>
      <c r="AG242">
        <v>11.6</v>
      </c>
      <c r="AH242">
        <v>0</v>
      </c>
      <c r="AI242">
        <v>1</v>
      </c>
      <c r="AJ242">
        <v>6.71</v>
      </c>
      <c r="AK242">
        <v>1</v>
      </c>
      <c r="AL242">
        <v>1</v>
      </c>
      <c r="AN242">
        <v>0</v>
      </c>
      <c r="AO242">
        <v>1</v>
      </c>
      <c r="AP242">
        <v>1</v>
      </c>
      <c r="AQ242">
        <v>0</v>
      </c>
      <c r="AR242">
        <v>0</v>
      </c>
      <c r="AS242" t="s">
        <v>6</v>
      </c>
      <c r="AT242">
        <v>0.3</v>
      </c>
      <c r="AU242" t="s">
        <v>32</v>
      </c>
      <c r="AV242">
        <v>0</v>
      </c>
      <c r="AW242">
        <v>2</v>
      </c>
      <c r="AX242">
        <v>16813465</v>
      </c>
      <c r="AY242">
        <v>1</v>
      </c>
      <c r="AZ242">
        <v>0</v>
      </c>
      <c r="BA242">
        <v>237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Y242*Source!I187</f>
        <v>4.6199999999999998E-2</v>
      </c>
      <c r="CY242">
        <f>AB242</f>
        <v>440.91</v>
      </c>
      <c r="CZ242">
        <f>AF242</f>
        <v>65.709999999999994</v>
      </c>
      <c r="DA242">
        <f>AJ242</f>
        <v>6.71</v>
      </c>
      <c r="DB242">
        <f>ROUND((ROUND(AT242*CZ242,2)*0.7),2)</f>
        <v>13.8</v>
      </c>
      <c r="DC242">
        <f>ROUND((ROUND(AT242*AG242,2)*0.7),2)</f>
        <v>2.44</v>
      </c>
    </row>
    <row r="243" spans="1:107" x14ac:dyDescent="0.2">
      <c r="A243">
        <f>ROW(Source!A187)</f>
        <v>187</v>
      </c>
      <c r="B243">
        <v>16812721</v>
      </c>
      <c r="C243">
        <v>16813454</v>
      </c>
      <c r="D243">
        <v>15171982</v>
      </c>
      <c r="E243">
        <v>1</v>
      </c>
      <c r="F243">
        <v>1</v>
      </c>
      <c r="G243">
        <v>1</v>
      </c>
      <c r="H243">
        <v>3</v>
      </c>
      <c r="I243" t="s">
        <v>804</v>
      </c>
      <c r="J243" t="s">
        <v>805</v>
      </c>
      <c r="K243" t="s">
        <v>806</v>
      </c>
      <c r="L243">
        <v>1348</v>
      </c>
      <c r="N243">
        <v>1009</v>
      </c>
      <c r="O243" t="s">
        <v>145</v>
      </c>
      <c r="P243" t="s">
        <v>145</v>
      </c>
      <c r="Q243">
        <v>1000</v>
      </c>
      <c r="W243">
        <v>0</v>
      </c>
      <c r="X243">
        <v>-1421715385</v>
      </c>
      <c r="Y243">
        <v>0</v>
      </c>
      <c r="AA243">
        <v>4898.17</v>
      </c>
      <c r="AB243">
        <v>0</v>
      </c>
      <c r="AC243">
        <v>0</v>
      </c>
      <c r="AD243">
        <v>0</v>
      </c>
      <c r="AE243">
        <v>729.98</v>
      </c>
      <c r="AF243">
        <v>0</v>
      </c>
      <c r="AG243">
        <v>0</v>
      </c>
      <c r="AH243">
        <v>0</v>
      </c>
      <c r="AI243">
        <v>6.71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3.15E-3</v>
      </c>
      <c r="AU243" t="s">
        <v>31</v>
      </c>
      <c r="AV243">
        <v>0</v>
      </c>
      <c r="AW243">
        <v>2</v>
      </c>
      <c r="AX243">
        <v>16813466</v>
      </c>
      <c r="AY243">
        <v>1</v>
      </c>
      <c r="AZ243">
        <v>0</v>
      </c>
      <c r="BA243">
        <v>238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Y243*Source!I187</f>
        <v>0</v>
      </c>
      <c r="CY243">
        <f>AA243</f>
        <v>4898.17</v>
      </c>
      <c r="CZ243">
        <f>AE243</f>
        <v>729.98</v>
      </c>
      <c r="DA243">
        <f>AI243</f>
        <v>6.71</v>
      </c>
      <c r="DB243">
        <f>ROUND((ROUND(AT243*CZ243,2)*0),2)</f>
        <v>0</v>
      </c>
      <c r="DC243">
        <f>ROUND((ROUND(AT243*AG243,2)*0),2)</f>
        <v>0</v>
      </c>
    </row>
    <row r="244" spans="1:107" x14ac:dyDescent="0.2">
      <c r="A244">
        <f>ROW(Source!A187)</f>
        <v>187</v>
      </c>
      <c r="B244">
        <v>16812721</v>
      </c>
      <c r="C244">
        <v>16813454</v>
      </c>
      <c r="D244">
        <v>15233312</v>
      </c>
      <c r="E244">
        <v>1</v>
      </c>
      <c r="F244">
        <v>1</v>
      </c>
      <c r="G244">
        <v>1</v>
      </c>
      <c r="H244">
        <v>3</v>
      </c>
      <c r="I244" t="s">
        <v>992</v>
      </c>
      <c r="J244" t="s">
        <v>993</v>
      </c>
      <c r="K244" t="s">
        <v>994</v>
      </c>
      <c r="L244">
        <v>1346</v>
      </c>
      <c r="N244">
        <v>1009</v>
      </c>
      <c r="O244" t="s">
        <v>277</v>
      </c>
      <c r="P244" t="s">
        <v>277</v>
      </c>
      <c r="Q244">
        <v>1</v>
      </c>
      <c r="W244">
        <v>0</v>
      </c>
      <c r="X244">
        <v>1584075688</v>
      </c>
      <c r="Y244">
        <v>0</v>
      </c>
      <c r="AA244">
        <v>239.55</v>
      </c>
      <c r="AB244">
        <v>0</v>
      </c>
      <c r="AC244">
        <v>0</v>
      </c>
      <c r="AD244">
        <v>0</v>
      </c>
      <c r="AE244">
        <v>35.700000000000003</v>
      </c>
      <c r="AF244">
        <v>0</v>
      </c>
      <c r="AG244">
        <v>0</v>
      </c>
      <c r="AH244">
        <v>0</v>
      </c>
      <c r="AI244">
        <v>6.71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3.09</v>
      </c>
      <c r="AU244" t="s">
        <v>31</v>
      </c>
      <c r="AV244">
        <v>0</v>
      </c>
      <c r="AW244">
        <v>2</v>
      </c>
      <c r="AX244">
        <v>16813467</v>
      </c>
      <c r="AY244">
        <v>1</v>
      </c>
      <c r="AZ244">
        <v>0</v>
      </c>
      <c r="BA244">
        <v>239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Y244*Source!I187</f>
        <v>0</v>
      </c>
      <c r="CY244">
        <f>AA244</f>
        <v>239.55</v>
      </c>
      <c r="CZ244">
        <f>AE244</f>
        <v>35.700000000000003</v>
      </c>
      <c r="DA244">
        <f>AI244</f>
        <v>6.71</v>
      </c>
      <c r="DB244">
        <f>ROUND((ROUND(AT244*CZ244,2)*0),2)</f>
        <v>0</v>
      </c>
      <c r="DC244">
        <f>ROUND((ROUND(AT244*AG244,2)*0),2)</f>
        <v>0</v>
      </c>
    </row>
    <row r="245" spans="1:107" x14ac:dyDescent="0.2">
      <c r="A245">
        <f>ROW(Source!A187)</f>
        <v>187</v>
      </c>
      <c r="B245">
        <v>16812721</v>
      </c>
      <c r="C245">
        <v>16813454</v>
      </c>
      <c r="D245">
        <v>15164559</v>
      </c>
      <c r="E245">
        <v>17</v>
      </c>
      <c r="F245">
        <v>1</v>
      </c>
      <c r="G245">
        <v>1</v>
      </c>
      <c r="H245">
        <v>3</v>
      </c>
      <c r="I245" t="s">
        <v>989</v>
      </c>
      <c r="J245" t="s">
        <v>6</v>
      </c>
      <c r="K245" t="s">
        <v>990</v>
      </c>
      <c r="L245">
        <v>1374</v>
      </c>
      <c r="N245">
        <v>1013</v>
      </c>
      <c r="O245" t="s">
        <v>991</v>
      </c>
      <c r="P245" t="s">
        <v>991</v>
      </c>
      <c r="Q245">
        <v>1</v>
      </c>
      <c r="W245">
        <v>0</v>
      </c>
      <c r="X245">
        <v>-1731369543</v>
      </c>
      <c r="Y245">
        <v>0</v>
      </c>
      <c r="AA245">
        <v>1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6</v>
      </c>
      <c r="AT245">
        <v>29.36</v>
      </c>
      <c r="AU245" t="s">
        <v>31</v>
      </c>
      <c r="AV245">
        <v>0</v>
      </c>
      <c r="AW245">
        <v>2</v>
      </c>
      <c r="AX245">
        <v>16813468</v>
      </c>
      <c r="AY245">
        <v>1</v>
      </c>
      <c r="AZ245">
        <v>0</v>
      </c>
      <c r="BA245">
        <v>240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Y245*Source!I187</f>
        <v>0</v>
      </c>
      <c r="CY245">
        <f>AA245</f>
        <v>1</v>
      </c>
      <c r="CZ245">
        <f>AE245</f>
        <v>1</v>
      </c>
      <c r="DA245">
        <f>AI245</f>
        <v>1</v>
      </c>
      <c r="DB245">
        <f>ROUND((ROUND(AT245*CZ245,2)*0),2)</f>
        <v>0</v>
      </c>
      <c r="DC245">
        <f>ROUND((ROUND(AT245*AG245,2)*0),2)</f>
        <v>0</v>
      </c>
    </row>
    <row r="246" spans="1:107" x14ac:dyDescent="0.2">
      <c r="A246">
        <f>ROW(Source!A188)</f>
        <v>188</v>
      </c>
      <c r="B246">
        <v>16812721</v>
      </c>
      <c r="C246">
        <v>16813469</v>
      </c>
      <c r="D246">
        <v>15435763</v>
      </c>
      <c r="E246">
        <v>1</v>
      </c>
      <c r="F246">
        <v>1</v>
      </c>
      <c r="G246">
        <v>1</v>
      </c>
      <c r="H246">
        <v>1</v>
      </c>
      <c r="I246" t="s">
        <v>995</v>
      </c>
      <c r="J246" t="s">
        <v>6</v>
      </c>
      <c r="K246" t="s">
        <v>996</v>
      </c>
      <c r="L246">
        <v>1191</v>
      </c>
      <c r="N246">
        <v>1013</v>
      </c>
      <c r="O246" t="s">
        <v>773</v>
      </c>
      <c r="P246" t="s">
        <v>773</v>
      </c>
      <c r="Q246">
        <v>1</v>
      </c>
      <c r="W246">
        <v>0</v>
      </c>
      <c r="X246">
        <v>1627947075</v>
      </c>
      <c r="Y246">
        <v>1.2539999999999998</v>
      </c>
      <c r="AA246">
        <v>0</v>
      </c>
      <c r="AB246">
        <v>0</v>
      </c>
      <c r="AC246">
        <v>0</v>
      </c>
      <c r="AD246">
        <v>69.45</v>
      </c>
      <c r="AE246">
        <v>0</v>
      </c>
      <c r="AF246">
        <v>0</v>
      </c>
      <c r="AG246">
        <v>0</v>
      </c>
      <c r="AH246">
        <v>10.35</v>
      </c>
      <c r="AI246">
        <v>1</v>
      </c>
      <c r="AJ246">
        <v>1</v>
      </c>
      <c r="AK246">
        <v>1</v>
      </c>
      <c r="AL246">
        <v>6.71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6</v>
      </c>
      <c r="AT246">
        <v>2.09</v>
      </c>
      <c r="AU246" t="s">
        <v>486</v>
      </c>
      <c r="AV246">
        <v>1</v>
      </c>
      <c r="AW246">
        <v>2</v>
      </c>
      <c r="AX246">
        <v>16813485</v>
      </c>
      <c r="AY246">
        <v>1</v>
      </c>
      <c r="AZ246">
        <v>0</v>
      </c>
      <c r="BA246">
        <v>241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Y246*Source!I188</f>
        <v>2.5079999999999996</v>
      </c>
      <c r="CY246">
        <f>AD246</f>
        <v>69.45</v>
      </c>
      <c r="CZ246">
        <f>AH246</f>
        <v>10.35</v>
      </c>
      <c r="DA246">
        <f>AL246</f>
        <v>6.71</v>
      </c>
      <c r="DB246">
        <f>ROUND((ROUND(AT246*CZ246,2)*0.6),2)</f>
        <v>12.98</v>
      </c>
      <c r="DC246">
        <f>ROUND((ROUND(AT246*AG246,2)*0.6),2)</f>
        <v>0</v>
      </c>
    </row>
    <row r="247" spans="1:107" x14ac:dyDescent="0.2">
      <c r="A247">
        <f>ROW(Source!A188)</f>
        <v>188</v>
      </c>
      <c r="B247">
        <v>16812721</v>
      </c>
      <c r="C247">
        <v>16813469</v>
      </c>
      <c r="D247">
        <v>15249377</v>
      </c>
      <c r="E247">
        <v>1</v>
      </c>
      <c r="F247">
        <v>1</v>
      </c>
      <c r="G247">
        <v>1</v>
      </c>
      <c r="H247">
        <v>2</v>
      </c>
      <c r="I247" t="s">
        <v>785</v>
      </c>
      <c r="J247" t="s">
        <v>786</v>
      </c>
      <c r="K247" t="s">
        <v>787</v>
      </c>
      <c r="L247">
        <v>1368</v>
      </c>
      <c r="N247">
        <v>1011</v>
      </c>
      <c r="O247" t="s">
        <v>779</v>
      </c>
      <c r="P247" t="s">
        <v>779</v>
      </c>
      <c r="Q247">
        <v>1</v>
      </c>
      <c r="W247">
        <v>0</v>
      </c>
      <c r="X247">
        <v>-353815937</v>
      </c>
      <c r="Y247">
        <v>3.5999999999999997E-2</v>
      </c>
      <c r="AA247">
        <v>0</v>
      </c>
      <c r="AB247">
        <v>54.35</v>
      </c>
      <c r="AC247">
        <v>0</v>
      </c>
      <c r="AD247">
        <v>0</v>
      </c>
      <c r="AE247">
        <v>0</v>
      </c>
      <c r="AF247">
        <v>8.1</v>
      </c>
      <c r="AG247">
        <v>0</v>
      </c>
      <c r="AH247">
        <v>0</v>
      </c>
      <c r="AI247">
        <v>1</v>
      </c>
      <c r="AJ247">
        <v>6.71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0.06</v>
      </c>
      <c r="AU247" t="s">
        <v>486</v>
      </c>
      <c r="AV247">
        <v>0</v>
      </c>
      <c r="AW247">
        <v>2</v>
      </c>
      <c r="AX247">
        <v>16813486</v>
      </c>
      <c r="AY247">
        <v>1</v>
      </c>
      <c r="AZ247">
        <v>0</v>
      </c>
      <c r="BA247">
        <v>242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Y247*Source!I188</f>
        <v>7.1999999999999995E-2</v>
      </c>
      <c r="CY247">
        <f>AB247</f>
        <v>54.35</v>
      </c>
      <c r="CZ247">
        <f>AF247</f>
        <v>8.1</v>
      </c>
      <c r="DA247">
        <f>AJ247</f>
        <v>6.71</v>
      </c>
      <c r="DB247">
        <f>ROUND((ROUND(AT247*CZ247,2)*0.6),2)</f>
        <v>0.28999999999999998</v>
      </c>
      <c r="DC247">
        <f>ROUND((ROUND(AT247*AG247,2)*0.6),2)</f>
        <v>0</v>
      </c>
    </row>
    <row r="248" spans="1:107" x14ac:dyDescent="0.2">
      <c r="A248">
        <f>ROW(Source!A188)</f>
        <v>188</v>
      </c>
      <c r="B248">
        <v>16812721</v>
      </c>
      <c r="C248">
        <v>16813469</v>
      </c>
      <c r="D248">
        <v>15250043</v>
      </c>
      <c r="E248">
        <v>1</v>
      </c>
      <c r="F248">
        <v>1</v>
      </c>
      <c r="G248">
        <v>1</v>
      </c>
      <c r="H248">
        <v>2</v>
      </c>
      <c r="I248" t="s">
        <v>997</v>
      </c>
      <c r="J248" t="s">
        <v>998</v>
      </c>
      <c r="K248" t="s">
        <v>999</v>
      </c>
      <c r="L248">
        <v>1368</v>
      </c>
      <c r="N248">
        <v>1011</v>
      </c>
      <c r="O248" t="s">
        <v>779</v>
      </c>
      <c r="P248" t="s">
        <v>779</v>
      </c>
      <c r="Q248">
        <v>1</v>
      </c>
      <c r="W248">
        <v>0</v>
      </c>
      <c r="X248">
        <v>-995250510</v>
      </c>
      <c r="Y248">
        <v>5.3999999999999999E-2</v>
      </c>
      <c r="AA248">
        <v>0</v>
      </c>
      <c r="AB248">
        <v>7.45</v>
      </c>
      <c r="AC248">
        <v>0</v>
      </c>
      <c r="AD248">
        <v>0</v>
      </c>
      <c r="AE248">
        <v>0</v>
      </c>
      <c r="AF248">
        <v>1.1100000000000001</v>
      </c>
      <c r="AG248">
        <v>0</v>
      </c>
      <c r="AH248">
        <v>0</v>
      </c>
      <c r="AI248">
        <v>1</v>
      </c>
      <c r="AJ248">
        <v>6.71</v>
      </c>
      <c r="AK248">
        <v>1</v>
      </c>
      <c r="AL248">
        <v>1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6</v>
      </c>
      <c r="AT248">
        <v>0.09</v>
      </c>
      <c r="AU248" t="s">
        <v>486</v>
      </c>
      <c r="AV248">
        <v>0</v>
      </c>
      <c r="AW248">
        <v>2</v>
      </c>
      <c r="AX248">
        <v>16813487</v>
      </c>
      <c r="AY248">
        <v>1</v>
      </c>
      <c r="AZ248">
        <v>0</v>
      </c>
      <c r="BA248">
        <v>243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Y248*Source!I188</f>
        <v>0.108</v>
      </c>
      <c r="CY248">
        <f>AB248</f>
        <v>7.45</v>
      </c>
      <c r="CZ248">
        <f>AF248</f>
        <v>1.1100000000000001</v>
      </c>
      <c r="DA248">
        <f>AJ248</f>
        <v>6.71</v>
      </c>
      <c r="DB248">
        <f>ROUND((ROUND(AT248*CZ248,2)*0.6),2)</f>
        <v>0.06</v>
      </c>
      <c r="DC248">
        <f>ROUND((ROUND(AT248*AG248,2)*0.6),2)</f>
        <v>0</v>
      </c>
    </row>
    <row r="249" spans="1:107" x14ac:dyDescent="0.2">
      <c r="A249">
        <f>ROW(Source!A188)</f>
        <v>188</v>
      </c>
      <c r="B249">
        <v>16812721</v>
      </c>
      <c r="C249">
        <v>16813469</v>
      </c>
      <c r="D249">
        <v>15165537</v>
      </c>
      <c r="E249">
        <v>1</v>
      </c>
      <c r="F249">
        <v>1</v>
      </c>
      <c r="G249">
        <v>1</v>
      </c>
      <c r="H249">
        <v>3</v>
      </c>
      <c r="I249" t="s">
        <v>1000</v>
      </c>
      <c r="J249" t="s">
        <v>1001</v>
      </c>
      <c r="K249" t="s">
        <v>1002</v>
      </c>
      <c r="L249">
        <v>1346</v>
      </c>
      <c r="N249">
        <v>1009</v>
      </c>
      <c r="O249" t="s">
        <v>277</v>
      </c>
      <c r="P249" t="s">
        <v>277</v>
      </c>
      <c r="Q249">
        <v>1</v>
      </c>
      <c r="W249">
        <v>0</v>
      </c>
      <c r="X249">
        <v>618806536</v>
      </c>
      <c r="Y249">
        <v>0</v>
      </c>
      <c r="AA249">
        <v>301.75</v>
      </c>
      <c r="AB249">
        <v>0</v>
      </c>
      <c r="AC249">
        <v>0</v>
      </c>
      <c r="AD249">
        <v>0</v>
      </c>
      <c r="AE249">
        <v>44.97</v>
      </c>
      <c r="AF249">
        <v>0</v>
      </c>
      <c r="AG249">
        <v>0</v>
      </c>
      <c r="AH249">
        <v>0</v>
      </c>
      <c r="AI249">
        <v>6.71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6.0000000000000001E-3</v>
      </c>
      <c r="AU249" t="s">
        <v>31</v>
      </c>
      <c r="AV249">
        <v>0</v>
      </c>
      <c r="AW249">
        <v>2</v>
      </c>
      <c r="AX249">
        <v>16813488</v>
      </c>
      <c r="AY249">
        <v>1</v>
      </c>
      <c r="AZ249">
        <v>0</v>
      </c>
      <c r="BA249">
        <v>244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Y249*Source!I188</f>
        <v>0</v>
      </c>
      <c r="CY249">
        <f t="shared" ref="CY249:CY260" si="30">AA249</f>
        <v>301.75</v>
      </c>
      <c r="CZ249">
        <f t="shared" ref="CZ249:CZ260" si="31">AE249</f>
        <v>44.97</v>
      </c>
      <c r="DA249">
        <f t="shared" ref="DA249:DA260" si="32">AI249</f>
        <v>6.71</v>
      </c>
      <c r="DB249">
        <f t="shared" ref="DB249:DB260" si="33">ROUND((ROUND(AT249*CZ249,2)*0),2)</f>
        <v>0</v>
      </c>
      <c r="DC249">
        <f t="shared" ref="DC249:DC260" si="34">ROUND((ROUND(AT249*AG249,2)*0),2)</f>
        <v>0</v>
      </c>
    </row>
    <row r="250" spans="1:107" x14ac:dyDescent="0.2">
      <c r="A250">
        <f>ROW(Source!A188)</f>
        <v>188</v>
      </c>
      <c r="B250">
        <v>16812721</v>
      </c>
      <c r="C250">
        <v>16813469</v>
      </c>
      <c r="D250">
        <v>15167269</v>
      </c>
      <c r="E250">
        <v>1</v>
      </c>
      <c r="F250">
        <v>1</v>
      </c>
      <c r="G250">
        <v>1</v>
      </c>
      <c r="H250">
        <v>3</v>
      </c>
      <c r="I250" t="s">
        <v>1003</v>
      </c>
      <c r="J250" t="s">
        <v>1004</v>
      </c>
      <c r="K250" t="s">
        <v>1005</v>
      </c>
      <c r="L250">
        <v>1346</v>
      </c>
      <c r="N250">
        <v>1009</v>
      </c>
      <c r="O250" t="s">
        <v>277</v>
      </c>
      <c r="P250" t="s">
        <v>277</v>
      </c>
      <c r="Q250">
        <v>1</v>
      </c>
      <c r="W250">
        <v>0</v>
      </c>
      <c r="X250">
        <v>56922527</v>
      </c>
      <c r="Y250">
        <v>0</v>
      </c>
      <c r="AA250">
        <v>77.17</v>
      </c>
      <c r="AB250">
        <v>0</v>
      </c>
      <c r="AC250">
        <v>0</v>
      </c>
      <c r="AD250">
        <v>0</v>
      </c>
      <c r="AE250">
        <v>11.5</v>
      </c>
      <c r="AF250">
        <v>0</v>
      </c>
      <c r="AG250">
        <v>0</v>
      </c>
      <c r="AH250">
        <v>0</v>
      </c>
      <c r="AI250">
        <v>6.71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2E-3</v>
      </c>
      <c r="AU250" t="s">
        <v>31</v>
      </c>
      <c r="AV250">
        <v>0</v>
      </c>
      <c r="AW250">
        <v>2</v>
      </c>
      <c r="AX250">
        <v>16813489</v>
      </c>
      <c r="AY250">
        <v>1</v>
      </c>
      <c r="AZ250">
        <v>0</v>
      </c>
      <c r="BA250">
        <v>245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Y250*Source!I188</f>
        <v>0</v>
      </c>
      <c r="CY250">
        <f t="shared" si="30"/>
        <v>77.17</v>
      </c>
      <c r="CZ250">
        <f t="shared" si="31"/>
        <v>11.5</v>
      </c>
      <c r="DA250">
        <f t="shared" si="32"/>
        <v>6.71</v>
      </c>
      <c r="DB250">
        <f t="shared" si="33"/>
        <v>0</v>
      </c>
      <c r="DC250">
        <f t="shared" si="34"/>
        <v>0</v>
      </c>
    </row>
    <row r="251" spans="1:107" x14ac:dyDescent="0.2">
      <c r="A251">
        <f>ROW(Source!A188)</f>
        <v>188</v>
      </c>
      <c r="B251">
        <v>16812721</v>
      </c>
      <c r="C251">
        <v>16813469</v>
      </c>
      <c r="D251">
        <v>15167588</v>
      </c>
      <c r="E251">
        <v>1</v>
      </c>
      <c r="F251">
        <v>1</v>
      </c>
      <c r="G251">
        <v>1</v>
      </c>
      <c r="H251">
        <v>3</v>
      </c>
      <c r="I251" t="s">
        <v>1006</v>
      </c>
      <c r="J251" t="s">
        <v>1007</v>
      </c>
      <c r="K251" t="s">
        <v>1008</v>
      </c>
      <c r="L251">
        <v>1346</v>
      </c>
      <c r="N251">
        <v>1009</v>
      </c>
      <c r="O251" t="s">
        <v>277</v>
      </c>
      <c r="P251" t="s">
        <v>277</v>
      </c>
      <c r="Q251">
        <v>1</v>
      </c>
      <c r="W251">
        <v>0</v>
      </c>
      <c r="X251">
        <v>-1088866022</v>
      </c>
      <c r="Y251">
        <v>0</v>
      </c>
      <c r="AA251">
        <v>203.98</v>
      </c>
      <c r="AB251">
        <v>0</v>
      </c>
      <c r="AC251">
        <v>0</v>
      </c>
      <c r="AD251">
        <v>0</v>
      </c>
      <c r="AE251">
        <v>30.4</v>
      </c>
      <c r="AF251">
        <v>0</v>
      </c>
      <c r="AG251">
        <v>0</v>
      </c>
      <c r="AH251">
        <v>0</v>
      </c>
      <c r="AI251">
        <v>6.71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6</v>
      </c>
      <c r="AT251">
        <v>2.4E-2</v>
      </c>
      <c r="AU251" t="s">
        <v>31</v>
      </c>
      <c r="AV251">
        <v>0</v>
      </c>
      <c r="AW251">
        <v>2</v>
      </c>
      <c r="AX251">
        <v>16813490</v>
      </c>
      <c r="AY251">
        <v>1</v>
      </c>
      <c r="AZ251">
        <v>0</v>
      </c>
      <c r="BA251">
        <v>246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Y251*Source!I188</f>
        <v>0</v>
      </c>
      <c r="CY251">
        <f t="shared" si="30"/>
        <v>203.98</v>
      </c>
      <c r="CZ251">
        <f t="shared" si="31"/>
        <v>30.4</v>
      </c>
      <c r="DA251">
        <f t="shared" si="32"/>
        <v>6.71</v>
      </c>
      <c r="DB251">
        <f t="shared" si="33"/>
        <v>0</v>
      </c>
      <c r="DC251">
        <f t="shared" si="34"/>
        <v>0</v>
      </c>
    </row>
    <row r="252" spans="1:107" x14ac:dyDescent="0.2">
      <c r="A252">
        <f>ROW(Source!A188)</f>
        <v>188</v>
      </c>
      <c r="B252">
        <v>16812721</v>
      </c>
      <c r="C252">
        <v>16813469</v>
      </c>
      <c r="D252">
        <v>15168752</v>
      </c>
      <c r="E252">
        <v>1</v>
      </c>
      <c r="F252">
        <v>1</v>
      </c>
      <c r="G252">
        <v>1</v>
      </c>
      <c r="H252">
        <v>3</v>
      </c>
      <c r="I252" t="s">
        <v>1009</v>
      </c>
      <c r="J252" t="s">
        <v>1010</v>
      </c>
      <c r="K252" t="s">
        <v>1011</v>
      </c>
      <c r="L252">
        <v>1346</v>
      </c>
      <c r="N252">
        <v>1009</v>
      </c>
      <c r="O252" t="s">
        <v>277</v>
      </c>
      <c r="P252" t="s">
        <v>277</v>
      </c>
      <c r="Q252">
        <v>1</v>
      </c>
      <c r="W252">
        <v>0</v>
      </c>
      <c r="X252">
        <v>586013393</v>
      </c>
      <c r="Y252">
        <v>0</v>
      </c>
      <c r="AA252">
        <v>70.92</v>
      </c>
      <c r="AB252">
        <v>0</v>
      </c>
      <c r="AC252">
        <v>0</v>
      </c>
      <c r="AD252">
        <v>0</v>
      </c>
      <c r="AE252">
        <v>10.57</v>
      </c>
      <c r="AF252">
        <v>0</v>
      </c>
      <c r="AG252">
        <v>0</v>
      </c>
      <c r="AH252">
        <v>0</v>
      </c>
      <c r="AI252">
        <v>6.71</v>
      </c>
      <c r="AJ252">
        <v>1</v>
      </c>
      <c r="AK252">
        <v>1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6</v>
      </c>
      <c r="AT252">
        <v>7.0000000000000007E-2</v>
      </c>
      <c r="AU252" t="s">
        <v>31</v>
      </c>
      <c r="AV252">
        <v>0</v>
      </c>
      <c r="AW252">
        <v>2</v>
      </c>
      <c r="AX252">
        <v>16813491</v>
      </c>
      <c r="AY252">
        <v>1</v>
      </c>
      <c r="AZ252">
        <v>0</v>
      </c>
      <c r="BA252">
        <v>247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Y252*Source!I188</f>
        <v>0</v>
      </c>
      <c r="CY252">
        <f t="shared" si="30"/>
        <v>70.92</v>
      </c>
      <c r="CZ252">
        <f t="shared" si="31"/>
        <v>10.57</v>
      </c>
      <c r="DA252">
        <f t="shared" si="32"/>
        <v>6.71</v>
      </c>
      <c r="DB252">
        <f t="shared" si="33"/>
        <v>0</v>
      </c>
      <c r="DC252">
        <f t="shared" si="34"/>
        <v>0</v>
      </c>
    </row>
    <row r="253" spans="1:107" x14ac:dyDescent="0.2">
      <c r="A253">
        <f>ROW(Source!A188)</f>
        <v>188</v>
      </c>
      <c r="B253">
        <v>16812721</v>
      </c>
      <c r="C253">
        <v>16813469</v>
      </c>
      <c r="D253">
        <v>15169942</v>
      </c>
      <c r="E253">
        <v>1</v>
      </c>
      <c r="F253">
        <v>1</v>
      </c>
      <c r="G253">
        <v>1</v>
      </c>
      <c r="H253">
        <v>3</v>
      </c>
      <c r="I253" t="s">
        <v>1012</v>
      </c>
      <c r="J253" t="s">
        <v>1013</v>
      </c>
      <c r="K253" t="s">
        <v>1014</v>
      </c>
      <c r="L253">
        <v>1346</v>
      </c>
      <c r="N253">
        <v>1009</v>
      </c>
      <c r="O253" t="s">
        <v>277</v>
      </c>
      <c r="P253" t="s">
        <v>277</v>
      </c>
      <c r="Q253">
        <v>1</v>
      </c>
      <c r="W253">
        <v>0</v>
      </c>
      <c r="X253">
        <v>103900845</v>
      </c>
      <c r="Y253">
        <v>0</v>
      </c>
      <c r="AA253">
        <v>60.66</v>
      </c>
      <c r="AB253">
        <v>0</v>
      </c>
      <c r="AC253">
        <v>0</v>
      </c>
      <c r="AD253">
        <v>0</v>
      </c>
      <c r="AE253">
        <v>9.0399999999999991</v>
      </c>
      <c r="AF253">
        <v>0</v>
      </c>
      <c r="AG253">
        <v>0</v>
      </c>
      <c r="AH253">
        <v>0</v>
      </c>
      <c r="AI253">
        <v>6.71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0.14000000000000001</v>
      </c>
      <c r="AU253" t="s">
        <v>31</v>
      </c>
      <c r="AV253">
        <v>0</v>
      </c>
      <c r="AW253">
        <v>2</v>
      </c>
      <c r="AX253">
        <v>16813492</v>
      </c>
      <c r="AY253">
        <v>1</v>
      </c>
      <c r="AZ253">
        <v>0</v>
      </c>
      <c r="BA253">
        <v>248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Y253*Source!I188</f>
        <v>0</v>
      </c>
      <c r="CY253">
        <f t="shared" si="30"/>
        <v>60.66</v>
      </c>
      <c r="CZ253">
        <f t="shared" si="31"/>
        <v>9.0399999999999991</v>
      </c>
      <c r="DA253">
        <f t="shared" si="32"/>
        <v>6.71</v>
      </c>
      <c r="DB253">
        <f t="shared" si="33"/>
        <v>0</v>
      </c>
      <c r="DC253">
        <f t="shared" si="34"/>
        <v>0</v>
      </c>
    </row>
    <row r="254" spans="1:107" x14ac:dyDescent="0.2">
      <c r="A254">
        <f>ROW(Source!A188)</f>
        <v>188</v>
      </c>
      <c r="B254">
        <v>16812721</v>
      </c>
      <c r="C254">
        <v>16813469</v>
      </c>
      <c r="D254">
        <v>15170074</v>
      </c>
      <c r="E254">
        <v>1</v>
      </c>
      <c r="F254">
        <v>1</v>
      </c>
      <c r="G254">
        <v>1</v>
      </c>
      <c r="H254">
        <v>3</v>
      </c>
      <c r="I254" t="s">
        <v>1015</v>
      </c>
      <c r="J254" t="s">
        <v>1016</v>
      </c>
      <c r="K254" t="s">
        <v>1017</v>
      </c>
      <c r="L254">
        <v>1355</v>
      </c>
      <c r="N254">
        <v>1010</v>
      </c>
      <c r="O254" t="s">
        <v>188</v>
      </c>
      <c r="P254" t="s">
        <v>188</v>
      </c>
      <c r="Q254">
        <v>100</v>
      </c>
      <c r="W254">
        <v>0</v>
      </c>
      <c r="X254">
        <v>1794244060</v>
      </c>
      <c r="Y254">
        <v>0</v>
      </c>
      <c r="AA254">
        <v>577.05999999999995</v>
      </c>
      <c r="AB254">
        <v>0</v>
      </c>
      <c r="AC254">
        <v>0</v>
      </c>
      <c r="AD254">
        <v>0</v>
      </c>
      <c r="AE254">
        <v>86</v>
      </c>
      <c r="AF254">
        <v>0</v>
      </c>
      <c r="AG254">
        <v>0</v>
      </c>
      <c r="AH254">
        <v>0</v>
      </c>
      <c r="AI254">
        <v>6.71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1</v>
      </c>
      <c r="AQ254">
        <v>0</v>
      </c>
      <c r="AR254">
        <v>0</v>
      </c>
      <c r="AS254" t="s">
        <v>6</v>
      </c>
      <c r="AT254">
        <v>7.0000000000000001E-3</v>
      </c>
      <c r="AU254" t="s">
        <v>31</v>
      </c>
      <c r="AV254">
        <v>0</v>
      </c>
      <c r="AW254">
        <v>2</v>
      </c>
      <c r="AX254">
        <v>16813493</v>
      </c>
      <c r="AY254">
        <v>1</v>
      </c>
      <c r="AZ254">
        <v>0</v>
      </c>
      <c r="BA254">
        <v>249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Y254*Source!I188</f>
        <v>0</v>
      </c>
      <c r="CY254">
        <f t="shared" si="30"/>
        <v>577.05999999999995</v>
      </c>
      <c r="CZ254">
        <f t="shared" si="31"/>
        <v>86</v>
      </c>
      <c r="DA254">
        <f t="shared" si="32"/>
        <v>6.71</v>
      </c>
      <c r="DB254">
        <f t="shared" si="33"/>
        <v>0</v>
      </c>
      <c r="DC254">
        <f t="shared" si="34"/>
        <v>0</v>
      </c>
    </row>
    <row r="255" spans="1:107" x14ac:dyDescent="0.2">
      <c r="A255">
        <f>ROW(Source!A188)</f>
        <v>188</v>
      </c>
      <c r="B255">
        <v>16812721</v>
      </c>
      <c r="C255">
        <v>16813469</v>
      </c>
      <c r="D255">
        <v>15170994</v>
      </c>
      <c r="E255">
        <v>1</v>
      </c>
      <c r="F255">
        <v>1</v>
      </c>
      <c r="G255">
        <v>1</v>
      </c>
      <c r="H255">
        <v>3</v>
      </c>
      <c r="I255" t="s">
        <v>1018</v>
      </c>
      <c r="J255" t="s">
        <v>1019</v>
      </c>
      <c r="K255" t="s">
        <v>1020</v>
      </c>
      <c r="L255">
        <v>1346</v>
      </c>
      <c r="N255">
        <v>1009</v>
      </c>
      <c r="O255" t="s">
        <v>277</v>
      </c>
      <c r="P255" t="s">
        <v>277</v>
      </c>
      <c r="Q255">
        <v>1</v>
      </c>
      <c r="W255">
        <v>0</v>
      </c>
      <c r="X255">
        <v>-856710481</v>
      </c>
      <c r="Y255">
        <v>0</v>
      </c>
      <c r="AA255">
        <v>892.77</v>
      </c>
      <c r="AB255">
        <v>0</v>
      </c>
      <c r="AC255">
        <v>0</v>
      </c>
      <c r="AD255">
        <v>0</v>
      </c>
      <c r="AE255">
        <v>133.05000000000001</v>
      </c>
      <c r="AF255">
        <v>0</v>
      </c>
      <c r="AG255">
        <v>0</v>
      </c>
      <c r="AH255">
        <v>0</v>
      </c>
      <c r="AI255">
        <v>6.71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2E-3</v>
      </c>
      <c r="AU255" t="s">
        <v>31</v>
      </c>
      <c r="AV255">
        <v>0</v>
      </c>
      <c r="AW255">
        <v>2</v>
      </c>
      <c r="AX255">
        <v>16813494</v>
      </c>
      <c r="AY255">
        <v>1</v>
      </c>
      <c r="AZ255">
        <v>0</v>
      </c>
      <c r="BA255">
        <v>250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Y255*Source!I188</f>
        <v>0</v>
      </c>
      <c r="CY255">
        <f t="shared" si="30"/>
        <v>892.77</v>
      </c>
      <c r="CZ255">
        <f t="shared" si="31"/>
        <v>133.05000000000001</v>
      </c>
      <c r="DA255">
        <f t="shared" si="32"/>
        <v>6.71</v>
      </c>
      <c r="DB255">
        <f t="shared" si="33"/>
        <v>0</v>
      </c>
      <c r="DC255">
        <f t="shared" si="34"/>
        <v>0</v>
      </c>
    </row>
    <row r="256" spans="1:107" x14ac:dyDescent="0.2">
      <c r="A256">
        <f>ROW(Source!A188)</f>
        <v>188</v>
      </c>
      <c r="B256">
        <v>16812721</v>
      </c>
      <c r="C256">
        <v>16813469</v>
      </c>
      <c r="D256">
        <v>15188647</v>
      </c>
      <c r="E256">
        <v>1</v>
      </c>
      <c r="F256">
        <v>1</v>
      </c>
      <c r="G256">
        <v>1</v>
      </c>
      <c r="H256">
        <v>3</v>
      </c>
      <c r="I256" t="s">
        <v>1021</v>
      </c>
      <c r="J256" t="s">
        <v>1022</v>
      </c>
      <c r="K256" t="s">
        <v>1023</v>
      </c>
      <c r="L256">
        <v>1348</v>
      </c>
      <c r="N256">
        <v>1009</v>
      </c>
      <c r="O256" t="s">
        <v>145</v>
      </c>
      <c r="P256" t="s">
        <v>145</v>
      </c>
      <c r="Q256">
        <v>1000</v>
      </c>
      <c r="W256">
        <v>0</v>
      </c>
      <c r="X256">
        <v>426000481</v>
      </c>
      <c r="Y256">
        <v>0</v>
      </c>
      <c r="AA256">
        <v>77165</v>
      </c>
      <c r="AB256">
        <v>0</v>
      </c>
      <c r="AC256">
        <v>0</v>
      </c>
      <c r="AD256">
        <v>0</v>
      </c>
      <c r="AE256">
        <v>11500</v>
      </c>
      <c r="AF256">
        <v>0</v>
      </c>
      <c r="AG256">
        <v>0</v>
      </c>
      <c r="AH256">
        <v>0</v>
      </c>
      <c r="AI256">
        <v>6.71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1</v>
      </c>
      <c r="AQ256">
        <v>0</v>
      </c>
      <c r="AR256">
        <v>0</v>
      </c>
      <c r="AS256" t="s">
        <v>6</v>
      </c>
      <c r="AT256">
        <v>3.0000000000000001E-3</v>
      </c>
      <c r="AU256" t="s">
        <v>31</v>
      </c>
      <c r="AV256">
        <v>0</v>
      </c>
      <c r="AW256">
        <v>2</v>
      </c>
      <c r="AX256">
        <v>16813495</v>
      </c>
      <c r="AY256">
        <v>1</v>
      </c>
      <c r="AZ256">
        <v>0</v>
      </c>
      <c r="BA256">
        <v>251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Y256*Source!I188</f>
        <v>0</v>
      </c>
      <c r="CY256">
        <f t="shared" si="30"/>
        <v>77165</v>
      </c>
      <c r="CZ256">
        <f t="shared" si="31"/>
        <v>11500</v>
      </c>
      <c r="DA256">
        <f t="shared" si="32"/>
        <v>6.71</v>
      </c>
      <c r="DB256">
        <f t="shared" si="33"/>
        <v>0</v>
      </c>
      <c r="DC256">
        <f t="shared" si="34"/>
        <v>0</v>
      </c>
    </row>
    <row r="257" spans="1:107" x14ac:dyDescent="0.2">
      <c r="A257">
        <f>ROW(Source!A188)</f>
        <v>188</v>
      </c>
      <c r="B257">
        <v>16812721</v>
      </c>
      <c r="C257">
        <v>16813469</v>
      </c>
      <c r="D257">
        <v>15203834</v>
      </c>
      <c r="E257">
        <v>1</v>
      </c>
      <c r="F257">
        <v>1</v>
      </c>
      <c r="G257">
        <v>1</v>
      </c>
      <c r="H257">
        <v>3</v>
      </c>
      <c r="I257" t="s">
        <v>1024</v>
      </c>
      <c r="J257" t="s">
        <v>1025</v>
      </c>
      <c r="K257" t="s">
        <v>320</v>
      </c>
      <c r="L257">
        <v>1346</v>
      </c>
      <c r="N257">
        <v>1009</v>
      </c>
      <c r="O257" t="s">
        <v>277</v>
      </c>
      <c r="P257" t="s">
        <v>277</v>
      </c>
      <c r="Q257">
        <v>1</v>
      </c>
      <c r="W257">
        <v>0</v>
      </c>
      <c r="X257">
        <v>210558753</v>
      </c>
      <c r="Y257">
        <v>0</v>
      </c>
      <c r="AA257">
        <v>191.91</v>
      </c>
      <c r="AB257">
        <v>0</v>
      </c>
      <c r="AC257">
        <v>0</v>
      </c>
      <c r="AD257">
        <v>0</v>
      </c>
      <c r="AE257">
        <v>28.6</v>
      </c>
      <c r="AF257">
        <v>0</v>
      </c>
      <c r="AG257">
        <v>0</v>
      </c>
      <c r="AH257">
        <v>0</v>
      </c>
      <c r="AI257">
        <v>6.71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6</v>
      </c>
      <c r="AT257">
        <v>1.7999999999999999E-2</v>
      </c>
      <c r="AU257" t="s">
        <v>31</v>
      </c>
      <c r="AV257">
        <v>0</v>
      </c>
      <c r="AW257">
        <v>2</v>
      </c>
      <c r="AX257">
        <v>16813496</v>
      </c>
      <c r="AY257">
        <v>1</v>
      </c>
      <c r="AZ257">
        <v>0</v>
      </c>
      <c r="BA257">
        <v>252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Y257*Source!I188</f>
        <v>0</v>
      </c>
      <c r="CY257">
        <f t="shared" si="30"/>
        <v>191.91</v>
      </c>
      <c r="CZ257">
        <f t="shared" si="31"/>
        <v>28.6</v>
      </c>
      <c r="DA257">
        <f t="shared" si="32"/>
        <v>6.71</v>
      </c>
      <c r="DB257">
        <f t="shared" si="33"/>
        <v>0</v>
      </c>
      <c r="DC257">
        <f t="shared" si="34"/>
        <v>0</v>
      </c>
    </row>
    <row r="258" spans="1:107" x14ac:dyDescent="0.2">
      <c r="A258">
        <f>ROW(Source!A188)</f>
        <v>188</v>
      </c>
      <c r="B258">
        <v>16812721</v>
      </c>
      <c r="C258">
        <v>16813469</v>
      </c>
      <c r="D258">
        <v>15203987</v>
      </c>
      <c r="E258">
        <v>1</v>
      </c>
      <c r="F258">
        <v>1</v>
      </c>
      <c r="G258">
        <v>1</v>
      </c>
      <c r="H258">
        <v>3</v>
      </c>
      <c r="I258" t="s">
        <v>1026</v>
      </c>
      <c r="J258" t="s">
        <v>1027</v>
      </c>
      <c r="K258" t="s">
        <v>1028</v>
      </c>
      <c r="L258">
        <v>1346</v>
      </c>
      <c r="N258">
        <v>1009</v>
      </c>
      <c r="O258" t="s">
        <v>277</v>
      </c>
      <c r="P258" t="s">
        <v>277</v>
      </c>
      <c r="Q258">
        <v>1</v>
      </c>
      <c r="W258">
        <v>0</v>
      </c>
      <c r="X258">
        <v>-1274984028</v>
      </c>
      <c r="Y258">
        <v>0</v>
      </c>
      <c r="AA258">
        <v>239.08</v>
      </c>
      <c r="AB258">
        <v>0</v>
      </c>
      <c r="AC258">
        <v>0</v>
      </c>
      <c r="AD258">
        <v>0</v>
      </c>
      <c r="AE258">
        <v>35.630000000000003</v>
      </c>
      <c r="AF258">
        <v>0</v>
      </c>
      <c r="AG258">
        <v>0</v>
      </c>
      <c r="AH258">
        <v>0</v>
      </c>
      <c r="AI258">
        <v>6.71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1</v>
      </c>
      <c r="AQ258">
        <v>0</v>
      </c>
      <c r="AR258">
        <v>0</v>
      </c>
      <c r="AS258" t="s">
        <v>6</v>
      </c>
      <c r="AT258">
        <v>8.9999999999999993E-3</v>
      </c>
      <c r="AU258" t="s">
        <v>31</v>
      </c>
      <c r="AV258">
        <v>0</v>
      </c>
      <c r="AW258">
        <v>2</v>
      </c>
      <c r="AX258">
        <v>16813497</v>
      </c>
      <c r="AY258">
        <v>1</v>
      </c>
      <c r="AZ258">
        <v>0</v>
      </c>
      <c r="BA258">
        <v>253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Y258*Source!I188</f>
        <v>0</v>
      </c>
      <c r="CY258">
        <f t="shared" si="30"/>
        <v>239.08</v>
      </c>
      <c r="CZ258">
        <f t="shared" si="31"/>
        <v>35.630000000000003</v>
      </c>
      <c r="DA258">
        <f t="shared" si="32"/>
        <v>6.71</v>
      </c>
      <c r="DB258">
        <f t="shared" si="33"/>
        <v>0</v>
      </c>
      <c r="DC258">
        <f t="shared" si="34"/>
        <v>0</v>
      </c>
    </row>
    <row r="259" spans="1:107" x14ac:dyDescent="0.2">
      <c r="A259">
        <f>ROW(Source!A188)</f>
        <v>188</v>
      </c>
      <c r="B259">
        <v>16812721</v>
      </c>
      <c r="C259">
        <v>16813469</v>
      </c>
      <c r="D259">
        <v>15217463</v>
      </c>
      <c r="E259">
        <v>1</v>
      </c>
      <c r="F259">
        <v>1</v>
      </c>
      <c r="G259">
        <v>1</v>
      </c>
      <c r="H259">
        <v>3</v>
      </c>
      <c r="I259" t="s">
        <v>1029</v>
      </c>
      <c r="J259" t="s">
        <v>1030</v>
      </c>
      <c r="K259" t="s">
        <v>1031</v>
      </c>
      <c r="L259">
        <v>1358</v>
      </c>
      <c r="N259">
        <v>1010</v>
      </c>
      <c r="O259" t="s">
        <v>516</v>
      </c>
      <c r="P259" t="s">
        <v>516</v>
      </c>
      <c r="Q259">
        <v>10</v>
      </c>
      <c r="W259">
        <v>0</v>
      </c>
      <c r="X259">
        <v>1386890308</v>
      </c>
      <c r="Y259">
        <v>0</v>
      </c>
      <c r="AA259">
        <v>261.69</v>
      </c>
      <c r="AB259">
        <v>0</v>
      </c>
      <c r="AC259">
        <v>0</v>
      </c>
      <c r="AD259">
        <v>0</v>
      </c>
      <c r="AE259">
        <v>39</v>
      </c>
      <c r="AF259">
        <v>0</v>
      </c>
      <c r="AG259">
        <v>0</v>
      </c>
      <c r="AH259">
        <v>0</v>
      </c>
      <c r="AI259">
        <v>6.71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0.1</v>
      </c>
      <c r="AU259" t="s">
        <v>31</v>
      </c>
      <c r="AV259">
        <v>0</v>
      </c>
      <c r="AW259">
        <v>2</v>
      </c>
      <c r="AX259">
        <v>16813498</v>
      </c>
      <c r="AY259">
        <v>1</v>
      </c>
      <c r="AZ259">
        <v>0</v>
      </c>
      <c r="BA259">
        <v>254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Y259*Source!I188</f>
        <v>0</v>
      </c>
      <c r="CY259">
        <f t="shared" si="30"/>
        <v>261.69</v>
      </c>
      <c r="CZ259">
        <f t="shared" si="31"/>
        <v>39</v>
      </c>
      <c r="DA259">
        <f t="shared" si="32"/>
        <v>6.71</v>
      </c>
      <c r="DB259">
        <f t="shared" si="33"/>
        <v>0</v>
      </c>
      <c r="DC259">
        <f t="shared" si="34"/>
        <v>0</v>
      </c>
    </row>
    <row r="260" spans="1:107" x14ac:dyDescent="0.2">
      <c r="A260">
        <f>ROW(Source!A188)</f>
        <v>188</v>
      </c>
      <c r="B260">
        <v>16812721</v>
      </c>
      <c r="C260">
        <v>16813469</v>
      </c>
      <c r="D260">
        <v>15164559</v>
      </c>
      <c r="E260">
        <v>17</v>
      </c>
      <c r="F260">
        <v>1</v>
      </c>
      <c r="G260">
        <v>1</v>
      </c>
      <c r="H260">
        <v>3</v>
      </c>
      <c r="I260" t="s">
        <v>989</v>
      </c>
      <c r="J260" t="s">
        <v>6</v>
      </c>
      <c r="K260" t="s">
        <v>990</v>
      </c>
      <c r="L260">
        <v>1374</v>
      </c>
      <c r="N260">
        <v>1013</v>
      </c>
      <c r="O260" t="s">
        <v>991</v>
      </c>
      <c r="P260" t="s">
        <v>991</v>
      </c>
      <c r="Q260">
        <v>1</v>
      </c>
      <c r="W260">
        <v>0</v>
      </c>
      <c r="X260">
        <v>-1731369543</v>
      </c>
      <c r="Y260">
        <v>0</v>
      </c>
      <c r="AA260">
        <v>1</v>
      </c>
      <c r="AB260">
        <v>0</v>
      </c>
      <c r="AC260">
        <v>0</v>
      </c>
      <c r="AD260">
        <v>0</v>
      </c>
      <c r="AE260">
        <v>1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6</v>
      </c>
      <c r="AT260">
        <v>0.43</v>
      </c>
      <c r="AU260" t="s">
        <v>31</v>
      </c>
      <c r="AV260">
        <v>0</v>
      </c>
      <c r="AW260">
        <v>2</v>
      </c>
      <c r="AX260">
        <v>16813499</v>
      </c>
      <c r="AY260">
        <v>1</v>
      </c>
      <c r="AZ260">
        <v>0</v>
      </c>
      <c r="BA260">
        <v>255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Y260*Source!I188</f>
        <v>0</v>
      </c>
      <c r="CY260">
        <f t="shared" si="30"/>
        <v>1</v>
      </c>
      <c r="CZ260">
        <f t="shared" si="31"/>
        <v>1</v>
      </c>
      <c r="DA260">
        <f t="shared" si="32"/>
        <v>1</v>
      </c>
      <c r="DB260">
        <f t="shared" si="33"/>
        <v>0</v>
      </c>
      <c r="DC260">
        <f t="shared" si="34"/>
        <v>0</v>
      </c>
    </row>
    <row r="261" spans="1:107" x14ac:dyDescent="0.2">
      <c r="A261">
        <f>ROW(Source!A189)</f>
        <v>189</v>
      </c>
      <c r="B261">
        <v>16812721</v>
      </c>
      <c r="C261">
        <v>16813500</v>
      </c>
      <c r="D261">
        <v>15435763</v>
      </c>
      <c r="E261">
        <v>1</v>
      </c>
      <c r="F261">
        <v>1</v>
      </c>
      <c r="G261">
        <v>1</v>
      </c>
      <c r="H261">
        <v>1</v>
      </c>
      <c r="I261" t="s">
        <v>995</v>
      </c>
      <c r="J261" t="s">
        <v>6</v>
      </c>
      <c r="K261" t="s">
        <v>996</v>
      </c>
      <c r="L261">
        <v>1191</v>
      </c>
      <c r="N261">
        <v>1013</v>
      </c>
      <c r="O261" t="s">
        <v>773</v>
      </c>
      <c r="P261" t="s">
        <v>773</v>
      </c>
      <c r="Q261">
        <v>1</v>
      </c>
      <c r="W261">
        <v>0</v>
      </c>
      <c r="X261">
        <v>1627947075</v>
      </c>
      <c r="Y261">
        <v>2.09</v>
      </c>
      <c r="AA261">
        <v>0</v>
      </c>
      <c r="AB261">
        <v>0</v>
      </c>
      <c r="AC261">
        <v>0</v>
      </c>
      <c r="AD261">
        <v>69.45</v>
      </c>
      <c r="AE261">
        <v>0</v>
      </c>
      <c r="AF261">
        <v>0</v>
      </c>
      <c r="AG261">
        <v>0</v>
      </c>
      <c r="AH261">
        <v>10.35</v>
      </c>
      <c r="AI261">
        <v>1</v>
      </c>
      <c r="AJ261">
        <v>1</v>
      </c>
      <c r="AK261">
        <v>1</v>
      </c>
      <c r="AL261">
        <v>6.71</v>
      </c>
      <c r="AN261">
        <v>0</v>
      </c>
      <c r="AO261">
        <v>1</v>
      </c>
      <c r="AP261">
        <v>0</v>
      </c>
      <c r="AQ261">
        <v>0</v>
      </c>
      <c r="AR261">
        <v>0</v>
      </c>
      <c r="AS261" t="s">
        <v>6</v>
      </c>
      <c r="AT261">
        <v>2.09</v>
      </c>
      <c r="AU261" t="s">
        <v>6</v>
      </c>
      <c r="AV261">
        <v>1</v>
      </c>
      <c r="AW261">
        <v>2</v>
      </c>
      <c r="AX261">
        <v>16813516</v>
      </c>
      <c r="AY261">
        <v>1</v>
      </c>
      <c r="AZ261">
        <v>0</v>
      </c>
      <c r="BA261">
        <v>256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Y261*Source!I189</f>
        <v>4.18</v>
      </c>
      <c r="CY261">
        <f>AD261</f>
        <v>69.45</v>
      </c>
      <c r="CZ261">
        <f>AH261</f>
        <v>10.35</v>
      </c>
      <c r="DA261">
        <f>AL261</f>
        <v>6.71</v>
      </c>
      <c r="DB261">
        <f t="shared" ref="DB261:DB292" si="35">ROUND(ROUND(AT261*CZ261,2),2)</f>
        <v>21.63</v>
      </c>
      <c r="DC261">
        <f t="shared" ref="DC261:DC292" si="36">ROUND(ROUND(AT261*AG261,2),2)</f>
        <v>0</v>
      </c>
    </row>
    <row r="262" spans="1:107" x14ac:dyDescent="0.2">
      <c r="A262">
        <f>ROW(Source!A189)</f>
        <v>189</v>
      </c>
      <c r="B262">
        <v>16812721</v>
      </c>
      <c r="C262">
        <v>16813500</v>
      </c>
      <c r="D262">
        <v>15249377</v>
      </c>
      <c r="E262">
        <v>1</v>
      </c>
      <c r="F262">
        <v>1</v>
      </c>
      <c r="G262">
        <v>1</v>
      </c>
      <c r="H262">
        <v>2</v>
      </c>
      <c r="I262" t="s">
        <v>785</v>
      </c>
      <c r="J262" t="s">
        <v>786</v>
      </c>
      <c r="K262" t="s">
        <v>787</v>
      </c>
      <c r="L262">
        <v>1368</v>
      </c>
      <c r="N262">
        <v>1011</v>
      </c>
      <c r="O262" t="s">
        <v>779</v>
      </c>
      <c r="P262" t="s">
        <v>779</v>
      </c>
      <c r="Q262">
        <v>1</v>
      </c>
      <c r="W262">
        <v>0</v>
      </c>
      <c r="X262">
        <v>-353815937</v>
      </c>
      <c r="Y262">
        <v>0.06</v>
      </c>
      <c r="AA262">
        <v>0</v>
      </c>
      <c r="AB262">
        <v>54.35</v>
      </c>
      <c r="AC262">
        <v>0</v>
      </c>
      <c r="AD262">
        <v>0</v>
      </c>
      <c r="AE262">
        <v>0</v>
      </c>
      <c r="AF262">
        <v>8.1</v>
      </c>
      <c r="AG262">
        <v>0</v>
      </c>
      <c r="AH262">
        <v>0</v>
      </c>
      <c r="AI262">
        <v>1</v>
      </c>
      <c r="AJ262">
        <v>6.71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0.06</v>
      </c>
      <c r="AU262" t="s">
        <v>6</v>
      </c>
      <c r="AV262">
        <v>0</v>
      </c>
      <c r="AW262">
        <v>2</v>
      </c>
      <c r="AX262">
        <v>16813517</v>
      </c>
      <c r="AY262">
        <v>1</v>
      </c>
      <c r="AZ262">
        <v>0</v>
      </c>
      <c r="BA262">
        <v>257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Y262*Source!I189</f>
        <v>0.12</v>
      </c>
      <c r="CY262">
        <f>AB262</f>
        <v>54.35</v>
      </c>
      <c r="CZ262">
        <f>AF262</f>
        <v>8.1</v>
      </c>
      <c r="DA262">
        <f>AJ262</f>
        <v>6.71</v>
      </c>
      <c r="DB262">
        <f t="shared" si="35"/>
        <v>0.49</v>
      </c>
      <c r="DC262">
        <f t="shared" si="36"/>
        <v>0</v>
      </c>
    </row>
    <row r="263" spans="1:107" x14ac:dyDescent="0.2">
      <c r="A263">
        <f>ROW(Source!A189)</f>
        <v>189</v>
      </c>
      <c r="B263">
        <v>16812721</v>
      </c>
      <c r="C263">
        <v>16813500</v>
      </c>
      <c r="D263">
        <v>15250043</v>
      </c>
      <c r="E263">
        <v>1</v>
      </c>
      <c r="F263">
        <v>1</v>
      </c>
      <c r="G263">
        <v>1</v>
      </c>
      <c r="H263">
        <v>2</v>
      </c>
      <c r="I263" t="s">
        <v>997</v>
      </c>
      <c r="J263" t="s">
        <v>998</v>
      </c>
      <c r="K263" t="s">
        <v>999</v>
      </c>
      <c r="L263">
        <v>1368</v>
      </c>
      <c r="N263">
        <v>1011</v>
      </c>
      <c r="O263" t="s">
        <v>779</v>
      </c>
      <c r="P263" t="s">
        <v>779</v>
      </c>
      <c r="Q263">
        <v>1</v>
      </c>
      <c r="W263">
        <v>0</v>
      </c>
      <c r="X263">
        <v>-995250510</v>
      </c>
      <c r="Y263">
        <v>0.09</v>
      </c>
      <c r="AA263">
        <v>0</v>
      </c>
      <c r="AB263">
        <v>7.45</v>
      </c>
      <c r="AC263">
        <v>0</v>
      </c>
      <c r="AD263">
        <v>0</v>
      </c>
      <c r="AE263">
        <v>0</v>
      </c>
      <c r="AF263">
        <v>1.1100000000000001</v>
      </c>
      <c r="AG263">
        <v>0</v>
      </c>
      <c r="AH263">
        <v>0</v>
      </c>
      <c r="AI263">
        <v>1</v>
      </c>
      <c r="AJ263">
        <v>6.71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6</v>
      </c>
      <c r="AT263">
        <v>0.09</v>
      </c>
      <c r="AU263" t="s">
        <v>6</v>
      </c>
      <c r="AV263">
        <v>0</v>
      </c>
      <c r="AW263">
        <v>2</v>
      </c>
      <c r="AX263">
        <v>16813518</v>
      </c>
      <c r="AY263">
        <v>1</v>
      </c>
      <c r="AZ263">
        <v>0</v>
      </c>
      <c r="BA263">
        <v>258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Y263*Source!I189</f>
        <v>0.18</v>
      </c>
      <c r="CY263">
        <f>AB263</f>
        <v>7.45</v>
      </c>
      <c r="CZ263">
        <f>AF263</f>
        <v>1.1100000000000001</v>
      </c>
      <c r="DA263">
        <f>AJ263</f>
        <v>6.71</v>
      </c>
      <c r="DB263">
        <f t="shared" si="35"/>
        <v>0.1</v>
      </c>
      <c r="DC263">
        <f t="shared" si="36"/>
        <v>0</v>
      </c>
    </row>
    <row r="264" spans="1:107" x14ac:dyDescent="0.2">
      <c r="A264">
        <f>ROW(Source!A189)</f>
        <v>189</v>
      </c>
      <c r="B264">
        <v>16812721</v>
      </c>
      <c r="C264">
        <v>16813500</v>
      </c>
      <c r="D264">
        <v>15165537</v>
      </c>
      <c r="E264">
        <v>1</v>
      </c>
      <c r="F264">
        <v>1</v>
      </c>
      <c r="G264">
        <v>1</v>
      </c>
      <c r="H264">
        <v>3</v>
      </c>
      <c r="I264" t="s">
        <v>1000</v>
      </c>
      <c r="J264" t="s">
        <v>1001</v>
      </c>
      <c r="K264" t="s">
        <v>1002</v>
      </c>
      <c r="L264">
        <v>1346</v>
      </c>
      <c r="N264">
        <v>1009</v>
      </c>
      <c r="O264" t="s">
        <v>277</v>
      </c>
      <c r="P264" t="s">
        <v>277</v>
      </c>
      <c r="Q264">
        <v>1</v>
      </c>
      <c r="W264">
        <v>0</v>
      </c>
      <c r="X264">
        <v>618806536</v>
      </c>
      <c r="Y264">
        <v>6.0000000000000001E-3</v>
      </c>
      <c r="AA264">
        <v>301.75</v>
      </c>
      <c r="AB264">
        <v>0</v>
      </c>
      <c r="AC264">
        <v>0</v>
      </c>
      <c r="AD264">
        <v>0</v>
      </c>
      <c r="AE264">
        <v>44.97</v>
      </c>
      <c r="AF264">
        <v>0</v>
      </c>
      <c r="AG264">
        <v>0</v>
      </c>
      <c r="AH264">
        <v>0</v>
      </c>
      <c r="AI264">
        <v>6.71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6.0000000000000001E-3</v>
      </c>
      <c r="AU264" t="s">
        <v>6</v>
      </c>
      <c r="AV264">
        <v>0</v>
      </c>
      <c r="AW264">
        <v>2</v>
      </c>
      <c r="AX264">
        <v>16813519</v>
      </c>
      <c r="AY264">
        <v>1</v>
      </c>
      <c r="AZ264">
        <v>0</v>
      </c>
      <c r="BA264">
        <v>259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Y264*Source!I189</f>
        <v>1.2E-2</v>
      </c>
      <c r="CY264">
        <f t="shared" ref="CY264:CY275" si="37">AA264</f>
        <v>301.75</v>
      </c>
      <c r="CZ264">
        <f t="shared" ref="CZ264:CZ275" si="38">AE264</f>
        <v>44.97</v>
      </c>
      <c r="DA264">
        <f t="shared" ref="DA264:DA275" si="39">AI264</f>
        <v>6.71</v>
      </c>
      <c r="DB264">
        <f t="shared" si="35"/>
        <v>0.27</v>
      </c>
      <c r="DC264">
        <f t="shared" si="36"/>
        <v>0</v>
      </c>
    </row>
    <row r="265" spans="1:107" x14ac:dyDescent="0.2">
      <c r="A265">
        <f>ROW(Source!A189)</f>
        <v>189</v>
      </c>
      <c r="B265">
        <v>16812721</v>
      </c>
      <c r="C265">
        <v>16813500</v>
      </c>
      <c r="D265">
        <v>15167269</v>
      </c>
      <c r="E265">
        <v>1</v>
      </c>
      <c r="F265">
        <v>1</v>
      </c>
      <c r="G265">
        <v>1</v>
      </c>
      <c r="H265">
        <v>3</v>
      </c>
      <c r="I265" t="s">
        <v>1003</v>
      </c>
      <c r="J265" t="s">
        <v>1004</v>
      </c>
      <c r="K265" t="s">
        <v>1005</v>
      </c>
      <c r="L265">
        <v>1346</v>
      </c>
      <c r="N265">
        <v>1009</v>
      </c>
      <c r="O265" t="s">
        <v>277</v>
      </c>
      <c r="P265" t="s">
        <v>277</v>
      </c>
      <c r="Q265">
        <v>1</v>
      </c>
      <c r="W265">
        <v>0</v>
      </c>
      <c r="X265">
        <v>56922527</v>
      </c>
      <c r="Y265">
        <v>2E-3</v>
      </c>
      <c r="AA265">
        <v>77.17</v>
      </c>
      <c r="AB265">
        <v>0</v>
      </c>
      <c r="AC265">
        <v>0</v>
      </c>
      <c r="AD265">
        <v>0</v>
      </c>
      <c r="AE265">
        <v>11.5</v>
      </c>
      <c r="AF265">
        <v>0</v>
      </c>
      <c r="AG265">
        <v>0</v>
      </c>
      <c r="AH265">
        <v>0</v>
      </c>
      <c r="AI265">
        <v>6.71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0</v>
      </c>
      <c r="AQ265">
        <v>0</v>
      </c>
      <c r="AR265">
        <v>0</v>
      </c>
      <c r="AS265" t="s">
        <v>6</v>
      </c>
      <c r="AT265">
        <v>2E-3</v>
      </c>
      <c r="AU265" t="s">
        <v>6</v>
      </c>
      <c r="AV265">
        <v>0</v>
      </c>
      <c r="AW265">
        <v>2</v>
      </c>
      <c r="AX265">
        <v>16813520</v>
      </c>
      <c r="AY265">
        <v>1</v>
      </c>
      <c r="AZ265">
        <v>0</v>
      </c>
      <c r="BA265">
        <v>260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Y265*Source!I189</f>
        <v>4.0000000000000001E-3</v>
      </c>
      <c r="CY265">
        <f t="shared" si="37"/>
        <v>77.17</v>
      </c>
      <c r="CZ265">
        <f t="shared" si="38"/>
        <v>11.5</v>
      </c>
      <c r="DA265">
        <f t="shared" si="39"/>
        <v>6.71</v>
      </c>
      <c r="DB265">
        <f t="shared" si="35"/>
        <v>0.02</v>
      </c>
      <c r="DC265">
        <f t="shared" si="36"/>
        <v>0</v>
      </c>
    </row>
    <row r="266" spans="1:107" x14ac:dyDescent="0.2">
      <c r="A266">
        <f>ROW(Source!A189)</f>
        <v>189</v>
      </c>
      <c r="B266">
        <v>16812721</v>
      </c>
      <c r="C266">
        <v>16813500</v>
      </c>
      <c r="D266">
        <v>15167588</v>
      </c>
      <c r="E266">
        <v>1</v>
      </c>
      <c r="F266">
        <v>1</v>
      </c>
      <c r="G266">
        <v>1</v>
      </c>
      <c r="H266">
        <v>3</v>
      </c>
      <c r="I266" t="s">
        <v>1006</v>
      </c>
      <c r="J266" t="s">
        <v>1007</v>
      </c>
      <c r="K266" t="s">
        <v>1008</v>
      </c>
      <c r="L266">
        <v>1346</v>
      </c>
      <c r="N266">
        <v>1009</v>
      </c>
      <c r="O266" t="s">
        <v>277</v>
      </c>
      <c r="P266" t="s">
        <v>277</v>
      </c>
      <c r="Q266">
        <v>1</v>
      </c>
      <c r="W266">
        <v>0</v>
      </c>
      <c r="X266">
        <v>-1088866022</v>
      </c>
      <c r="Y266">
        <v>2.4E-2</v>
      </c>
      <c r="AA266">
        <v>203.98</v>
      </c>
      <c r="AB266">
        <v>0</v>
      </c>
      <c r="AC266">
        <v>0</v>
      </c>
      <c r="AD266">
        <v>0</v>
      </c>
      <c r="AE266">
        <v>30.4</v>
      </c>
      <c r="AF266">
        <v>0</v>
      </c>
      <c r="AG266">
        <v>0</v>
      </c>
      <c r="AH266">
        <v>0</v>
      </c>
      <c r="AI266">
        <v>6.71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2.4E-2</v>
      </c>
      <c r="AU266" t="s">
        <v>6</v>
      </c>
      <c r="AV266">
        <v>0</v>
      </c>
      <c r="AW266">
        <v>2</v>
      </c>
      <c r="AX266">
        <v>16813521</v>
      </c>
      <c r="AY266">
        <v>1</v>
      </c>
      <c r="AZ266">
        <v>0</v>
      </c>
      <c r="BA266">
        <v>261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Y266*Source!I189</f>
        <v>4.8000000000000001E-2</v>
      </c>
      <c r="CY266">
        <f t="shared" si="37"/>
        <v>203.98</v>
      </c>
      <c r="CZ266">
        <f t="shared" si="38"/>
        <v>30.4</v>
      </c>
      <c r="DA266">
        <f t="shared" si="39"/>
        <v>6.71</v>
      </c>
      <c r="DB266">
        <f t="shared" si="35"/>
        <v>0.73</v>
      </c>
      <c r="DC266">
        <f t="shared" si="36"/>
        <v>0</v>
      </c>
    </row>
    <row r="267" spans="1:107" x14ac:dyDescent="0.2">
      <c r="A267">
        <f>ROW(Source!A189)</f>
        <v>189</v>
      </c>
      <c r="B267">
        <v>16812721</v>
      </c>
      <c r="C267">
        <v>16813500</v>
      </c>
      <c r="D267">
        <v>15168752</v>
      </c>
      <c r="E267">
        <v>1</v>
      </c>
      <c r="F267">
        <v>1</v>
      </c>
      <c r="G267">
        <v>1</v>
      </c>
      <c r="H267">
        <v>3</v>
      </c>
      <c r="I267" t="s">
        <v>1009</v>
      </c>
      <c r="J267" t="s">
        <v>1010</v>
      </c>
      <c r="K267" t="s">
        <v>1011</v>
      </c>
      <c r="L267">
        <v>1346</v>
      </c>
      <c r="N267">
        <v>1009</v>
      </c>
      <c r="O267" t="s">
        <v>277</v>
      </c>
      <c r="P267" t="s">
        <v>277</v>
      </c>
      <c r="Q267">
        <v>1</v>
      </c>
      <c r="W267">
        <v>0</v>
      </c>
      <c r="X267">
        <v>586013393</v>
      </c>
      <c r="Y267">
        <v>7.0000000000000007E-2</v>
      </c>
      <c r="AA267">
        <v>70.92</v>
      </c>
      <c r="AB267">
        <v>0</v>
      </c>
      <c r="AC267">
        <v>0</v>
      </c>
      <c r="AD267">
        <v>0</v>
      </c>
      <c r="AE267">
        <v>10.57</v>
      </c>
      <c r="AF267">
        <v>0</v>
      </c>
      <c r="AG267">
        <v>0</v>
      </c>
      <c r="AH267">
        <v>0</v>
      </c>
      <c r="AI267">
        <v>6.71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6</v>
      </c>
      <c r="AT267">
        <v>7.0000000000000007E-2</v>
      </c>
      <c r="AU267" t="s">
        <v>6</v>
      </c>
      <c r="AV267">
        <v>0</v>
      </c>
      <c r="AW267">
        <v>2</v>
      </c>
      <c r="AX267">
        <v>16813522</v>
      </c>
      <c r="AY267">
        <v>1</v>
      </c>
      <c r="AZ267">
        <v>0</v>
      </c>
      <c r="BA267">
        <v>262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Y267*Source!I189</f>
        <v>0.14000000000000001</v>
      </c>
      <c r="CY267">
        <f t="shared" si="37"/>
        <v>70.92</v>
      </c>
      <c r="CZ267">
        <f t="shared" si="38"/>
        <v>10.57</v>
      </c>
      <c r="DA267">
        <f t="shared" si="39"/>
        <v>6.71</v>
      </c>
      <c r="DB267">
        <f t="shared" si="35"/>
        <v>0.74</v>
      </c>
      <c r="DC267">
        <f t="shared" si="36"/>
        <v>0</v>
      </c>
    </row>
    <row r="268" spans="1:107" x14ac:dyDescent="0.2">
      <c r="A268">
        <f>ROW(Source!A189)</f>
        <v>189</v>
      </c>
      <c r="B268">
        <v>16812721</v>
      </c>
      <c r="C268">
        <v>16813500</v>
      </c>
      <c r="D268">
        <v>15169942</v>
      </c>
      <c r="E268">
        <v>1</v>
      </c>
      <c r="F268">
        <v>1</v>
      </c>
      <c r="G268">
        <v>1</v>
      </c>
      <c r="H268">
        <v>3</v>
      </c>
      <c r="I268" t="s">
        <v>1012</v>
      </c>
      <c r="J268" t="s">
        <v>1013</v>
      </c>
      <c r="K268" t="s">
        <v>1014</v>
      </c>
      <c r="L268">
        <v>1346</v>
      </c>
      <c r="N268">
        <v>1009</v>
      </c>
      <c r="O268" t="s">
        <v>277</v>
      </c>
      <c r="P268" t="s">
        <v>277</v>
      </c>
      <c r="Q268">
        <v>1</v>
      </c>
      <c r="W268">
        <v>0</v>
      </c>
      <c r="X268">
        <v>103900845</v>
      </c>
      <c r="Y268">
        <v>0.14000000000000001</v>
      </c>
      <c r="AA268">
        <v>60.66</v>
      </c>
      <c r="AB268">
        <v>0</v>
      </c>
      <c r="AC268">
        <v>0</v>
      </c>
      <c r="AD268">
        <v>0</v>
      </c>
      <c r="AE268">
        <v>9.0399999999999991</v>
      </c>
      <c r="AF268">
        <v>0</v>
      </c>
      <c r="AG268">
        <v>0</v>
      </c>
      <c r="AH268">
        <v>0</v>
      </c>
      <c r="AI268">
        <v>6.71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6</v>
      </c>
      <c r="AT268">
        <v>0.14000000000000001</v>
      </c>
      <c r="AU268" t="s">
        <v>6</v>
      </c>
      <c r="AV268">
        <v>0</v>
      </c>
      <c r="AW268">
        <v>2</v>
      </c>
      <c r="AX268">
        <v>16813523</v>
      </c>
      <c r="AY268">
        <v>1</v>
      </c>
      <c r="AZ268">
        <v>0</v>
      </c>
      <c r="BA268">
        <v>263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Y268*Source!I189</f>
        <v>0.28000000000000003</v>
      </c>
      <c r="CY268">
        <f t="shared" si="37"/>
        <v>60.66</v>
      </c>
      <c r="CZ268">
        <f t="shared" si="38"/>
        <v>9.0399999999999991</v>
      </c>
      <c r="DA268">
        <f t="shared" si="39"/>
        <v>6.71</v>
      </c>
      <c r="DB268">
        <f t="shared" si="35"/>
        <v>1.27</v>
      </c>
      <c r="DC268">
        <f t="shared" si="36"/>
        <v>0</v>
      </c>
    </row>
    <row r="269" spans="1:107" x14ac:dyDescent="0.2">
      <c r="A269">
        <f>ROW(Source!A189)</f>
        <v>189</v>
      </c>
      <c r="B269">
        <v>16812721</v>
      </c>
      <c r="C269">
        <v>16813500</v>
      </c>
      <c r="D269">
        <v>15170074</v>
      </c>
      <c r="E269">
        <v>1</v>
      </c>
      <c r="F269">
        <v>1</v>
      </c>
      <c r="G269">
        <v>1</v>
      </c>
      <c r="H269">
        <v>3</v>
      </c>
      <c r="I269" t="s">
        <v>1015</v>
      </c>
      <c r="J269" t="s">
        <v>1016</v>
      </c>
      <c r="K269" t="s">
        <v>1017</v>
      </c>
      <c r="L269">
        <v>1355</v>
      </c>
      <c r="N269">
        <v>1010</v>
      </c>
      <c r="O269" t="s">
        <v>188</v>
      </c>
      <c r="P269" t="s">
        <v>188</v>
      </c>
      <c r="Q269">
        <v>100</v>
      </c>
      <c r="W269">
        <v>0</v>
      </c>
      <c r="X269">
        <v>1794244060</v>
      </c>
      <c r="Y269">
        <v>7.0000000000000001E-3</v>
      </c>
      <c r="AA269">
        <v>577.05999999999995</v>
      </c>
      <c r="AB269">
        <v>0</v>
      </c>
      <c r="AC269">
        <v>0</v>
      </c>
      <c r="AD269">
        <v>0</v>
      </c>
      <c r="AE269">
        <v>86</v>
      </c>
      <c r="AF269">
        <v>0</v>
      </c>
      <c r="AG269">
        <v>0</v>
      </c>
      <c r="AH269">
        <v>0</v>
      </c>
      <c r="AI269">
        <v>6.71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6</v>
      </c>
      <c r="AT269">
        <v>7.0000000000000001E-3</v>
      </c>
      <c r="AU269" t="s">
        <v>6</v>
      </c>
      <c r="AV269">
        <v>0</v>
      </c>
      <c r="AW269">
        <v>2</v>
      </c>
      <c r="AX269">
        <v>16813524</v>
      </c>
      <c r="AY269">
        <v>1</v>
      </c>
      <c r="AZ269">
        <v>0</v>
      </c>
      <c r="BA269">
        <v>264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Y269*Source!I189</f>
        <v>1.4E-2</v>
      </c>
      <c r="CY269">
        <f t="shared" si="37"/>
        <v>577.05999999999995</v>
      </c>
      <c r="CZ269">
        <f t="shared" si="38"/>
        <v>86</v>
      </c>
      <c r="DA269">
        <f t="shared" si="39"/>
        <v>6.71</v>
      </c>
      <c r="DB269">
        <f t="shared" si="35"/>
        <v>0.6</v>
      </c>
      <c r="DC269">
        <f t="shared" si="36"/>
        <v>0</v>
      </c>
    </row>
    <row r="270" spans="1:107" x14ac:dyDescent="0.2">
      <c r="A270">
        <f>ROW(Source!A189)</f>
        <v>189</v>
      </c>
      <c r="B270">
        <v>16812721</v>
      </c>
      <c r="C270">
        <v>16813500</v>
      </c>
      <c r="D270">
        <v>15170994</v>
      </c>
      <c r="E270">
        <v>1</v>
      </c>
      <c r="F270">
        <v>1</v>
      </c>
      <c r="G270">
        <v>1</v>
      </c>
      <c r="H270">
        <v>3</v>
      </c>
      <c r="I270" t="s">
        <v>1018</v>
      </c>
      <c r="J270" t="s">
        <v>1019</v>
      </c>
      <c r="K270" t="s">
        <v>1020</v>
      </c>
      <c r="L270">
        <v>1346</v>
      </c>
      <c r="N270">
        <v>1009</v>
      </c>
      <c r="O270" t="s">
        <v>277</v>
      </c>
      <c r="P270" t="s">
        <v>277</v>
      </c>
      <c r="Q270">
        <v>1</v>
      </c>
      <c r="W270">
        <v>0</v>
      </c>
      <c r="X270">
        <v>-856710481</v>
      </c>
      <c r="Y270">
        <v>2E-3</v>
      </c>
      <c r="AA270">
        <v>892.77</v>
      </c>
      <c r="AB270">
        <v>0</v>
      </c>
      <c r="AC270">
        <v>0</v>
      </c>
      <c r="AD270">
        <v>0</v>
      </c>
      <c r="AE270">
        <v>133.05000000000001</v>
      </c>
      <c r="AF270">
        <v>0</v>
      </c>
      <c r="AG270">
        <v>0</v>
      </c>
      <c r="AH270">
        <v>0</v>
      </c>
      <c r="AI270">
        <v>6.71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2E-3</v>
      </c>
      <c r="AU270" t="s">
        <v>6</v>
      </c>
      <c r="AV270">
        <v>0</v>
      </c>
      <c r="AW270">
        <v>2</v>
      </c>
      <c r="AX270">
        <v>16813525</v>
      </c>
      <c r="AY270">
        <v>1</v>
      </c>
      <c r="AZ270">
        <v>0</v>
      </c>
      <c r="BA270">
        <v>265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Y270*Source!I189</f>
        <v>4.0000000000000001E-3</v>
      </c>
      <c r="CY270">
        <f t="shared" si="37"/>
        <v>892.77</v>
      </c>
      <c r="CZ270">
        <f t="shared" si="38"/>
        <v>133.05000000000001</v>
      </c>
      <c r="DA270">
        <f t="shared" si="39"/>
        <v>6.71</v>
      </c>
      <c r="DB270">
        <f t="shared" si="35"/>
        <v>0.27</v>
      </c>
      <c r="DC270">
        <f t="shared" si="36"/>
        <v>0</v>
      </c>
    </row>
    <row r="271" spans="1:107" x14ac:dyDescent="0.2">
      <c r="A271">
        <f>ROW(Source!A189)</f>
        <v>189</v>
      </c>
      <c r="B271">
        <v>16812721</v>
      </c>
      <c r="C271">
        <v>16813500</v>
      </c>
      <c r="D271">
        <v>15188647</v>
      </c>
      <c r="E271">
        <v>1</v>
      </c>
      <c r="F271">
        <v>1</v>
      </c>
      <c r="G271">
        <v>1</v>
      </c>
      <c r="H271">
        <v>3</v>
      </c>
      <c r="I271" t="s">
        <v>1021</v>
      </c>
      <c r="J271" t="s">
        <v>1022</v>
      </c>
      <c r="K271" t="s">
        <v>1023</v>
      </c>
      <c r="L271">
        <v>1348</v>
      </c>
      <c r="N271">
        <v>1009</v>
      </c>
      <c r="O271" t="s">
        <v>145</v>
      </c>
      <c r="P271" t="s">
        <v>145</v>
      </c>
      <c r="Q271">
        <v>1000</v>
      </c>
      <c r="W271">
        <v>0</v>
      </c>
      <c r="X271">
        <v>426000481</v>
      </c>
      <c r="Y271">
        <v>3.0000000000000001E-3</v>
      </c>
      <c r="AA271">
        <v>77165</v>
      </c>
      <c r="AB271">
        <v>0</v>
      </c>
      <c r="AC271">
        <v>0</v>
      </c>
      <c r="AD271">
        <v>0</v>
      </c>
      <c r="AE271">
        <v>11500</v>
      </c>
      <c r="AF271">
        <v>0</v>
      </c>
      <c r="AG271">
        <v>0</v>
      </c>
      <c r="AH271">
        <v>0</v>
      </c>
      <c r="AI271">
        <v>6.71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6</v>
      </c>
      <c r="AT271">
        <v>3.0000000000000001E-3</v>
      </c>
      <c r="AU271" t="s">
        <v>6</v>
      </c>
      <c r="AV271">
        <v>0</v>
      </c>
      <c r="AW271">
        <v>2</v>
      </c>
      <c r="AX271">
        <v>16813526</v>
      </c>
      <c r="AY271">
        <v>1</v>
      </c>
      <c r="AZ271">
        <v>0</v>
      </c>
      <c r="BA271">
        <v>266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Y271*Source!I189</f>
        <v>6.0000000000000001E-3</v>
      </c>
      <c r="CY271">
        <f t="shared" si="37"/>
        <v>77165</v>
      </c>
      <c r="CZ271">
        <f t="shared" si="38"/>
        <v>11500</v>
      </c>
      <c r="DA271">
        <f t="shared" si="39"/>
        <v>6.71</v>
      </c>
      <c r="DB271">
        <f t="shared" si="35"/>
        <v>34.5</v>
      </c>
      <c r="DC271">
        <f t="shared" si="36"/>
        <v>0</v>
      </c>
    </row>
    <row r="272" spans="1:107" x14ac:dyDescent="0.2">
      <c r="A272">
        <f>ROW(Source!A189)</f>
        <v>189</v>
      </c>
      <c r="B272">
        <v>16812721</v>
      </c>
      <c r="C272">
        <v>16813500</v>
      </c>
      <c r="D272">
        <v>15203834</v>
      </c>
      <c r="E272">
        <v>1</v>
      </c>
      <c r="F272">
        <v>1</v>
      </c>
      <c r="G272">
        <v>1</v>
      </c>
      <c r="H272">
        <v>3</v>
      </c>
      <c r="I272" t="s">
        <v>1024</v>
      </c>
      <c r="J272" t="s">
        <v>1025</v>
      </c>
      <c r="K272" t="s">
        <v>320</v>
      </c>
      <c r="L272">
        <v>1346</v>
      </c>
      <c r="N272">
        <v>1009</v>
      </c>
      <c r="O272" t="s">
        <v>277</v>
      </c>
      <c r="P272" t="s">
        <v>277</v>
      </c>
      <c r="Q272">
        <v>1</v>
      </c>
      <c r="W272">
        <v>0</v>
      </c>
      <c r="X272">
        <v>210558753</v>
      </c>
      <c r="Y272">
        <v>1.7999999999999999E-2</v>
      </c>
      <c r="AA272">
        <v>191.91</v>
      </c>
      <c r="AB272">
        <v>0</v>
      </c>
      <c r="AC272">
        <v>0</v>
      </c>
      <c r="AD272">
        <v>0</v>
      </c>
      <c r="AE272">
        <v>28.6</v>
      </c>
      <c r="AF272">
        <v>0</v>
      </c>
      <c r="AG272">
        <v>0</v>
      </c>
      <c r="AH272">
        <v>0</v>
      </c>
      <c r="AI272">
        <v>6.71</v>
      </c>
      <c r="AJ272">
        <v>1</v>
      </c>
      <c r="AK272">
        <v>1</v>
      </c>
      <c r="AL272">
        <v>1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6</v>
      </c>
      <c r="AT272">
        <v>1.7999999999999999E-2</v>
      </c>
      <c r="AU272" t="s">
        <v>6</v>
      </c>
      <c r="AV272">
        <v>0</v>
      </c>
      <c r="AW272">
        <v>2</v>
      </c>
      <c r="AX272">
        <v>16813527</v>
      </c>
      <c r="AY272">
        <v>1</v>
      </c>
      <c r="AZ272">
        <v>0</v>
      </c>
      <c r="BA272">
        <v>267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Y272*Source!I189</f>
        <v>3.5999999999999997E-2</v>
      </c>
      <c r="CY272">
        <f t="shared" si="37"/>
        <v>191.91</v>
      </c>
      <c r="CZ272">
        <f t="shared" si="38"/>
        <v>28.6</v>
      </c>
      <c r="DA272">
        <f t="shared" si="39"/>
        <v>6.71</v>
      </c>
      <c r="DB272">
        <f t="shared" si="35"/>
        <v>0.51</v>
      </c>
      <c r="DC272">
        <f t="shared" si="36"/>
        <v>0</v>
      </c>
    </row>
    <row r="273" spans="1:107" x14ac:dyDescent="0.2">
      <c r="A273">
        <f>ROW(Source!A189)</f>
        <v>189</v>
      </c>
      <c r="B273">
        <v>16812721</v>
      </c>
      <c r="C273">
        <v>16813500</v>
      </c>
      <c r="D273">
        <v>15203987</v>
      </c>
      <c r="E273">
        <v>1</v>
      </c>
      <c r="F273">
        <v>1</v>
      </c>
      <c r="G273">
        <v>1</v>
      </c>
      <c r="H273">
        <v>3</v>
      </c>
      <c r="I273" t="s">
        <v>1026</v>
      </c>
      <c r="J273" t="s">
        <v>1027</v>
      </c>
      <c r="K273" t="s">
        <v>1028</v>
      </c>
      <c r="L273">
        <v>1346</v>
      </c>
      <c r="N273">
        <v>1009</v>
      </c>
      <c r="O273" t="s">
        <v>277</v>
      </c>
      <c r="P273" t="s">
        <v>277</v>
      </c>
      <c r="Q273">
        <v>1</v>
      </c>
      <c r="W273">
        <v>0</v>
      </c>
      <c r="X273">
        <v>-1274984028</v>
      </c>
      <c r="Y273">
        <v>8.9999999999999993E-3</v>
      </c>
      <c r="AA273">
        <v>239.08</v>
      </c>
      <c r="AB273">
        <v>0</v>
      </c>
      <c r="AC273">
        <v>0</v>
      </c>
      <c r="AD273">
        <v>0</v>
      </c>
      <c r="AE273">
        <v>35.630000000000003</v>
      </c>
      <c r="AF273">
        <v>0</v>
      </c>
      <c r="AG273">
        <v>0</v>
      </c>
      <c r="AH273">
        <v>0</v>
      </c>
      <c r="AI273">
        <v>6.71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6</v>
      </c>
      <c r="AT273">
        <v>8.9999999999999993E-3</v>
      </c>
      <c r="AU273" t="s">
        <v>6</v>
      </c>
      <c r="AV273">
        <v>0</v>
      </c>
      <c r="AW273">
        <v>2</v>
      </c>
      <c r="AX273">
        <v>16813528</v>
      </c>
      <c r="AY273">
        <v>1</v>
      </c>
      <c r="AZ273">
        <v>0</v>
      </c>
      <c r="BA273">
        <v>268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Y273*Source!I189</f>
        <v>1.7999999999999999E-2</v>
      </c>
      <c r="CY273">
        <f t="shared" si="37"/>
        <v>239.08</v>
      </c>
      <c r="CZ273">
        <f t="shared" si="38"/>
        <v>35.630000000000003</v>
      </c>
      <c r="DA273">
        <f t="shared" si="39"/>
        <v>6.71</v>
      </c>
      <c r="DB273">
        <f t="shared" si="35"/>
        <v>0.32</v>
      </c>
      <c r="DC273">
        <f t="shared" si="36"/>
        <v>0</v>
      </c>
    </row>
    <row r="274" spans="1:107" x14ac:dyDescent="0.2">
      <c r="A274">
        <f>ROW(Source!A189)</f>
        <v>189</v>
      </c>
      <c r="B274">
        <v>16812721</v>
      </c>
      <c r="C274">
        <v>16813500</v>
      </c>
      <c r="D274">
        <v>15217463</v>
      </c>
      <c r="E274">
        <v>1</v>
      </c>
      <c r="F274">
        <v>1</v>
      </c>
      <c r="G274">
        <v>1</v>
      </c>
      <c r="H274">
        <v>3</v>
      </c>
      <c r="I274" t="s">
        <v>1029</v>
      </c>
      <c r="J274" t="s">
        <v>1030</v>
      </c>
      <c r="K274" t="s">
        <v>1031</v>
      </c>
      <c r="L274">
        <v>1358</v>
      </c>
      <c r="N274">
        <v>1010</v>
      </c>
      <c r="O274" t="s">
        <v>516</v>
      </c>
      <c r="P274" t="s">
        <v>516</v>
      </c>
      <c r="Q274">
        <v>10</v>
      </c>
      <c r="W274">
        <v>0</v>
      </c>
      <c r="X274">
        <v>1386890308</v>
      </c>
      <c r="Y274">
        <v>0.1</v>
      </c>
      <c r="AA274">
        <v>261.69</v>
      </c>
      <c r="AB274">
        <v>0</v>
      </c>
      <c r="AC274">
        <v>0</v>
      </c>
      <c r="AD274">
        <v>0</v>
      </c>
      <c r="AE274">
        <v>39</v>
      </c>
      <c r="AF274">
        <v>0</v>
      </c>
      <c r="AG274">
        <v>0</v>
      </c>
      <c r="AH274">
        <v>0</v>
      </c>
      <c r="AI274">
        <v>6.71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0.1</v>
      </c>
      <c r="AU274" t="s">
        <v>6</v>
      </c>
      <c r="AV274">
        <v>0</v>
      </c>
      <c r="AW274">
        <v>2</v>
      </c>
      <c r="AX274">
        <v>16813529</v>
      </c>
      <c r="AY274">
        <v>1</v>
      </c>
      <c r="AZ274">
        <v>0</v>
      </c>
      <c r="BA274">
        <v>269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Y274*Source!I189</f>
        <v>0.2</v>
      </c>
      <c r="CY274">
        <f t="shared" si="37"/>
        <v>261.69</v>
      </c>
      <c r="CZ274">
        <f t="shared" si="38"/>
        <v>39</v>
      </c>
      <c r="DA274">
        <f t="shared" si="39"/>
        <v>6.71</v>
      </c>
      <c r="DB274">
        <f t="shared" si="35"/>
        <v>3.9</v>
      </c>
      <c r="DC274">
        <f t="shared" si="36"/>
        <v>0</v>
      </c>
    </row>
    <row r="275" spans="1:107" x14ac:dyDescent="0.2">
      <c r="A275">
        <f>ROW(Source!A189)</f>
        <v>189</v>
      </c>
      <c r="B275">
        <v>16812721</v>
      </c>
      <c r="C275">
        <v>16813500</v>
      </c>
      <c r="D275">
        <v>15164559</v>
      </c>
      <c r="E275">
        <v>17</v>
      </c>
      <c r="F275">
        <v>1</v>
      </c>
      <c r="G275">
        <v>1</v>
      </c>
      <c r="H275">
        <v>3</v>
      </c>
      <c r="I275" t="s">
        <v>989</v>
      </c>
      <c r="J275" t="s">
        <v>6</v>
      </c>
      <c r="K275" t="s">
        <v>990</v>
      </c>
      <c r="L275">
        <v>1374</v>
      </c>
      <c r="N275">
        <v>1013</v>
      </c>
      <c r="O275" t="s">
        <v>991</v>
      </c>
      <c r="P275" t="s">
        <v>991</v>
      </c>
      <c r="Q275">
        <v>1</v>
      </c>
      <c r="W275">
        <v>0</v>
      </c>
      <c r="X275">
        <v>-1731369543</v>
      </c>
      <c r="Y275">
        <v>0.43</v>
      </c>
      <c r="AA275">
        <v>1</v>
      </c>
      <c r="AB275">
        <v>0</v>
      </c>
      <c r="AC275">
        <v>0</v>
      </c>
      <c r="AD275">
        <v>0</v>
      </c>
      <c r="AE275">
        <v>1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0</v>
      </c>
      <c r="AQ275">
        <v>0</v>
      </c>
      <c r="AR275">
        <v>0</v>
      </c>
      <c r="AS275" t="s">
        <v>6</v>
      </c>
      <c r="AT275">
        <v>0.43</v>
      </c>
      <c r="AU275" t="s">
        <v>6</v>
      </c>
      <c r="AV275">
        <v>0</v>
      </c>
      <c r="AW275">
        <v>2</v>
      </c>
      <c r="AX275">
        <v>16813530</v>
      </c>
      <c r="AY275">
        <v>1</v>
      </c>
      <c r="AZ275">
        <v>0</v>
      </c>
      <c r="BA275">
        <v>270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Y275*Source!I189</f>
        <v>0.86</v>
      </c>
      <c r="CY275">
        <f t="shared" si="37"/>
        <v>1</v>
      </c>
      <c r="CZ275">
        <f t="shared" si="38"/>
        <v>1</v>
      </c>
      <c r="DA275">
        <f t="shared" si="39"/>
        <v>1</v>
      </c>
      <c r="DB275">
        <f t="shared" si="35"/>
        <v>0.43</v>
      </c>
      <c r="DC275">
        <f t="shared" si="36"/>
        <v>0</v>
      </c>
    </row>
    <row r="276" spans="1:107" x14ac:dyDescent="0.2">
      <c r="A276">
        <f>ROW(Source!A191)</f>
        <v>191</v>
      </c>
      <c r="B276">
        <v>16812721</v>
      </c>
      <c r="C276">
        <v>16813532</v>
      </c>
      <c r="D276">
        <v>15430517</v>
      </c>
      <c r="E276">
        <v>1</v>
      </c>
      <c r="F276">
        <v>1</v>
      </c>
      <c r="G276">
        <v>1</v>
      </c>
      <c r="H276">
        <v>1</v>
      </c>
      <c r="I276" t="s">
        <v>797</v>
      </c>
      <c r="J276" t="s">
        <v>6</v>
      </c>
      <c r="K276" t="s">
        <v>798</v>
      </c>
      <c r="L276">
        <v>1191</v>
      </c>
      <c r="N276">
        <v>1013</v>
      </c>
      <c r="O276" t="s">
        <v>773</v>
      </c>
      <c r="P276" t="s">
        <v>773</v>
      </c>
      <c r="Q276">
        <v>1</v>
      </c>
      <c r="W276">
        <v>0</v>
      </c>
      <c r="X276">
        <v>735429535</v>
      </c>
      <c r="Y276">
        <v>85.5</v>
      </c>
      <c r="AA276">
        <v>0</v>
      </c>
      <c r="AB276">
        <v>0</v>
      </c>
      <c r="AC276">
        <v>0</v>
      </c>
      <c r="AD276">
        <v>52.34</v>
      </c>
      <c r="AE276">
        <v>0</v>
      </c>
      <c r="AF276">
        <v>0</v>
      </c>
      <c r="AG276">
        <v>0</v>
      </c>
      <c r="AH276">
        <v>7.8</v>
      </c>
      <c r="AI276">
        <v>1</v>
      </c>
      <c r="AJ276">
        <v>1</v>
      </c>
      <c r="AK276">
        <v>1</v>
      </c>
      <c r="AL276">
        <v>6.71</v>
      </c>
      <c r="AN276">
        <v>0</v>
      </c>
      <c r="AO276">
        <v>1</v>
      </c>
      <c r="AP276">
        <v>0</v>
      </c>
      <c r="AQ276">
        <v>0</v>
      </c>
      <c r="AR276">
        <v>0</v>
      </c>
      <c r="AS276" t="s">
        <v>6</v>
      </c>
      <c r="AT276">
        <v>85.5</v>
      </c>
      <c r="AU276" t="s">
        <v>6</v>
      </c>
      <c r="AV276">
        <v>1</v>
      </c>
      <c r="AW276">
        <v>2</v>
      </c>
      <c r="AX276">
        <v>16813534</v>
      </c>
      <c r="AY276">
        <v>1</v>
      </c>
      <c r="AZ276">
        <v>0</v>
      </c>
      <c r="BA276">
        <v>271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Y276*Source!I191</f>
        <v>6.84</v>
      </c>
      <c r="CY276">
        <f>AD276</f>
        <v>52.34</v>
      </c>
      <c r="CZ276">
        <f>AH276</f>
        <v>7.8</v>
      </c>
      <c r="DA276">
        <f>AL276</f>
        <v>6.71</v>
      </c>
      <c r="DB276">
        <f t="shared" si="35"/>
        <v>666.9</v>
      </c>
      <c r="DC276">
        <f t="shared" si="36"/>
        <v>0</v>
      </c>
    </row>
    <row r="277" spans="1:107" x14ac:dyDescent="0.2">
      <c r="A277">
        <f>ROW(Source!A192)</f>
        <v>192</v>
      </c>
      <c r="B277">
        <v>16812721</v>
      </c>
      <c r="C277">
        <v>16813536</v>
      </c>
      <c r="D277">
        <v>15430397</v>
      </c>
      <c r="E277">
        <v>1</v>
      </c>
      <c r="F277">
        <v>1</v>
      </c>
      <c r="G277">
        <v>1</v>
      </c>
      <c r="H277">
        <v>1</v>
      </c>
      <c r="I277" t="s">
        <v>838</v>
      </c>
      <c r="J277" t="s">
        <v>6</v>
      </c>
      <c r="K277" t="s">
        <v>839</v>
      </c>
      <c r="L277">
        <v>1191</v>
      </c>
      <c r="N277">
        <v>1013</v>
      </c>
      <c r="O277" t="s">
        <v>773</v>
      </c>
      <c r="P277" t="s">
        <v>773</v>
      </c>
      <c r="Q277">
        <v>1</v>
      </c>
      <c r="W277">
        <v>0</v>
      </c>
      <c r="X277">
        <v>-1081351934</v>
      </c>
      <c r="Y277">
        <v>15.28</v>
      </c>
      <c r="AA277">
        <v>0</v>
      </c>
      <c r="AB277">
        <v>0</v>
      </c>
      <c r="AC277">
        <v>0</v>
      </c>
      <c r="AD277">
        <v>63.07</v>
      </c>
      <c r="AE277">
        <v>0</v>
      </c>
      <c r="AF277">
        <v>0</v>
      </c>
      <c r="AG277">
        <v>0</v>
      </c>
      <c r="AH277">
        <v>9.4</v>
      </c>
      <c r="AI277">
        <v>1</v>
      </c>
      <c r="AJ277">
        <v>1</v>
      </c>
      <c r="AK277">
        <v>1</v>
      </c>
      <c r="AL277">
        <v>6.71</v>
      </c>
      <c r="AN277">
        <v>0</v>
      </c>
      <c r="AO277">
        <v>1</v>
      </c>
      <c r="AP277">
        <v>0</v>
      </c>
      <c r="AQ277">
        <v>0</v>
      </c>
      <c r="AR277">
        <v>0</v>
      </c>
      <c r="AS277" t="s">
        <v>6</v>
      </c>
      <c r="AT277">
        <v>15.28</v>
      </c>
      <c r="AU277" t="s">
        <v>6</v>
      </c>
      <c r="AV277">
        <v>1</v>
      </c>
      <c r="AW277">
        <v>2</v>
      </c>
      <c r="AX277">
        <v>16813548</v>
      </c>
      <c r="AY277">
        <v>1</v>
      </c>
      <c r="AZ277">
        <v>0</v>
      </c>
      <c r="BA277">
        <v>273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Y277*Source!I192</f>
        <v>1.2223999999999999</v>
      </c>
      <c r="CY277">
        <f>AD277</f>
        <v>63.07</v>
      </c>
      <c r="CZ277">
        <f>AH277</f>
        <v>9.4</v>
      </c>
      <c r="DA277">
        <f>AL277</f>
        <v>6.71</v>
      </c>
      <c r="DB277">
        <f t="shared" si="35"/>
        <v>143.63</v>
      </c>
      <c r="DC277">
        <f t="shared" si="36"/>
        <v>0</v>
      </c>
    </row>
    <row r="278" spans="1:107" x14ac:dyDescent="0.2">
      <c r="A278">
        <f>ROW(Source!A192)</f>
        <v>192</v>
      </c>
      <c r="B278">
        <v>16812721</v>
      </c>
      <c r="C278">
        <v>16813536</v>
      </c>
      <c r="D278">
        <v>15430395</v>
      </c>
      <c r="E278">
        <v>1</v>
      </c>
      <c r="F278">
        <v>1</v>
      </c>
      <c r="G278">
        <v>1</v>
      </c>
      <c r="H278">
        <v>1</v>
      </c>
      <c r="I278" t="s">
        <v>774</v>
      </c>
      <c r="J278" t="s">
        <v>6</v>
      </c>
      <c r="K278" t="s">
        <v>775</v>
      </c>
      <c r="L278">
        <v>1191</v>
      </c>
      <c r="N278">
        <v>1013</v>
      </c>
      <c r="O278" t="s">
        <v>773</v>
      </c>
      <c r="P278" t="s">
        <v>773</v>
      </c>
      <c r="Q278">
        <v>1</v>
      </c>
      <c r="W278">
        <v>0</v>
      </c>
      <c r="X278">
        <v>-1417349443</v>
      </c>
      <c r="Y278">
        <v>0.22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6.71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0.22</v>
      </c>
      <c r="AU278" t="s">
        <v>6</v>
      </c>
      <c r="AV278">
        <v>2</v>
      </c>
      <c r="AW278">
        <v>2</v>
      </c>
      <c r="AX278">
        <v>16813549</v>
      </c>
      <c r="AY278">
        <v>1</v>
      </c>
      <c r="AZ278">
        <v>0</v>
      </c>
      <c r="BA278">
        <v>274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Y278*Source!I192</f>
        <v>1.7600000000000001E-2</v>
      </c>
      <c r="CY278">
        <f>AD278</f>
        <v>0</v>
      </c>
      <c r="CZ278">
        <f>AH278</f>
        <v>0</v>
      </c>
      <c r="DA278">
        <f>AL278</f>
        <v>1</v>
      </c>
      <c r="DB278">
        <f t="shared" si="35"/>
        <v>0</v>
      </c>
      <c r="DC278">
        <f t="shared" si="36"/>
        <v>0</v>
      </c>
    </row>
    <row r="279" spans="1:107" x14ac:dyDescent="0.2">
      <c r="A279">
        <f>ROW(Source!A192)</f>
        <v>192</v>
      </c>
      <c r="B279">
        <v>16812721</v>
      </c>
      <c r="C279">
        <v>16813536</v>
      </c>
      <c r="D279">
        <v>15247680</v>
      </c>
      <c r="E279">
        <v>1</v>
      </c>
      <c r="F279">
        <v>1</v>
      </c>
      <c r="G279">
        <v>1</v>
      </c>
      <c r="H279">
        <v>2</v>
      </c>
      <c r="I279" t="s">
        <v>959</v>
      </c>
      <c r="J279" t="s">
        <v>960</v>
      </c>
      <c r="K279" t="s">
        <v>961</v>
      </c>
      <c r="L279">
        <v>1368</v>
      </c>
      <c r="N279">
        <v>1011</v>
      </c>
      <c r="O279" t="s">
        <v>779</v>
      </c>
      <c r="P279" t="s">
        <v>779</v>
      </c>
      <c r="Q279">
        <v>1</v>
      </c>
      <c r="W279">
        <v>0</v>
      </c>
      <c r="X279">
        <v>-1718674368</v>
      </c>
      <c r="Y279">
        <v>0.11</v>
      </c>
      <c r="AA279">
        <v>0</v>
      </c>
      <c r="AB279">
        <v>751.45</v>
      </c>
      <c r="AC279">
        <v>13.5</v>
      </c>
      <c r="AD279">
        <v>0</v>
      </c>
      <c r="AE279">
        <v>0</v>
      </c>
      <c r="AF279">
        <v>111.99</v>
      </c>
      <c r="AG279">
        <v>13.5</v>
      </c>
      <c r="AH279">
        <v>0</v>
      </c>
      <c r="AI279">
        <v>1</v>
      </c>
      <c r="AJ279">
        <v>6.71</v>
      </c>
      <c r="AK279">
        <v>1</v>
      </c>
      <c r="AL279">
        <v>1</v>
      </c>
      <c r="AN279">
        <v>0</v>
      </c>
      <c r="AO279">
        <v>1</v>
      </c>
      <c r="AP279">
        <v>0</v>
      </c>
      <c r="AQ279">
        <v>0</v>
      </c>
      <c r="AR279">
        <v>0</v>
      </c>
      <c r="AS279" t="s">
        <v>6</v>
      </c>
      <c r="AT279">
        <v>0.11</v>
      </c>
      <c r="AU279" t="s">
        <v>6</v>
      </c>
      <c r="AV279">
        <v>0</v>
      </c>
      <c r="AW279">
        <v>2</v>
      </c>
      <c r="AX279">
        <v>16813550</v>
      </c>
      <c r="AY279">
        <v>1</v>
      </c>
      <c r="AZ279">
        <v>0</v>
      </c>
      <c r="BA279">
        <v>275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Y279*Source!I192</f>
        <v>8.8000000000000005E-3</v>
      </c>
      <c r="CY279">
        <f>AB279</f>
        <v>751.45</v>
      </c>
      <c r="CZ279">
        <f>AF279</f>
        <v>111.99</v>
      </c>
      <c r="DA279">
        <f>AJ279</f>
        <v>6.71</v>
      </c>
      <c r="DB279">
        <f t="shared" si="35"/>
        <v>12.32</v>
      </c>
      <c r="DC279">
        <f t="shared" si="36"/>
        <v>1.49</v>
      </c>
    </row>
    <row r="280" spans="1:107" x14ac:dyDescent="0.2">
      <c r="A280">
        <f>ROW(Source!A192)</f>
        <v>192</v>
      </c>
      <c r="B280">
        <v>16812721</v>
      </c>
      <c r="C280">
        <v>16813536</v>
      </c>
      <c r="D280">
        <v>15249073</v>
      </c>
      <c r="E280">
        <v>1</v>
      </c>
      <c r="F280">
        <v>1</v>
      </c>
      <c r="G280">
        <v>1</v>
      </c>
      <c r="H280">
        <v>2</v>
      </c>
      <c r="I280" t="s">
        <v>782</v>
      </c>
      <c r="J280" t="s">
        <v>783</v>
      </c>
      <c r="K280" t="s">
        <v>784</v>
      </c>
      <c r="L280">
        <v>1368</v>
      </c>
      <c r="N280">
        <v>1011</v>
      </c>
      <c r="O280" t="s">
        <v>779</v>
      </c>
      <c r="P280" t="s">
        <v>779</v>
      </c>
      <c r="Q280">
        <v>1</v>
      </c>
      <c r="W280">
        <v>0</v>
      </c>
      <c r="X280">
        <v>1372534845</v>
      </c>
      <c r="Y280">
        <v>0.11</v>
      </c>
      <c r="AA280">
        <v>0</v>
      </c>
      <c r="AB280">
        <v>440.91</v>
      </c>
      <c r="AC280">
        <v>11.6</v>
      </c>
      <c r="AD280">
        <v>0</v>
      </c>
      <c r="AE280">
        <v>0</v>
      </c>
      <c r="AF280">
        <v>65.709999999999994</v>
      </c>
      <c r="AG280">
        <v>11.6</v>
      </c>
      <c r="AH280">
        <v>0</v>
      </c>
      <c r="AI280">
        <v>1</v>
      </c>
      <c r="AJ280">
        <v>6.71</v>
      </c>
      <c r="AK280">
        <v>1</v>
      </c>
      <c r="AL280">
        <v>1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6</v>
      </c>
      <c r="AT280">
        <v>0.11</v>
      </c>
      <c r="AU280" t="s">
        <v>6</v>
      </c>
      <c r="AV280">
        <v>0</v>
      </c>
      <c r="AW280">
        <v>2</v>
      </c>
      <c r="AX280">
        <v>16813551</v>
      </c>
      <c r="AY280">
        <v>1</v>
      </c>
      <c r="AZ280">
        <v>0</v>
      </c>
      <c r="BA280">
        <v>276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Y280*Source!I192</f>
        <v>8.8000000000000005E-3</v>
      </c>
      <c r="CY280">
        <f>AB280</f>
        <v>440.91</v>
      </c>
      <c r="CZ280">
        <f>AF280</f>
        <v>65.709999999999994</v>
      </c>
      <c r="DA280">
        <f>AJ280</f>
        <v>6.71</v>
      </c>
      <c r="DB280">
        <f t="shared" si="35"/>
        <v>7.23</v>
      </c>
      <c r="DC280">
        <f t="shared" si="36"/>
        <v>1.28</v>
      </c>
    </row>
    <row r="281" spans="1:107" x14ac:dyDescent="0.2">
      <c r="A281">
        <f>ROW(Source!A192)</f>
        <v>192</v>
      </c>
      <c r="B281">
        <v>16812721</v>
      </c>
      <c r="C281">
        <v>16813536</v>
      </c>
      <c r="D281">
        <v>15172838</v>
      </c>
      <c r="E281">
        <v>1</v>
      </c>
      <c r="F281">
        <v>1</v>
      </c>
      <c r="G281">
        <v>1</v>
      </c>
      <c r="H281">
        <v>3</v>
      </c>
      <c r="I281" t="s">
        <v>1032</v>
      </c>
      <c r="J281" t="s">
        <v>1033</v>
      </c>
      <c r="K281" t="s">
        <v>1034</v>
      </c>
      <c r="L281">
        <v>1339</v>
      </c>
      <c r="N281">
        <v>1007</v>
      </c>
      <c r="O281" t="s">
        <v>141</v>
      </c>
      <c r="P281" t="s">
        <v>141</v>
      </c>
      <c r="Q281">
        <v>1</v>
      </c>
      <c r="W281">
        <v>0</v>
      </c>
      <c r="X281">
        <v>536744769</v>
      </c>
      <c r="Y281">
        <v>2.1000000000000001E-2</v>
      </c>
      <c r="AA281">
        <v>4026</v>
      </c>
      <c r="AB281">
        <v>0</v>
      </c>
      <c r="AC281">
        <v>0</v>
      </c>
      <c r="AD281">
        <v>0</v>
      </c>
      <c r="AE281">
        <v>600</v>
      </c>
      <c r="AF281">
        <v>0</v>
      </c>
      <c r="AG281">
        <v>0</v>
      </c>
      <c r="AH281">
        <v>0</v>
      </c>
      <c r="AI281">
        <v>6.71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6</v>
      </c>
      <c r="AT281">
        <v>2.1000000000000001E-2</v>
      </c>
      <c r="AU281" t="s">
        <v>6</v>
      </c>
      <c r="AV281">
        <v>0</v>
      </c>
      <c r="AW281">
        <v>2</v>
      </c>
      <c r="AX281">
        <v>16813552</v>
      </c>
      <c r="AY281">
        <v>1</v>
      </c>
      <c r="AZ281">
        <v>0</v>
      </c>
      <c r="BA281">
        <v>277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Y281*Source!I192</f>
        <v>1.6800000000000001E-3</v>
      </c>
      <c r="CY281">
        <f t="shared" ref="CY281:CY287" si="40">AA281</f>
        <v>4026</v>
      </c>
      <c r="CZ281">
        <f t="shared" ref="CZ281:CZ287" si="41">AE281</f>
        <v>600</v>
      </c>
      <c r="DA281">
        <f t="shared" ref="DA281:DA287" si="42">AI281</f>
        <v>6.71</v>
      </c>
      <c r="DB281">
        <f t="shared" si="35"/>
        <v>12.6</v>
      </c>
      <c r="DC281">
        <f t="shared" si="36"/>
        <v>0</v>
      </c>
    </row>
    <row r="282" spans="1:107" x14ac:dyDescent="0.2">
      <c r="A282">
        <f>ROW(Source!A192)</f>
        <v>192</v>
      </c>
      <c r="B282">
        <v>16812721</v>
      </c>
      <c r="C282">
        <v>16813536</v>
      </c>
      <c r="D282">
        <v>15202442</v>
      </c>
      <c r="E282">
        <v>1</v>
      </c>
      <c r="F282">
        <v>1</v>
      </c>
      <c r="G282">
        <v>1</v>
      </c>
      <c r="H282">
        <v>3</v>
      </c>
      <c r="I282" t="s">
        <v>1035</v>
      </c>
      <c r="J282" t="s">
        <v>1036</v>
      </c>
      <c r="K282" t="s">
        <v>1037</v>
      </c>
      <c r="L282">
        <v>1346</v>
      </c>
      <c r="N282">
        <v>1009</v>
      </c>
      <c r="O282" t="s">
        <v>277</v>
      </c>
      <c r="P282" t="s">
        <v>277</v>
      </c>
      <c r="Q282">
        <v>1</v>
      </c>
      <c r="W282">
        <v>0</v>
      </c>
      <c r="X282">
        <v>505519491</v>
      </c>
      <c r="Y282">
        <v>0.4</v>
      </c>
      <c r="AA282">
        <v>173.12</v>
      </c>
      <c r="AB282">
        <v>0</v>
      </c>
      <c r="AC282">
        <v>0</v>
      </c>
      <c r="AD282">
        <v>0</v>
      </c>
      <c r="AE282">
        <v>25.8</v>
      </c>
      <c r="AF282">
        <v>0</v>
      </c>
      <c r="AG282">
        <v>0</v>
      </c>
      <c r="AH282">
        <v>0</v>
      </c>
      <c r="AI282">
        <v>6.71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0.4</v>
      </c>
      <c r="AU282" t="s">
        <v>6</v>
      </c>
      <c r="AV282">
        <v>0</v>
      </c>
      <c r="AW282">
        <v>2</v>
      </c>
      <c r="AX282">
        <v>16813553</v>
      </c>
      <c r="AY282">
        <v>1</v>
      </c>
      <c r="AZ282">
        <v>0</v>
      </c>
      <c r="BA282">
        <v>278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Y282*Source!I192</f>
        <v>3.2000000000000001E-2</v>
      </c>
      <c r="CY282">
        <f t="shared" si="40"/>
        <v>173.12</v>
      </c>
      <c r="CZ282">
        <f t="shared" si="41"/>
        <v>25.8</v>
      </c>
      <c r="DA282">
        <f t="shared" si="42"/>
        <v>6.71</v>
      </c>
      <c r="DB282">
        <f t="shared" si="35"/>
        <v>10.32</v>
      </c>
      <c r="DC282">
        <f t="shared" si="36"/>
        <v>0</v>
      </c>
    </row>
    <row r="283" spans="1:107" x14ac:dyDescent="0.2">
      <c r="A283">
        <f>ROW(Source!A192)</f>
        <v>192</v>
      </c>
      <c r="B283">
        <v>16812721</v>
      </c>
      <c r="C283">
        <v>16813536</v>
      </c>
      <c r="D283">
        <v>15217585</v>
      </c>
      <c r="E283">
        <v>1</v>
      </c>
      <c r="F283">
        <v>1</v>
      </c>
      <c r="G283">
        <v>1</v>
      </c>
      <c r="H283">
        <v>3</v>
      </c>
      <c r="I283" t="s">
        <v>1038</v>
      </c>
      <c r="J283" t="s">
        <v>1039</v>
      </c>
      <c r="K283" t="s">
        <v>1040</v>
      </c>
      <c r="L283">
        <v>1356</v>
      </c>
      <c r="N283">
        <v>1010</v>
      </c>
      <c r="O283" t="s">
        <v>882</v>
      </c>
      <c r="P283" t="s">
        <v>882</v>
      </c>
      <c r="Q283">
        <v>1000</v>
      </c>
      <c r="W283">
        <v>0</v>
      </c>
      <c r="X283">
        <v>40709342</v>
      </c>
      <c r="Y283">
        <v>3.2000000000000001E-2</v>
      </c>
      <c r="AA283">
        <v>1811.7</v>
      </c>
      <c r="AB283">
        <v>0</v>
      </c>
      <c r="AC283">
        <v>0</v>
      </c>
      <c r="AD283">
        <v>0</v>
      </c>
      <c r="AE283">
        <v>270</v>
      </c>
      <c r="AF283">
        <v>0</v>
      </c>
      <c r="AG283">
        <v>0</v>
      </c>
      <c r="AH283">
        <v>0</v>
      </c>
      <c r="AI283">
        <v>6.71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6</v>
      </c>
      <c r="AT283">
        <v>3.2000000000000001E-2</v>
      </c>
      <c r="AU283" t="s">
        <v>6</v>
      </c>
      <c r="AV283">
        <v>0</v>
      </c>
      <c r="AW283">
        <v>2</v>
      </c>
      <c r="AX283">
        <v>16813554</v>
      </c>
      <c r="AY283">
        <v>1</v>
      </c>
      <c r="AZ283">
        <v>0</v>
      </c>
      <c r="BA283">
        <v>279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Y283*Source!I192</f>
        <v>2.5600000000000002E-3</v>
      </c>
      <c r="CY283">
        <f t="shared" si="40"/>
        <v>1811.7</v>
      </c>
      <c r="CZ283">
        <f t="shared" si="41"/>
        <v>270</v>
      </c>
      <c r="DA283">
        <f t="shared" si="42"/>
        <v>6.71</v>
      </c>
      <c r="DB283">
        <f t="shared" si="35"/>
        <v>8.64</v>
      </c>
      <c r="DC283">
        <f t="shared" si="36"/>
        <v>0</v>
      </c>
    </row>
    <row r="284" spans="1:107" x14ac:dyDescent="0.2">
      <c r="A284">
        <f>ROW(Source!A192)</f>
        <v>192</v>
      </c>
      <c r="B284">
        <v>16812721</v>
      </c>
      <c r="C284">
        <v>16813536</v>
      </c>
      <c r="D284">
        <v>15217593</v>
      </c>
      <c r="E284">
        <v>1</v>
      </c>
      <c r="F284">
        <v>1</v>
      </c>
      <c r="G284">
        <v>1</v>
      </c>
      <c r="H284">
        <v>3</v>
      </c>
      <c r="I284" t="s">
        <v>1041</v>
      </c>
      <c r="J284" t="s">
        <v>1042</v>
      </c>
      <c r="K284" t="s">
        <v>1043</v>
      </c>
      <c r="L284">
        <v>1358</v>
      </c>
      <c r="N284">
        <v>1010</v>
      </c>
      <c r="O284" t="s">
        <v>516</v>
      </c>
      <c r="P284" t="s">
        <v>516</v>
      </c>
      <c r="Q284">
        <v>10</v>
      </c>
      <c r="W284">
        <v>0</v>
      </c>
      <c r="X284">
        <v>-1110089157</v>
      </c>
      <c r="Y284">
        <v>1</v>
      </c>
      <c r="AA284">
        <v>133.53</v>
      </c>
      <c r="AB284">
        <v>0</v>
      </c>
      <c r="AC284">
        <v>0</v>
      </c>
      <c r="AD284">
        <v>0</v>
      </c>
      <c r="AE284">
        <v>19.899999999999999</v>
      </c>
      <c r="AF284">
        <v>0</v>
      </c>
      <c r="AG284">
        <v>0</v>
      </c>
      <c r="AH284">
        <v>0</v>
      </c>
      <c r="AI284">
        <v>6.71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6</v>
      </c>
      <c r="AT284">
        <v>1</v>
      </c>
      <c r="AU284" t="s">
        <v>6</v>
      </c>
      <c r="AV284">
        <v>0</v>
      </c>
      <c r="AW284">
        <v>2</v>
      </c>
      <c r="AX284">
        <v>16813555</v>
      </c>
      <c r="AY284">
        <v>1</v>
      </c>
      <c r="AZ284">
        <v>0</v>
      </c>
      <c r="BA284">
        <v>280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Y284*Source!I192</f>
        <v>0.08</v>
      </c>
      <c r="CY284">
        <f t="shared" si="40"/>
        <v>133.53</v>
      </c>
      <c r="CZ284">
        <f t="shared" si="41"/>
        <v>19.899999999999999</v>
      </c>
      <c r="DA284">
        <f t="shared" si="42"/>
        <v>6.71</v>
      </c>
      <c r="DB284">
        <f t="shared" si="35"/>
        <v>19.899999999999999</v>
      </c>
      <c r="DC284">
        <f t="shared" si="36"/>
        <v>0</v>
      </c>
    </row>
    <row r="285" spans="1:107" x14ac:dyDescent="0.2">
      <c r="A285">
        <f>ROW(Source!A192)</f>
        <v>192</v>
      </c>
      <c r="B285">
        <v>16812721</v>
      </c>
      <c r="C285">
        <v>16813536</v>
      </c>
      <c r="D285">
        <v>15218939</v>
      </c>
      <c r="E285">
        <v>1</v>
      </c>
      <c r="F285">
        <v>1</v>
      </c>
      <c r="G285">
        <v>1</v>
      </c>
      <c r="H285">
        <v>3</v>
      </c>
      <c r="I285" t="s">
        <v>1044</v>
      </c>
      <c r="J285" t="s">
        <v>1045</v>
      </c>
      <c r="K285" t="s">
        <v>1046</v>
      </c>
      <c r="L285">
        <v>1354</v>
      </c>
      <c r="N285">
        <v>1010</v>
      </c>
      <c r="O285" t="s">
        <v>62</v>
      </c>
      <c r="P285" t="s">
        <v>62</v>
      </c>
      <c r="Q285">
        <v>1</v>
      </c>
      <c r="W285">
        <v>0</v>
      </c>
      <c r="X285">
        <v>-1308137011</v>
      </c>
      <c r="Y285">
        <v>0.5</v>
      </c>
      <c r="AA285">
        <v>448.36</v>
      </c>
      <c r="AB285">
        <v>0</v>
      </c>
      <c r="AC285">
        <v>0</v>
      </c>
      <c r="AD285">
        <v>0</v>
      </c>
      <c r="AE285">
        <v>66.819999999999993</v>
      </c>
      <c r="AF285">
        <v>0</v>
      </c>
      <c r="AG285">
        <v>0</v>
      </c>
      <c r="AH285">
        <v>0</v>
      </c>
      <c r="AI285">
        <v>6.71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0.5</v>
      </c>
      <c r="AU285" t="s">
        <v>6</v>
      </c>
      <c r="AV285">
        <v>0</v>
      </c>
      <c r="AW285">
        <v>2</v>
      </c>
      <c r="AX285">
        <v>16813556</v>
      </c>
      <c r="AY285">
        <v>1</v>
      </c>
      <c r="AZ285">
        <v>0</v>
      </c>
      <c r="BA285">
        <v>281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Y285*Source!I192</f>
        <v>0.04</v>
      </c>
      <c r="CY285">
        <f t="shared" si="40"/>
        <v>448.36</v>
      </c>
      <c r="CZ285">
        <f t="shared" si="41"/>
        <v>66.819999999999993</v>
      </c>
      <c r="DA285">
        <f t="shared" si="42"/>
        <v>6.71</v>
      </c>
      <c r="DB285">
        <f t="shared" si="35"/>
        <v>33.409999999999997</v>
      </c>
      <c r="DC285">
        <f t="shared" si="36"/>
        <v>0</v>
      </c>
    </row>
    <row r="286" spans="1:107" x14ac:dyDescent="0.2">
      <c r="A286">
        <f>ROW(Source!A192)</f>
        <v>192</v>
      </c>
      <c r="B286">
        <v>16812721</v>
      </c>
      <c r="C286">
        <v>16813536</v>
      </c>
      <c r="D286">
        <v>15234267</v>
      </c>
      <c r="E286">
        <v>1</v>
      </c>
      <c r="F286">
        <v>1</v>
      </c>
      <c r="G286">
        <v>1</v>
      </c>
      <c r="H286">
        <v>3</v>
      </c>
      <c r="I286" t="s">
        <v>503</v>
      </c>
      <c r="J286" t="s">
        <v>506</v>
      </c>
      <c r="K286" t="s">
        <v>504</v>
      </c>
      <c r="L286">
        <v>1302</v>
      </c>
      <c r="N286">
        <v>1003</v>
      </c>
      <c r="O286" t="s">
        <v>505</v>
      </c>
      <c r="P286" t="s">
        <v>505</v>
      </c>
      <c r="Q286">
        <v>10</v>
      </c>
      <c r="W286">
        <v>0</v>
      </c>
      <c r="X286">
        <v>-835976676</v>
      </c>
      <c r="Y286">
        <v>10</v>
      </c>
      <c r="AA286">
        <v>667.11</v>
      </c>
      <c r="AB286">
        <v>0</v>
      </c>
      <c r="AC286">
        <v>0</v>
      </c>
      <c r="AD286">
        <v>0</v>
      </c>
      <c r="AE286">
        <v>99.42</v>
      </c>
      <c r="AF286">
        <v>0</v>
      </c>
      <c r="AG286">
        <v>0</v>
      </c>
      <c r="AH286">
        <v>0</v>
      </c>
      <c r="AI286">
        <v>6.71</v>
      </c>
      <c r="AJ286">
        <v>1</v>
      </c>
      <c r="AK286">
        <v>1</v>
      </c>
      <c r="AL286">
        <v>1</v>
      </c>
      <c r="AN286">
        <v>0</v>
      </c>
      <c r="AO286">
        <v>0</v>
      </c>
      <c r="AP286">
        <v>0</v>
      </c>
      <c r="AQ286">
        <v>0</v>
      </c>
      <c r="AR286">
        <v>0</v>
      </c>
      <c r="AS286" t="s">
        <v>6</v>
      </c>
      <c r="AT286">
        <v>10</v>
      </c>
      <c r="AU286" t="s">
        <v>6</v>
      </c>
      <c r="AV286">
        <v>0</v>
      </c>
      <c r="AW286">
        <v>1</v>
      </c>
      <c r="AX286">
        <v>-1</v>
      </c>
      <c r="AY286">
        <v>0</v>
      </c>
      <c r="AZ286">
        <v>0</v>
      </c>
      <c r="BA286" t="s">
        <v>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Y286*Source!I192</f>
        <v>0.8</v>
      </c>
      <c r="CY286">
        <f t="shared" si="40"/>
        <v>667.11</v>
      </c>
      <c r="CZ286">
        <f t="shared" si="41"/>
        <v>99.42</v>
      </c>
      <c r="DA286">
        <f t="shared" si="42"/>
        <v>6.71</v>
      </c>
      <c r="DB286">
        <f t="shared" si="35"/>
        <v>994.2</v>
      </c>
      <c r="DC286">
        <f t="shared" si="36"/>
        <v>0</v>
      </c>
    </row>
    <row r="287" spans="1:107" x14ac:dyDescent="0.2">
      <c r="A287">
        <f>ROW(Source!A192)</f>
        <v>192</v>
      </c>
      <c r="B287">
        <v>16812721</v>
      </c>
      <c r="C287">
        <v>16813536</v>
      </c>
      <c r="D287">
        <v>15164559</v>
      </c>
      <c r="E287">
        <v>17</v>
      </c>
      <c r="F287">
        <v>1</v>
      </c>
      <c r="G287">
        <v>1</v>
      </c>
      <c r="H287">
        <v>3</v>
      </c>
      <c r="I287" t="s">
        <v>989</v>
      </c>
      <c r="J287" t="s">
        <v>6</v>
      </c>
      <c r="K287" t="s">
        <v>990</v>
      </c>
      <c r="L287">
        <v>1374</v>
      </c>
      <c r="N287">
        <v>1013</v>
      </c>
      <c r="O287" t="s">
        <v>991</v>
      </c>
      <c r="P287" t="s">
        <v>991</v>
      </c>
      <c r="Q287">
        <v>1</v>
      </c>
      <c r="W287">
        <v>0</v>
      </c>
      <c r="X287">
        <v>-1731369543</v>
      </c>
      <c r="Y287">
        <v>2.87</v>
      </c>
      <c r="AA287">
        <v>1</v>
      </c>
      <c r="AB287">
        <v>0</v>
      </c>
      <c r="AC287">
        <v>0</v>
      </c>
      <c r="AD287">
        <v>0</v>
      </c>
      <c r="AE287">
        <v>1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6</v>
      </c>
      <c r="AT287">
        <v>2.87</v>
      </c>
      <c r="AU287" t="s">
        <v>6</v>
      </c>
      <c r="AV287">
        <v>0</v>
      </c>
      <c r="AW287">
        <v>2</v>
      </c>
      <c r="AX287">
        <v>16813557</v>
      </c>
      <c r="AY287">
        <v>1</v>
      </c>
      <c r="AZ287">
        <v>0</v>
      </c>
      <c r="BA287">
        <v>282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Y287*Source!I192</f>
        <v>0.22960000000000003</v>
      </c>
      <c r="CY287">
        <f t="shared" si="40"/>
        <v>1</v>
      </c>
      <c r="CZ287">
        <f t="shared" si="41"/>
        <v>1</v>
      </c>
      <c r="DA287">
        <f t="shared" si="42"/>
        <v>1</v>
      </c>
      <c r="DB287">
        <f t="shared" si="35"/>
        <v>2.87</v>
      </c>
      <c r="DC287">
        <f t="shared" si="36"/>
        <v>0</v>
      </c>
    </row>
    <row r="288" spans="1:107" x14ac:dyDescent="0.2">
      <c r="A288">
        <f>ROW(Source!A194)</f>
        <v>194</v>
      </c>
      <c r="B288">
        <v>16812721</v>
      </c>
      <c r="C288">
        <v>16813559</v>
      </c>
      <c r="D288">
        <v>15447742</v>
      </c>
      <c r="E288">
        <v>1</v>
      </c>
      <c r="F288">
        <v>1</v>
      </c>
      <c r="G288">
        <v>1</v>
      </c>
      <c r="H288">
        <v>1</v>
      </c>
      <c r="I288" t="s">
        <v>1047</v>
      </c>
      <c r="J288" t="s">
        <v>6</v>
      </c>
      <c r="K288" t="s">
        <v>1048</v>
      </c>
      <c r="L288">
        <v>1191</v>
      </c>
      <c r="N288">
        <v>1013</v>
      </c>
      <c r="O288" t="s">
        <v>773</v>
      </c>
      <c r="P288" t="s">
        <v>773</v>
      </c>
      <c r="Q288">
        <v>1</v>
      </c>
      <c r="W288">
        <v>0</v>
      </c>
      <c r="X288">
        <v>-2143564933</v>
      </c>
      <c r="Y288">
        <v>0.5</v>
      </c>
      <c r="AA288">
        <v>0</v>
      </c>
      <c r="AB288">
        <v>0</v>
      </c>
      <c r="AC288">
        <v>0</v>
      </c>
      <c r="AD288">
        <v>65.489999999999995</v>
      </c>
      <c r="AE288">
        <v>0</v>
      </c>
      <c r="AF288">
        <v>0</v>
      </c>
      <c r="AG288">
        <v>0</v>
      </c>
      <c r="AH288">
        <v>9.76</v>
      </c>
      <c r="AI288">
        <v>1</v>
      </c>
      <c r="AJ288">
        <v>1</v>
      </c>
      <c r="AK288">
        <v>1</v>
      </c>
      <c r="AL288">
        <v>6.71</v>
      </c>
      <c r="AN288">
        <v>0</v>
      </c>
      <c r="AO288">
        <v>1</v>
      </c>
      <c r="AP288">
        <v>0</v>
      </c>
      <c r="AQ288">
        <v>0</v>
      </c>
      <c r="AR288">
        <v>0</v>
      </c>
      <c r="AS288" t="s">
        <v>6</v>
      </c>
      <c r="AT288">
        <v>0.5</v>
      </c>
      <c r="AU288" t="s">
        <v>6</v>
      </c>
      <c r="AV288">
        <v>1</v>
      </c>
      <c r="AW288">
        <v>2</v>
      </c>
      <c r="AX288">
        <v>16813566</v>
      </c>
      <c r="AY288">
        <v>1</v>
      </c>
      <c r="AZ288">
        <v>0</v>
      </c>
      <c r="BA288">
        <v>283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Y288*Source!I194</f>
        <v>31</v>
      </c>
      <c r="CY288">
        <f>AD288</f>
        <v>65.489999999999995</v>
      </c>
      <c r="CZ288">
        <f>AH288</f>
        <v>9.76</v>
      </c>
      <c r="DA288">
        <f>AL288</f>
        <v>6.71</v>
      </c>
      <c r="DB288">
        <f t="shared" si="35"/>
        <v>4.88</v>
      </c>
      <c r="DC288">
        <f t="shared" si="36"/>
        <v>0</v>
      </c>
    </row>
    <row r="289" spans="1:107" x14ac:dyDescent="0.2">
      <c r="A289">
        <f>ROW(Source!A194)</f>
        <v>194</v>
      </c>
      <c r="B289">
        <v>16812721</v>
      </c>
      <c r="C289">
        <v>16813559</v>
      </c>
      <c r="D289">
        <v>15170438</v>
      </c>
      <c r="E289">
        <v>1</v>
      </c>
      <c r="F289">
        <v>1</v>
      </c>
      <c r="G289">
        <v>1</v>
      </c>
      <c r="H289">
        <v>3</v>
      </c>
      <c r="I289" t="s">
        <v>986</v>
      </c>
      <c r="J289" t="s">
        <v>987</v>
      </c>
      <c r="K289" t="s">
        <v>988</v>
      </c>
      <c r="L289">
        <v>1348</v>
      </c>
      <c r="N289">
        <v>1009</v>
      </c>
      <c r="O289" t="s">
        <v>145</v>
      </c>
      <c r="P289" t="s">
        <v>145</v>
      </c>
      <c r="Q289">
        <v>1000</v>
      </c>
      <c r="W289">
        <v>0</v>
      </c>
      <c r="X289">
        <v>-1755229539</v>
      </c>
      <c r="Y289">
        <v>1.0000000000000001E-5</v>
      </c>
      <c r="AA289">
        <v>83405.3</v>
      </c>
      <c r="AB289">
        <v>0</v>
      </c>
      <c r="AC289">
        <v>0</v>
      </c>
      <c r="AD289">
        <v>0</v>
      </c>
      <c r="AE289">
        <v>12430</v>
      </c>
      <c r="AF289">
        <v>0</v>
      </c>
      <c r="AG289">
        <v>0</v>
      </c>
      <c r="AH289">
        <v>0</v>
      </c>
      <c r="AI289">
        <v>6.71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1.0000000000000001E-5</v>
      </c>
      <c r="AU289" t="s">
        <v>6</v>
      </c>
      <c r="AV289">
        <v>0</v>
      </c>
      <c r="AW289">
        <v>2</v>
      </c>
      <c r="AX289">
        <v>16813567</v>
      </c>
      <c r="AY289">
        <v>1</v>
      </c>
      <c r="AZ289">
        <v>0</v>
      </c>
      <c r="BA289">
        <v>284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Y289*Source!I194</f>
        <v>6.2E-4</v>
      </c>
      <c r="CY289">
        <f>AA289</f>
        <v>83405.3</v>
      </c>
      <c r="CZ289">
        <f>AE289</f>
        <v>12430</v>
      </c>
      <c r="DA289">
        <f>AI289</f>
        <v>6.71</v>
      </c>
      <c r="DB289">
        <f t="shared" si="35"/>
        <v>0.12</v>
      </c>
      <c r="DC289">
        <f t="shared" si="36"/>
        <v>0</v>
      </c>
    </row>
    <row r="290" spans="1:107" x14ac:dyDescent="0.2">
      <c r="A290">
        <f>ROW(Source!A194)</f>
        <v>194</v>
      </c>
      <c r="B290">
        <v>16812721</v>
      </c>
      <c r="C290">
        <v>16813559</v>
      </c>
      <c r="D290">
        <v>15171982</v>
      </c>
      <c r="E290">
        <v>1</v>
      </c>
      <c r="F290">
        <v>1</v>
      </c>
      <c r="G290">
        <v>1</v>
      </c>
      <c r="H290">
        <v>3</v>
      </c>
      <c r="I290" t="s">
        <v>804</v>
      </c>
      <c r="J290" t="s">
        <v>805</v>
      </c>
      <c r="K290" t="s">
        <v>806</v>
      </c>
      <c r="L290">
        <v>1348</v>
      </c>
      <c r="N290">
        <v>1009</v>
      </c>
      <c r="O290" t="s">
        <v>145</v>
      </c>
      <c r="P290" t="s">
        <v>145</v>
      </c>
      <c r="Q290">
        <v>1000</v>
      </c>
      <c r="W290">
        <v>0</v>
      </c>
      <c r="X290">
        <v>-1421715385</v>
      </c>
      <c r="Y290">
        <v>5.0000000000000002E-5</v>
      </c>
      <c r="AA290">
        <v>4898.17</v>
      </c>
      <c r="AB290">
        <v>0</v>
      </c>
      <c r="AC290">
        <v>0</v>
      </c>
      <c r="AD290">
        <v>0</v>
      </c>
      <c r="AE290">
        <v>729.98</v>
      </c>
      <c r="AF290">
        <v>0</v>
      </c>
      <c r="AG290">
        <v>0</v>
      </c>
      <c r="AH290">
        <v>0</v>
      </c>
      <c r="AI290">
        <v>6.71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0</v>
      </c>
      <c r="AQ290">
        <v>0</v>
      </c>
      <c r="AR290">
        <v>0</v>
      </c>
      <c r="AS290" t="s">
        <v>6</v>
      </c>
      <c r="AT290">
        <v>5.0000000000000002E-5</v>
      </c>
      <c r="AU290" t="s">
        <v>6</v>
      </c>
      <c r="AV290">
        <v>0</v>
      </c>
      <c r="AW290">
        <v>2</v>
      </c>
      <c r="AX290">
        <v>16813568</v>
      </c>
      <c r="AY290">
        <v>1</v>
      </c>
      <c r="AZ290">
        <v>0</v>
      </c>
      <c r="BA290">
        <v>285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Y290*Source!I194</f>
        <v>3.1000000000000003E-3</v>
      </c>
      <c r="CY290">
        <f>AA290</f>
        <v>4898.17</v>
      </c>
      <c r="CZ290">
        <f>AE290</f>
        <v>729.98</v>
      </c>
      <c r="DA290">
        <f>AI290</f>
        <v>6.71</v>
      </c>
      <c r="DB290">
        <f t="shared" si="35"/>
        <v>0.04</v>
      </c>
      <c r="DC290">
        <f t="shared" si="36"/>
        <v>0</v>
      </c>
    </row>
    <row r="291" spans="1:107" x14ac:dyDescent="0.2">
      <c r="A291">
        <f>ROW(Source!A194)</f>
        <v>194</v>
      </c>
      <c r="B291">
        <v>16812721</v>
      </c>
      <c r="C291">
        <v>16813559</v>
      </c>
      <c r="D291">
        <v>15191144</v>
      </c>
      <c r="E291">
        <v>1</v>
      </c>
      <c r="F291">
        <v>1</v>
      </c>
      <c r="G291">
        <v>1</v>
      </c>
      <c r="H291">
        <v>3</v>
      </c>
      <c r="I291" t="s">
        <v>1049</v>
      </c>
      <c r="J291" t="s">
        <v>1050</v>
      </c>
      <c r="K291" t="s">
        <v>1051</v>
      </c>
      <c r="L291">
        <v>1348</v>
      </c>
      <c r="N291">
        <v>1009</v>
      </c>
      <c r="O291" t="s">
        <v>145</v>
      </c>
      <c r="P291" t="s">
        <v>145</v>
      </c>
      <c r="Q291">
        <v>1000</v>
      </c>
      <c r="W291">
        <v>0</v>
      </c>
      <c r="X291">
        <v>-1328921133</v>
      </c>
      <c r="Y291">
        <v>1.0000000000000001E-5</v>
      </c>
      <c r="AA291">
        <v>98569.9</v>
      </c>
      <c r="AB291">
        <v>0</v>
      </c>
      <c r="AC291">
        <v>0</v>
      </c>
      <c r="AD291">
        <v>0</v>
      </c>
      <c r="AE291">
        <v>14690</v>
      </c>
      <c r="AF291">
        <v>0</v>
      </c>
      <c r="AG291">
        <v>0</v>
      </c>
      <c r="AH291">
        <v>0</v>
      </c>
      <c r="AI291">
        <v>6.71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1.0000000000000001E-5</v>
      </c>
      <c r="AU291" t="s">
        <v>6</v>
      </c>
      <c r="AV291">
        <v>0</v>
      </c>
      <c r="AW291">
        <v>2</v>
      </c>
      <c r="AX291">
        <v>16813569</v>
      </c>
      <c r="AY291">
        <v>1</v>
      </c>
      <c r="AZ291">
        <v>0</v>
      </c>
      <c r="BA291">
        <v>286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Y291*Source!I194</f>
        <v>6.2E-4</v>
      </c>
      <c r="CY291">
        <f>AA291</f>
        <v>98569.9</v>
      </c>
      <c r="CZ291">
        <f>AE291</f>
        <v>14690</v>
      </c>
      <c r="DA291">
        <f>AI291</f>
        <v>6.71</v>
      </c>
      <c r="DB291">
        <f t="shared" si="35"/>
        <v>0.15</v>
      </c>
      <c r="DC291">
        <f t="shared" si="36"/>
        <v>0</v>
      </c>
    </row>
    <row r="292" spans="1:107" x14ac:dyDescent="0.2">
      <c r="A292">
        <f>ROW(Source!A194)</f>
        <v>194</v>
      </c>
      <c r="B292">
        <v>16812721</v>
      </c>
      <c r="C292">
        <v>16813559</v>
      </c>
      <c r="D292">
        <v>15220965</v>
      </c>
      <c r="E292">
        <v>1</v>
      </c>
      <c r="F292">
        <v>1</v>
      </c>
      <c r="G292">
        <v>1</v>
      </c>
      <c r="H292">
        <v>3</v>
      </c>
      <c r="I292" t="s">
        <v>514</v>
      </c>
      <c r="J292" t="s">
        <v>517</v>
      </c>
      <c r="K292" t="s">
        <v>515</v>
      </c>
      <c r="L292">
        <v>1358</v>
      </c>
      <c r="N292">
        <v>1010</v>
      </c>
      <c r="O292" t="s">
        <v>516</v>
      </c>
      <c r="P292" t="s">
        <v>516</v>
      </c>
      <c r="Q292">
        <v>10</v>
      </c>
      <c r="W292">
        <v>0</v>
      </c>
      <c r="X292">
        <v>1303598448</v>
      </c>
      <c r="Y292">
        <v>0.1</v>
      </c>
      <c r="AA292">
        <v>418.7</v>
      </c>
      <c r="AB292">
        <v>0</v>
      </c>
      <c r="AC292">
        <v>0</v>
      </c>
      <c r="AD292">
        <v>0</v>
      </c>
      <c r="AE292">
        <v>62.4</v>
      </c>
      <c r="AF292">
        <v>0</v>
      </c>
      <c r="AG292">
        <v>0</v>
      </c>
      <c r="AH292">
        <v>0</v>
      </c>
      <c r="AI292">
        <v>6.71</v>
      </c>
      <c r="AJ292">
        <v>1</v>
      </c>
      <c r="AK292">
        <v>1</v>
      </c>
      <c r="AL292">
        <v>1</v>
      </c>
      <c r="AN292">
        <v>0</v>
      </c>
      <c r="AO292">
        <v>0</v>
      </c>
      <c r="AP292">
        <v>0</v>
      </c>
      <c r="AQ292">
        <v>0</v>
      </c>
      <c r="AR292">
        <v>0</v>
      </c>
      <c r="AS292" t="s">
        <v>6</v>
      </c>
      <c r="AT292">
        <v>0.1</v>
      </c>
      <c r="AU292" t="s">
        <v>6</v>
      </c>
      <c r="AV292">
        <v>0</v>
      </c>
      <c r="AW292">
        <v>1</v>
      </c>
      <c r="AX292">
        <v>-1</v>
      </c>
      <c r="AY292">
        <v>0</v>
      </c>
      <c r="AZ292">
        <v>0</v>
      </c>
      <c r="BA292" t="s">
        <v>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Y292*Source!I194</f>
        <v>6.2</v>
      </c>
      <c r="CY292">
        <f>AA292</f>
        <v>418.7</v>
      </c>
      <c r="CZ292">
        <f>AE292</f>
        <v>62.4</v>
      </c>
      <c r="DA292">
        <f>AI292</f>
        <v>6.71</v>
      </c>
      <c r="DB292">
        <f t="shared" si="35"/>
        <v>6.24</v>
      </c>
      <c r="DC292">
        <f t="shared" si="36"/>
        <v>0</v>
      </c>
    </row>
    <row r="293" spans="1:107" x14ac:dyDescent="0.2">
      <c r="A293">
        <f>ROW(Source!A194)</f>
        <v>194</v>
      </c>
      <c r="B293">
        <v>16812721</v>
      </c>
      <c r="C293">
        <v>16813559</v>
      </c>
      <c r="D293">
        <v>15164559</v>
      </c>
      <c r="E293">
        <v>17</v>
      </c>
      <c r="F293">
        <v>1</v>
      </c>
      <c r="G293">
        <v>1</v>
      </c>
      <c r="H293">
        <v>3</v>
      </c>
      <c r="I293" t="s">
        <v>989</v>
      </c>
      <c r="J293" t="s">
        <v>6</v>
      </c>
      <c r="K293" t="s">
        <v>990</v>
      </c>
      <c r="L293">
        <v>1374</v>
      </c>
      <c r="N293">
        <v>1013</v>
      </c>
      <c r="O293" t="s">
        <v>991</v>
      </c>
      <c r="P293" t="s">
        <v>991</v>
      </c>
      <c r="Q293">
        <v>1</v>
      </c>
      <c r="W293">
        <v>0</v>
      </c>
      <c r="X293">
        <v>-1731369543</v>
      </c>
      <c r="Y293">
        <v>0.1</v>
      </c>
      <c r="AA293">
        <v>1</v>
      </c>
      <c r="AB293">
        <v>0</v>
      </c>
      <c r="AC293">
        <v>0</v>
      </c>
      <c r="AD293">
        <v>0</v>
      </c>
      <c r="AE293">
        <v>1</v>
      </c>
      <c r="AF293">
        <v>0</v>
      </c>
      <c r="AG293">
        <v>0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0</v>
      </c>
      <c r="AQ293">
        <v>0</v>
      </c>
      <c r="AR293">
        <v>0</v>
      </c>
      <c r="AS293" t="s">
        <v>6</v>
      </c>
      <c r="AT293">
        <v>0.1</v>
      </c>
      <c r="AU293" t="s">
        <v>6</v>
      </c>
      <c r="AV293">
        <v>0</v>
      </c>
      <c r="AW293">
        <v>2</v>
      </c>
      <c r="AX293">
        <v>16813570</v>
      </c>
      <c r="AY293">
        <v>1</v>
      </c>
      <c r="AZ293">
        <v>0</v>
      </c>
      <c r="BA293">
        <v>287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Y293*Source!I194</f>
        <v>6.2</v>
      </c>
      <c r="CY293">
        <f>AA293</f>
        <v>1</v>
      </c>
      <c r="CZ293">
        <f>AE293</f>
        <v>1</v>
      </c>
      <c r="DA293">
        <f>AI293</f>
        <v>1</v>
      </c>
      <c r="DB293">
        <f t="shared" ref="DB293:DB324" si="43">ROUND(ROUND(AT293*CZ293,2),2)</f>
        <v>0.1</v>
      </c>
      <c r="DC293">
        <f t="shared" ref="DC293:DC324" si="44">ROUND(ROUND(AT293*AG293,2),2)</f>
        <v>0</v>
      </c>
    </row>
    <row r="294" spans="1:107" x14ac:dyDescent="0.2">
      <c r="A294">
        <f>ROW(Source!A196)</f>
        <v>196</v>
      </c>
      <c r="B294">
        <v>16812721</v>
      </c>
      <c r="C294">
        <v>16813572</v>
      </c>
      <c r="D294">
        <v>15435721</v>
      </c>
      <c r="E294">
        <v>1</v>
      </c>
      <c r="F294">
        <v>1</v>
      </c>
      <c r="G294">
        <v>1</v>
      </c>
      <c r="H294">
        <v>1</v>
      </c>
      <c r="I294" t="s">
        <v>816</v>
      </c>
      <c r="J294" t="s">
        <v>6</v>
      </c>
      <c r="K294" t="s">
        <v>817</v>
      </c>
      <c r="L294">
        <v>1191</v>
      </c>
      <c r="N294">
        <v>1013</v>
      </c>
      <c r="O294" t="s">
        <v>773</v>
      </c>
      <c r="P294" t="s">
        <v>773</v>
      </c>
      <c r="Q294">
        <v>1</v>
      </c>
      <c r="W294">
        <v>0</v>
      </c>
      <c r="X294">
        <v>1983201532</v>
      </c>
      <c r="Y294">
        <v>20.329999999999998</v>
      </c>
      <c r="AA294">
        <v>0</v>
      </c>
      <c r="AB294">
        <v>0</v>
      </c>
      <c r="AC294">
        <v>0</v>
      </c>
      <c r="AD294">
        <v>63.81</v>
      </c>
      <c r="AE294">
        <v>0</v>
      </c>
      <c r="AF294">
        <v>0</v>
      </c>
      <c r="AG294">
        <v>0</v>
      </c>
      <c r="AH294">
        <v>9.51</v>
      </c>
      <c r="AI294">
        <v>1</v>
      </c>
      <c r="AJ294">
        <v>1</v>
      </c>
      <c r="AK294">
        <v>1</v>
      </c>
      <c r="AL294">
        <v>6.71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20.329999999999998</v>
      </c>
      <c r="AU294" t="s">
        <v>6</v>
      </c>
      <c r="AV294">
        <v>1</v>
      </c>
      <c r="AW294">
        <v>2</v>
      </c>
      <c r="AX294">
        <v>16813580</v>
      </c>
      <c r="AY294">
        <v>1</v>
      </c>
      <c r="AZ294">
        <v>0</v>
      </c>
      <c r="BA294">
        <v>288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Y294*Source!I196</f>
        <v>16.060700000000001</v>
      </c>
      <c r="CY294">
        <f>AD294</f>
        <v>63.81</v>
      </c>
      <c r="CZ294">
        <f>AH294</f>
        <v>9.51</v>
      </c>
      <c r="DA294">
        <f>AL294</f>
        <v>6.71</v>
      </c>
      <c r="DB294">
        <f t="shared" si="43"/>
        <v>193.34</v>
      </c>
      <c r="DC294">
        <f t="shared" si="44"/>
        <v>0</v>
      </c>
    </row>
    <row r="295" spans="1:107" x14ac:dyDescent="0.2">
      <c r="A295">
        <f>ROW(Source!A196)</f>
        <v>196</v>
      </c>
      <c r="B295">
        <v>16812721</v>
      </c>
      <c r="C295">
        <v>16813572</v>
      </c>
      <c r="D295">
        <v>15430395</v>
      </c>
      <c r="E295">
        <v>1</v>
      </c>
      <c r="F295">
        <v>1</v>
      </c>
      <c r="G295">
        <v>1</v>
      </c>
      <c r="H295">
        <v>1</v>
      </c>
      <c r="I295" t="s">
        <v>774</v>
      </c>
      <c r="J295" t="s">
        <v>6</v>
      </c>
      <c r="K295" t="s">
        <v>775</v>
      </c>
      <c r="L295">
        <v>1191</v>
      </c>
      <c r="N295">
        <v>1013</v>
      </c>
      <c r="O295" t="s">
        <v>773</v>
      </c>
      <c r="P295" t="s">
        <v>773</v>
      </c>
      <c r="Q295">
        <v>1</v>
      </c>
      <c r="W295">
        <v>0</v>
      </c>
      <c r="X295">
        <v>-1417349443</v>
      </c>
      <c r="Y295">
        <v>0.01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6.71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0.01</v>
      </c>
      <c r="AU295" t="s">
        <v>6</v>
      </c>
      <c r="AV295">
        <v>2</v>
      </c>
      <c r="AW295">
        <v>2</v>
      </c>
      <c r="AX295">
        <v>16813581</v>
      </c>
      <c r="AY295">
        <v>1</v>
      </c>
      <c r="AZ295">
        <v>0</v>
      </c>
      <c r="BA295">
        <v>289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Y295*Source!I196</f>
        <v>7.9000000000000008E-3</v>
      </c>
      <c r="CY295">
        <f>AD295</f>
        <v>0</v>
      </c>
      <c r="CZ295">
        <f>AH295</f>
        <v>0</v>
      </c>
      <c r="DA295">
        <f>AL295</f>
        <v>1</v>
      </c>
      <c r="DB295">
        <f t="shared" si="43"/>
        <v>0</v>
      </c>
      <c r="DC295">
        <f t="shared" si="44"/>
        <v>0</v>
      </c>
    </row>
    <row r="296" spans="1:107" x14ac:dyDescent="0.2">
      <c r="A296">
        <f>ROW(Source!A196)</f>
        <v>196</v>
      </c>
      <c r="B296">
        <v>16812721</v>
      </c>
      <c r="C296">
        <v>16813572</v>
      </c>
      <c r="D296">
        <v>15247974</v>
      </c>
      <c r="E296">
        <v>1</v>
      </c>
      <c r="F296">
        <v>1</v>
      </c>
      <c r="G296">
        <v>1</v>
      </c>
      <c r="H296">
        <v>2</v>
      </c>
      <c r="I296" t="s">
        <v>776</v>
      </c>
      <c r="J296" t="s">
        <v>777</v>
      </c>
      <c r="K296" t="s">
        <v>778</v>
      </c>
      <c r="L296">
        <v>1368</v>
      </c>
      <c r="N296">
        <v>1011</v>
      </c>
      <c r="O296" t="s">
        <v>779</v>
      </c>
      <c r="P296" t="s">
        <v>779</v>
      </c>
      <c r="Q296">
        <v>1</v>
      </c>
      <c r="W296">
        <v>0</v>
      </c>
      <c r="X296">
        <v>1188625873</v>
      </c>
      <c r="Y296">
        <v>0.01</v>
      </c>
      <c r="AA296">
        <v>0</v>
      </c>
      <c r="AB296">
        <v>209.75</v>
      </c>
      <c r="AC296">
        <v>13.5</v>
      </c>
      <c r="AD296">
        <v>0</v>
      </c>
      <c r="AE296">
        <v>0</v>
      </c>
      <c r="AF296">
        <v>31.26</v>
      </c>
      <c r="AG296">
        <v>13.5</v>
      </c>
      <c r="AH296">
        <v>0</v>
      </c>
      <c r="AI296">
        <v>1</v>
      </c>
      <c r="AJ296">
        <v>6.71</v>
      </c>
      <c r="AK296">
        <v>1</v>
      </c>
      <c r="AL296">
        <v>1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6</v>
      </c>
      <c r="AT296">
        <v>0.01</v>
      </c>
      <c r="AU296" t="s">
        <v>6</v>
      </c>
      <c r="AV296">
        <v>0</v>
      </c>
      <c r="AW296">
        <v>2</v>
      </c>
      <c r="AX296">
        <v>16813582</v>
      </c>
      <c r="AY296">
        <v>1</v>
      </c>
      <c r="AZ296">
        <v>0</v>
      </c>
      <c r="BA296">
        <v>290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Y296*Source!I196</f>
        <v>7.9000000000000008E-3</v>
      </c>
      <c r="CY296">
        <f>AB296</f>
        <v>209.75</v>
      </c>
      <c r="CZ296">
        <f>AF296</f>
        <v>31.26</v>
      </c>
      <c r="DA296">
        <f>AJ296</f>
        <v>6.71</v>
      </c>
      <c r="DB296">
        <f t="shared" si="43"/>
        <v>0.31</v>
      </c>
      <c r="DC296">
        <f t="shared" si="44"/>
        <v>0.14000000000000001</v>
      </c>
    </row>
    <row r="297" spans="1:107" x14ac:dyDescent="0.2">
      <c r="A297">
        <f>ROW(Source!A196)</f>
        <v>196</v>
      </c>
      <c r="B297">
        <v>16812721</v>
      </c>
      <c r="C297">
        <v>16813572</v>
      </c>
      <c r="D297">
        <v>15170076</v>
      </c>
      <c r="E297">
        <v>1</v>
      </c>
      <c r="F297">
        <v>1</v>
      </c>
      <c r="G297">
        <v>1</v>
      </c>
      <c r="H297">
        <v>3</v>
      </c>
      <c r="I297" t="s">
        <v>983</v>
      </c>
      <c r="J297" t="s">
        <v>984</v>
      </c>
      <c r="K297" t="s">
        <v>985</v>
      </c>
      <c r="L297">
        <v>1356</v>
      </c>
      <c r="N297">
        <v>1010</v>
      </c>
      <c r="O297" t="s">
        <v>882</v>
      </c>
      <c r="P297" t="s">
        <v>882</v>
      </c>
      <c r="Q297">
        <v>1000</v>
      </c>
      <c r="W297">
        <v>0</v>
      </c>
      <c r="X297">
        <v>1975348994</v>
      </c>
      <c r="Y297">
        <v>0.4</v>
      </c>
      <c r="AA297">
        <v>1207.8</v>
      </c>
      <c r="AB297">
        <v>0</v>
      </c>
      <c r="AC297">
        <v>0</v>
      </c>
      <c r="AD297">
        <v>0</v>
      </c>
      <c r="AE297">
        <v>180</v>
      </c>
      <c r="AF297">
        <v>0</v>
      </c>
      <c r="AG297">
        <v>0</v>
      </c>
      <c r="AH297">
        <v>0</v>
      </c>
      <c r="AI297">
        <v>6.71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6</v>
      </c>
      <c r="AT297">
        <v>0.4</v>
      </c>
      <c r="AU297" t="s">
        <v>6</v>
      </c>
      <c r="AV297">
        <v>0</v>
      </c>
      <c r="AW297">
        <v>2</v>
      </c>
      <c r="AX297">
        <v>16813583</v>
      </c>
      <c r="AY297">
        <v>1</v>
      </c>
      <c r="AZ297">
        <v>0</v>
      </c>
      <c r="BA297">
        <v>291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Y297*Source!I196</f>
        <v>0.31600000000000006</v>
      </c>
      <c r="CY297">
        <f>AA297</f>
        <v>1207.8</v>
      </c>
      <c r="CZ297">
        <f>AE297</f>
        <v>180</v>
      </c>
      <c r="DA297">
        <f>AI297</f>
        <v>6.71</v>
      </c>
      <c r="DB297">
        <f t="shared" si="43"/>
        <v>72</v>
      </c>
      <c r="DC297">
        <f t="shared" si="44"/>
        <v>0</v>
      </c>
    </row>
    <row r="298" spans="1:107" x14ac:dyDescent="0.2">
      <c r="A298">
        <f>ROW(Source!A196)</f>
        <v>196</v>
      </c>
      <c r="B298">
        <v>16812721</v>
      </c>
      <c r="C298">
        <v>16813572</v>
      </c>
      <c r="D298">
        <v>15170438</v>
      </c>
      <c r="E298">
        <v>1</v>
      </c>
      <c r="F298">
        <v>1</v>
      </c>
      <c r="G298">
        <v>1</v>
      </c>
      <c r="H298">
        <v>3</v>
      </c>
      <c r="I298" t="s">
        <v>986</v>
      </c>
      <c r="J298" t="s">
        <v>987</v>
      </c>
      <c r="K298" t="s">
        <v>988</v>
      </c>
      <c r="L298">
        <v>1348</v>
      </c>
      <c r="N298">
        <v>1009</v>
      </c>
      <c r="O298" t="s">
        <v>145</v>
      </c>
      <c r="P298" t="s">
        <v>145</v>
      </c>
      <c r="Q298">
        <v>1000</v>
      </c>
      <c r="W298">
        <v>0</v>
      </c>
      <c r="X298">
        <v>-1755229539</v>
      </c>
      <c r="Y298">
        <v>1.4E-3</v>
      </c>
      <c r="AA298">
        <v>83405.3</v>
      </c>
      <c r="AB298">
        <v>0</v>
      </c>
      <c r="AC298">
        <v>0</v>
      </c>
      <c r="AD298">
        <v>0</v>
      </c>
      <c r="AE298">
        <v>12430</v>
      </c>
      <c r="AF298">
        <v>0</v>
      </c>
      <c r="AG298">
        <v>0</v>
      </c>
      <c r="AH298">
        <v>0</v>
      </c>
      <c r="AI298">
        <v>6.71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1.4E-3</v>
      </c>
      <c r="AU298" t="s">
        <v>6</v>
      </c>
      <c r="AV298">
        <v>0</v>
      </c>
      <c r="AW298">
        <v>2</v>
      </c>
      <c r="AX298">
        <v>16813584</v>
      </c>
      <c r="AY298">
        <v>1</v>
      </c>
      <c r="AZ298">
        <v>0</v>
      </c>
      <c r="BA298">
        <v>292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Y298*Source!I196</f>
        <v>1.106E-3</v>
      </c>
      <c r="CY298">
        <f>AA298</f>
        <v>83405.3</v>
      </c>
      <c r="CZ298">
        <f>AE298</f>
        <v>12430</v>
      </c>
      <c r="DA298">
        <f>AI298</f>
        <v>6.71</v>
      </c>
      <c r="DB298">
        <f t="shared" si="43"/>
        <v>17.399999999999999</v>
      </c>
      <c r="DC298">
        <f t="shared" si="44"/>
        <v>0</v>
      </c>
    </row>
    <row r="299" spans="1:107" x14ac:dyDescent="0.2">
      <c r="A299">
        <f>ROW(Source!A196)</f>
        <v>196</v>
      </c>
      <c r="B299">
        <v>16812721</v>
      </c>
      <c r="C299">
        <v>16813572</v>
      </c>
      <c r="D299">
        <v>0</v>
      </c>
      <c r="E299">
        <v>1</v>
      </c>
      <c r="F299">
        <v>1</v>
      </c>
      <c r="G299">
        <v>1</v>
      </c>
      <c r="H299">
        <v>3</v>
      </c>
      <c r="I299" t="s">
        <v>523</v>
      </c>
      <c r="J299" t="s">
        <v>525</v>
      </c>
      <c r="K299" t="s">
        <v>524</v>
      </c>
      <c r="L299">
        <v>1308</v>
      </c>
      <c r="N299">
        <v>1003</v>
      </c>
      <c r="O299" t="s">
        <v>39</v>
      </c>
      <c r="P299" t="s">
        <v>39</v>
      </c>
      <c r="Q299">
        <v>100</v>
      </c>
      <c r="W299">
        <v>0</v>
      </c>
      <c r="X299">
        <v>866845708</v>
      </c>
      <c r="Y299">
        <v>1</v>
      </c>
      <c r="AA299">
        <v>9125.6</v>
      </c>
      <c r="AB299">
        <v>0</v>
      </c>
      <c r="AC299">
        <v>0</v>
      </c>
      <c r="AD299">
        <v>0</v>
      </c>
      <c r="AE299">
        <v>1360</v>
      </c>
      <c r="AF299">
        <v>0</v>
      </c>
      <c r="AG299">
        <v>0</v>
      </c>
      <c r="AH299">
        <v>0</v>
      </c>
      <c r="AI299">
        <v>6.71</v>
      </c>
      <c r="AJ299">
        <v>1</v>
      </c>
      <c r="AK299">
        <v>1</v>
      </c>
      <c r="AL299">
        <v>1</v>
      </c>
      <c r="AN299">
        <v>0</v>
      </c>
      <c r="AO299">
        <v>0</v>
      </c>
      <c r="AP299">
        <v>0</v>
      </c>
      <c r="AQ299">
        <v>0</v>
      </c>
      <c r="AR299">
        <v>0</v>
      </c>
      <c r="AS299" t="s">
        <v>6</v>
      </c>
      <c r="AT299">
        <v>1</v>
      </c>
      <c r="AU299" t="s">
        <v>6</v>
      </c>
      <c r="AV299">
        <v>0</v>
      </c>
      <c r="AW299">
        <v>1</v>
      </c>
      <c r="AX299">
        <v>-1</v>
      </c>
      <c r="AY299">
        <v>0</v>
      </c>
      <c r="AZ299">
        <v>0</v>
      </c>
      <c r="BA299" t="s">
        <v>6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Y299*Source!I196</f>
        <v>0.79</v>
      </c>
      <c r="CY299">
        <f>AA299</f>
        <v>9125.6</v>
      </c>
      <c r="CZ299">
        <f>AE299</f>
        <v>1360</v>
      </c>
      <c r="DA299">
        <f>AI299</f>
        <v>6.71</v>
      </c>
      <c r="DB299">
        <f t="shared" si="43"/>
        <v>1360</v>
      </c>
      <c r="DC299">
        <f t="shared" si="44"/>
        <v>0</v>
      </c>
    </row>
    <row r="300" spans="1:107" x14ac:dyDescent="0.2">
      <c r="A300">
        <f>ROW(Source!A196)</f>
        <v>196</v>
      </c>
      <c r="B300">
        <v>16812721</v>
      </c>
      <c r="C300">
        <v>16813572</v>
      </c>
      <c r="D300">
        <v>15164559</v>
      </c>
      <c r="E300">
        <v>17</v>
      </c>
      <c r="F300">
        <v>1</v>
      </c>
      <c r="G300">
        <v>1</v>
      </c>
      <c r="H300">
        <v>3</v>
      </c>
      <c r="I300" t="s">
        <v>989</v>
      </c>
      <c r="J300" t="s">
        <v>6</v>
      </c>
      <c r="K300" t="s">
        <v>990</v>
      </c>
      <c r="L300">
        <v>1374</v>
      </c>
      <c r="N300">
        <v>1013</v>
      </c>
      <c r="O300" t="s">
        <v>991</v>
      </c>
      <c r="P300" t="s">
        <v>991</v>
      </c>
      <c r="Q300">
        <v>1</v>
      </c>
      <c r="W300">
        <v>0</v>
      </c>
      <c r="X300">
        <v>-1731369543</v>
      </c>
      <c r="Y300">
        <v>3.87</v>
      </c>
      <c r="AA300">
        <v>1</v>
      </c>
      <c r="AB300">
        <v>0</v>
      </c>
      <c r="AC300">
        <v>0</v>
      </c>
      <c r="AD300">
        <v>0</v>
      </c>
      <c r="AE300">
        <v>1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3.87</v>
      </c>
      <c r="AU300" t="s">
        <v>6</v>
      </c>
      <c r="AV300">
        <v>0</v>
      </c>
      <c r="AW300">
        <v>2</v>
      </c>
      <c r="AX300">
        <v>16813585</v>
      </c>
      <c r="AY300">
        <v>1</v>
      </c>
      <c r="AZ300">
        <v>0</v>
      </c>
      <c r="BA300">
        <v>293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Y300*Source!I196</f>
        <v>3.0573000000000001</v>
      </c>
      <c r="CY300">
        <f>AA300</f>
        <v>1</v>
      </c>
      <c r="CZ300">
        <f>AE300</f>
        <v>1</v>
      </c>
      <c r="DA300">
        <f>AI300</f>
        <v>1</v>
      </c>
      <c r="DB300">
        <f t="shared" si="43"/>
        <v>3.87</v>
      </c>
      <c r="DC300">
        <f t="shared" si="44"/>
        <v>0</v>
      </c>
    </row>
    <row r="301" spans="1:107" x14ac:dyDescent="0.2">
      <c r="A301">
        <f>ROW(Source!A198)</f>
        <v>198</v>
      </c>
      <c r="B301">
        <v>16812721</v>
      </c>
      <c r="C301">
        <v>16813587</v>
      </c>
      <c r="D301">
        <v>15438286</v>
      </c>
      <c r="E301">
        <v>1</v>
      </c>
      <c r="F301">
        <v>1</v>
      </c>
      <c r="G301">
        <v>1</v>
      </c>
      <c r="H301">
        <v>1</v>
      </c>
      <c r="I301" t="s">
        <v>874</v>
      </c>
      <c r="J301" t="s">
        <v>6</v>
      </c>
      <c r="K301" t="s">
        <v>875</v>
      </c>
      <c r="L301">
        <v>1191</v>
      </c>
      <c r="N301">
        <v>1013</v>
      </c>
      <c r="O301" t="s">
        <v>773</v>
      </c>
      <c r="P301" t="s">
        <v>773</v>
      </c>
      <c r="Q301">
        <v>1</v>
      </c>
      <c r="W301">
        <v>0</v>
      </c>
      <c r="X301">
        <v>-1027537862</v>
      </c>
      <c r="Y301">
        <v>15.2</v>
      </c>
      <c r="AA301">
        <v>0</v>
      </c>
      <c r="AB301">
        <v>0</v>
      </c>
      <c r="AC301">
        <v>0</v>
      </c>
      <c r="AD301">
        <v>61.6</v>
      </c>
      <c r="AE301">
        <v>0</v>
      </c>
      <c r="AF301">
        <v>0</v>
      </c>
      <c r="AG301">
        <v>0</v>
      </c>
      <c r="AH301">
        <v>9.18</v>
      </c>
      <c r="AI301">
        <v>1</v>
      </c>
      <c r="AJ301">
        <v>1</v>
      </c>
      <c r="AK301">
        <v>1</v>
      </c>
      <c r="AL301">
        <v>6.71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6</v>
      </c>
      <c r="AT301">
        <v>15.2</v>
      </c>
      <c r="AU301" t="s">
        <v>6</v>
      </c>
      <c r="AV301">
        <v>1</v>
      </c>
      <c r="AW301">
        <v>2</v>
      </c>
      <c r="AX301">
        <v>16813592</v>
      </c>
      <c r="AY301">
        <v>1</v>
      </c>
      <c r="AZ301">
        <v>0</v>
      </c>
      <c r="BA301">
        <v>294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Y301*Source!I198</f>
        <v>47.879999999999995</v>
      </c>
      <c r="CY301">
        <f>AD301</f>
        <v>61.6</v>
      </c>
      <c r="CZ301">
        <f>AH301</f>
        <v>9.18</v>
      </c>
      <c r="DA301">
        <f>AL301</f>
        <v>6.71</v>
      </c>
      <c r="DB301">
        <f t="shared" si="43"/>
        <v>139.54</v>
      </c>
      <c r="DC301">
        <f t="shared" si="44"/>
        <v>0</v>
      </c>
    </row>
    <row r="302" spans="1:107" x14ac:dyDescent="0.2">
      <c r="A302">
        <f>ROW(Source!A198)</f>
        <v>198</v>
      </c>
      <c r="B302">
        <v>16812721</v>
      </c>
      <c r="C302">
        <v>16813587</v>
      </c>
      <c r="D302">
        <v>15170155</v>
      </c>
      <c r="E302">
        <v>1</v>
      </c>
      <c r="F302">
        <v>1</v>
      </c>
      <c r="G302">
        <v>1</v>
      </c>
      <c r="H302">
        <v>3</v>
      </c>
      <c r="I302" t="s">
        <v>899</v>
      </c>
      <c r="J302" t="s">
        <v>900</v>
      </c>
      <c r="K302" t="s">
        <v>901</v>
      </c>
      <c r="L302">
        <v>1355</v>
      </c>
      <c r="N302">
        <v>1010</v>
      </c>
      <c r="O302" t="s">
        <v>188</v>
      </c>
      <c r="P302" t="s">
        <v>188</v>
      </c>
      <c r="Q302">
        <v>100</v>
      </c>
      <c r="W302">
        <v>0</v>
      </c>
      <c r="X302">
        <v>1135215184</v>
      </c>
      <c r="Y302">
        <v>1.75</v>
      </c>
      <c r="AA302">
        <v>53.68</v>
      </c>
      <c r="AB302">
        <v>0</v>
      </c>
      <c r="AC302">
        <v>0</v>
      </c>
      <c r="AD302">
        <v>0</v>
      </c>
      <c r="AE302">
        <v>8</v>
      </c>
      <c r="AF302">
        <v>0</v>
      </c>
      <c r="AG302">
        <v>0</v>
      </c>
      <c r="AH302">
        <v>0</v>
      </c>
      <c r="AI302">
        <v>6.71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0</v>
      </c>
      <c r="AQ302">
        <v>0</v>
      </c>
      <c r="AR302">
        <v>0</v>
      </c>
      <c r="AS302" t="s">
        <v>6</v>
      </c>
      <c r="AT302">
        <v>1.75</v>
      </c>
      <c r="AU302" t="s">
        <v>6</v>
      </c>
      <c r="AV302">
        <v>0</v>
      </c>
      <c r="AW302">
        <v>2</v>
      </c>
      <c r="AX302">
        <v>16813593</v>
      </c>
      <c r="AY302">
        <v>1</v>
      </c>
      <c r="AZ302">
        <v>0</v>
      </c>
      <c r="BA302">
        <v>295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Y302*Source!I198</f>
        <v>5.5125000000000002</v>
      </c>
      <c r="CY302">
        <f>AA302</f>
        <v>53.68</v>
      </c>
      <c r="CZ302">
        <f>AE302</f>
        <v>8</v>
      </c>
      <c r="DA302">
        <f>AI302</f>
        <v>6.71</v>
      </c>
      <c r="DB302">
        <f t="shared" si="43"/>
        <v>14</v>
      </c>
      <c r="DC302">
        <f t="shared" si="44"/>
        <v>0</v>
      </c>
    </row>
    <row r="303" spans="1:107" x14ac:dyDescent="0.2">
      <c r="A303">
        <f>ROW(Source!A198)</f>
        <v>198</v>
      </c>
      <c r="B303">
        <v>16812721</v>
      </c>
      <c r="C303">
        <v>16813587</v>
      </c>
      <c r="D303">
        <v>15233696</v>
      </c>
      <c r="E303">
        <v>1</v>
      </c>
      <c r="F303">
        <v>1</v>
      </c>
      <c r="G303">
        <v>1</v>
      </c>
      <c r="H303">
        <v>3</v>
      </c>
      <c r="I303" t="s">
        <v>531</v>
      </c>
      <c r="J303" t="s">
        <v>533</v>
      </c>
      <c r="K303" t="s">
        <v>532</v>
      </c>
      <c r="L303">
        <v>1302</v>
      </c>
      <c r="N303">
        <v>1003</v>
      </c>
      <c r="O303" t="s">
        <v>505</v>
      </c>
      <c r="P303" t="s">
        <v>505</v>
      </c>
      <c r="Q303">
        <v>10</v>
      </c>
      <c r="W303">
        <v>0</v>
      </c>
      <c r="X303">
        <v>1745554190</v>
      </c>
      <c r="Y303">
        <v>10</v>
      </c>
      <c r="AA303">
        <v>212.04</v>
      </c>
      <c r="AB303">
        <v>0</v>
      </c>
      <c r="AC303">
        <v>0</v>
      </c>
      <c r="AD303">
        <v>0</v>
      </c>
      <c r="AE303">
        <v>31.6</v>
      </c>
      <c r="AF303">
        <v>0</v>
      </c>
      <c r="AG303">
        <v>0</v>
      </c>
      <c r="AH303">
        <v>0</v>
      </c>
      <c r="AI303">
        <v>6.71</v>
      </c>
      <c r="AJ303">
        <v>1</v>
      </c>
      <c r="AK303">
        <v>1</v>
      </c>
      <c r="AL303">
        <v>1</v>
      </c>
      <c r="AN303">
        <v>0</v>
      </c>
      <c r="AO303">
        <v>0</v>
      </c>
      <c r="AP303">
        <v>0</v>
      </c>
      <c r="AQ303">
        <v>0</v>
      </c>
      <c r="AR303">
        <v>0</v>
      </c>
      <c r="AS303" t="s">
        <v>6</v>
      </c>
      <c r="AT303">
        <v>10</v>
      </c>
      <c r="AU303" t="s">
        <v>6</v>
      </c>
      <c r="AV303">
        <v>0</v>
      </c>
      <c r="AW303">
        <v>1</v>
      </c>
      <c r="AX303">
        <v>-1</v>
      </c>
      <c r="AY303">
        <v>0</v>
      </c>
      <c r="AZ303">
        <v>0</v>
      </c>
      <c r="BA303" t="s">
        <v>6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Y303*Source!I198</f>
        <v>31.5</v>
      </c>
      <c r="CY303">
        <f>AA303</f>
        <v>212.04</v>
      </c>
      <c r="CZ303">
        <f>AE303</f>
        <v>31.6</v>
      </c>
      <c r="DA303">
        <f>AI303</f>
        <v>6.71</v>
      </c>
      <c r="DB303">
        <f t="shared" si="43"/>
        <v>316</v>
      </c>
      <c r="DC303">
        <f t="shared" si="44"/>
        <v>0</v>
      </c>
    </row>
    <row r="304" spans="1:107" x14ac:dyDescent="0.2">
      <c r="A304">
        <f>ROW(Source!A198)</f>
        <v>198</v>
      </c>
      <c r="B304">
        <v>16812721</v>
      </c>
      <c r="C304">
        <v>16813587</v>
      </c>
      <c r="D304">
        <v>15164559</v>
      </c>
      <c r="E304">
        <v>17</v>
      </c>
      <c r="F304">
        <v>1</v>
      </c>
      <c r="G304">
        <v>1</v>
      </c>
      <c r="H304">
        <v>3</v>
      </c>
      <c r="I304" t="s">
        <v>989</v>
      </c>
      <c r="J304" t="s">
        <v>6</v>
      </c>
      <c r="K304" t="s">
        <v>990</v>
      </c>
      <c r="L304">
        <v>1374</v>
      </c>
      <c r="N304">
        <v>1013</v>
      </c>
      <c r="O304" t="s">
        <v>991</v>
      </c>
      <c r="P304" t="s">
        <v>991</v>
      </c>
      <c r="Q304">
        <v>1</v>
      </c>
      <c r="W304">
        <v>0</v>
      </c>
      <c r="X304">
        <v>-1731369543</v>
      </c>
      <c r="Y304">
        <v>2.79</v>
      </c>
      <c r="AA304">
        <v>1</v>
      </c>
      <c r="AB304">
        <v>0</v>
      </c>
      <c r="AC304">
        <v>0</v>
      </c>
      <c r="AD304">
        <v>0</v>
      </c>
      <c r="AE304">
        <v>1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2.79</v>
      </c>
      <c r="AU304" t="s">
        <v>6</v>
      </c>
      <c r="AV304">
        <v>0</v>
      </c>
      <c r="AW304">
        <v>2</v>
      </c>
      <c r="AX304">
        <v>16813594</v>
      </c>
      <c r="AY304">
        <v>1</v>
      </c>
      <c r="AZ304">
        <v>0</v>
      </c>
      <c r="BA304">
        <v>296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Y304*Source!I198</f>
        <v>8.7884999999999991</v>
      </c>
      <c r="CY304">
        <f>AA304</f>
        <v>1</v>
      </c>
      <c r="CZ304">
        <f>AE304</f>
        <v>1</v>
      </c>
      <c r="DA304">
        <f>AI304</f>
        <v>1</v>
      </c>
      <c r="DB304">
        <f t="shared" si="43"/>
        <v>2.79</v>
      </c>
      <c r="DC304">
        <f t="shared" si="44"/>
        <v>0</v>
      </c>
    </row>
    <row r="305" spans="1:107" x14ac:dyDescent="0.2">
      <c r="A305">
        <f>ROW(Source!A200)</f>
        <v>200</v>
      </c>
      <c r="B305">
        <v>16812721</v>
      </c>
      <c r="C305">
        <v>16813596</v>
      </c>
      <c r="D305">
        <v>15430397</v>
      </c>
      <c r="E305">
        <v>1</v>
      </c>
      <c r="F305">
        <v>1</v>
      </c>
      <c r="G305">
        <v>1</v>
      </c>
      <c r="H305">
        <v>1</v>
      </c>
      <c r="I305" t="s">
        <v>838</v>
      </c>
      <c r="J305" t="s">
        <v>6</v>
      </c>
      <c r="K305" t="s">
        <v>839</v>
      </c>
      <c r="L305">
        <v>1191</v>
      </c>
      <c r="N305">
        <v>1013</v>
      </c>
      <c r="O305" t="s">
        <v>773</v>
      </c>
      <c r="P305" t="s">
        <v>773</v>
      </c>
      <c r="Q305">
        <v>1</v>
      </c>
      <c r="W305">
        <v>0</v>
      </c>
      <c r="X305">
        <v>-1081351934</v>
      </c>
      <c r="Y305">
        <v>3.76</v>
      </c>
      <c r="AA305">
        <v>0</v>
      </c>
      <c r="AB305">
        <v>0</v>
      </c>
      <c r="AC305">
        <v>0</v>
      </c>
      <c r="AD305">
        <v>63.07</v>
      </c>
      <c r="AE305">
        <v>0</v>
      </c>
      <c r="AF305">
        <v>0</v>
      </c>
      <c r="AG305">
        <v>0</v>
      </c>
      <c r="AH305">
        <v>9.4</v>
      </c>
      <c r="AI305">
        <v>1</v>
      </c>
      <c r="AJ305">
        <v>1</v>
      </c>
      <c r="AK305">
        <v>1</v>
      </c>
      <c r="AL305">
        <v>6.71</v>
      </c>
      <c r="AN305">
        <v>0</v>
      </c>
      <c r="AO305">
        <v>1</v>
      </c>
      <c r="AP305">
        <v>0</v>
      </c>
      <c r="AQ305">
        <v>0</v>
      </c>
      <c r="AR305">
        <v>0</v>
      </c>
      <c r="AS305" t="s">
        <v>6</v>
      </c>
      <c r="AT305">
        <v>3.76</v>
      </c>
      <c r="AU305" t="s">
        <v>6</v>
      </c>
      <c r="AV305">
        <v>1</v>
      </c>
      <c r="AW305">
        <v>2</v>
      </c>
      <c r="AX305">
        <v>16813606</v>
      </c>
      <c r="AY305">
        <v>1</v>
      </c>
      <c r="AZ305">
        <v>0</v>
      </c>
      <c r="BA305">
        <v>297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Y305*Source!I200</f>
        <v>9.6256000000000004</v>
      </c>
      <c r="CY305">
        <f>AD305</f>
        <v>63.07</v>
      </c>
      <c r="CZ305">
        <f>AH305</f>
        <v>9.4</v>
      </c>
      <c r="DA305">
        <f>AL305</f>
        <v>6.71</v>
      </c>
      <c r="DB305">
        <f t="shared" si="43"/>
        <v>35.340000000000003</v>
      </c>
      <c r="DC305">
        <f t="shared" si="44"/>
        <v>0</v>
      </c>
    </row>
    <row r="306" spans="1:107" x14ac:dyDescent="0.2">
      <c r="A306">
        <f>ROW(Source!A200)</f>
        <v>200</v>
      </c>
      <c r="B306">
        <v>16812721</v>
      </c>
      <c r="C306">
        <v>16813596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774</v>
      </c>
      <c r="J306" t="s">
        <v>6</v>
      </c>
      <c r="K306" t="s">
        <v>775</v>
      </c>
      <c r="L306">
        <v>1191</v>
      </c>
      <c r="N306">
        <v>1013</v>
      </c>
      <c r="O306" t="s">
        <v>773</v>
      </c>
      <c r="P306" t="s">
        <v>773</v>
      </c>
      <c r="Q306">
        <v>1</v>
      </c>
      <c r="W306">
        <v>0</v>
      </c>
      <c r="X306">
        <v>-1417349443</v>
      </c>
      <c r="Y306">
        <v>0.02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6.71</v>
      </c>
      <c r="AL306">
        <v>1</v>
      </c>
      <c r="AN306">
        <v>0</v>
      </c>
      <c r="AO306">
        <v>1</v>
      </c>
      <c r="AP306">
        <v>0</v>
      </c>
      <c r="AQ306">
        <v>0</v>
      </c>
      <c r="AR306">
        <v>0</v>
      </c>
      <c r="AS306" t="s">
        <v>6</v>
      </c>
      <c r="AT306">
        <v>0.02</v>
      </c>
      <c r="AU306" t="s">
        <v>6</v>
      </c>
      <c r="AV306">
        <v>2</v>
      </c>
      <c r="AW306">
        <v>2</v>
      </c>
      <c r="AX306">
        <v>16813607</v>
      </c>
      <c r="AY306">
        <v>1</v>
      </c>
      <c r="AZ306">
        <v>0</v>
      </c>
      <c r="BA306">
        <v>298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Y306*Source!I200</f>
        <v>5.1200000000000002E-2</v>
      </c>
      <c r="CY306">
        <f>AD306</f>
        <v>0</v>
      </c>
      <c r="CZ306">
        <f>AH306</f>
        <v>0</v>
      </c>
      <c r="DA306">
        <f>AL306</f>
        <v>1</v>
      </c>
      <c r="DB306">
        <f t="shared" si="43"/>
        <v>0</v>
      </c>
      <c r="DC306">
        <f t="shared" si="44"/>
        <v>0</v>
      </c>
    </row>
    <row r="307" spans="1:107" x14ac:dyDescent="0.2">
      <c r="A307">
        <f>ROW(Source!A200)</f>
        <v>200</v>
      </c>
      <c r="B307">
        <v>16812721</v>
      </c>
      <c r="C307">
        <v>16813596</v>
      </c>
      <c r="D307">
        <v>15247680</v>
      </c>
      <c r="E307">
        <v>1</v>
      </c>
      <c r="F307">
        <v>1</v>
      </c>
      <c r="G307">
        <v>1</v>
      </c>
      <c r="H307">
        <v>2</v>
      </c>
      <c r="I307" t="s">
        <v>959</v>
      </c>
      <c r="J307" t="s">
        <v>960</v>
      </c>
      <c r="K307" t="s">
        <v>961</v>
      </c>
      <c r="L307">
        <v>1368</v>
      </c>
      <c r="N307">
        <v>1011</v>
      </c>
      <c r="O307" t="s">
        <v>779</v>
      </c>
      <c r="P307" t="s">
        <v>779</v>
      </c>
      <c r="Q307">
        <v>1</v>
      </c>
      <c r="W307">
        <v>0</v>
      </c>
      <c r="X307">
        <v>-1718674368</v>
      </c>
      <c r="Y307">
        <v>0.01</v>
      </c>
      <c r="AA307">
        <v>0</v>
      </c>
      <c r="AB307">
        <v>751.45</v>
      </c>
      <c r="AC307">
        <v>13.5</v>
      </c>
      <c r="AD307">
        <v>0</v>
      </c>
      <c r="AE307">
        <v>0</v>
      </c>
      <c r="AF307">
        <v>111.99</v>
      </c>
      <c r="AG307">
        <v>13.5</v>
      </c>
      <c r="AH307">
        <v>0</v>
      </c>
      <c r="AI307">
        <v>1</v>
      </c>
      <c r="AJ307">
        <v>6.71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0.01</v>
      </c>
      <c r="AU307" t="s">
        <v>6</v>
      </c>
      <c r="AV307">
        <v>0</v>
      </c>
      <c r="AW307">
        <v>2</v>
      </c>
      <c r="AX307">
        <v>16813608</v>
      </c>
      <c r="AY307">
        <v>1</v>
      </c>
      <c r="AZ307">
        <v>0</v>
      </c>
      <c r="BA307">
        <v>299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Y307*Source!I200</f>
        <v>2.5600000000000001E-2</v>
      </c>
      <c r="CY307">
        <f>AB307</f>
        <v>751.45</v>
      </c>
      <c r="CZ307">
        <f>AF307</f>
        <v>111.99</v>
      </c>
      <c r="DA307">
        <f>AJ307</f>
        <v>6.71</v>
      </c>
      <c r="DB307">
        <f t="shared" si="43"/>
        <v>1.1200000000000001</v>
      </c>
      <c r="DC307">
        <f t="shared" si="44"/>
        <v>0.14000000000000001</v>
      </c>
    </row>
    <row r="308" spans="1:107" x14ac:dyDescent="0.2">
      <c r="A308">
        <f>ROW(Source!A200)</f>
        <v>200</v>
      </c>
      <c r="B308">
        <v>16812721</v>
      </c>
      <c r="C308">
        <v>16813596</v>
      </c>
      <c r="D308">
        <v>15249073</v>
      </c>
      <c r="E308">
        <v>1</v>
      </c>
      <c r="F308">
        <v>1</v>
      </c>
      <c r="G308">
        <v>1</v>
      </c>
      <c r="H308">
        <v>2</v>
      </c>
      <c r="I308" t="s">
        <v>782</v>
      </c>
      <c r="J308" t="s">
        <v>783</v>
      </c>
      <c r="K308" t="s">
        <v>784</v>
      </c>
      <c r="L308">
        <v>1368</v>
      </c>
      <c r="N308">
        <v>1011</v>
      </c>
      <c r="O308" t="s">
        <v>779</v>
      </c>
      <c r="P308" t="s">
        <v>779</v>
      </c>
      <c r="Q308">
        <v>1</v>
      </c>
      <c r="W308">
        <v>0</v>
      </c>
      <c r="X308">
        <v>1372534845</v>
      </c>
      <c r="Y308">
        <v>0.01</v>
      </c>
      <c r="AA308">
        <v>0</v>
      </c>
      <c r="AB308">
        <v>440.91</v>
      </c>
      <c r="AC308">
        <v>11.6</v>
      </c>
      <c r="AD308">
        <v>0</v>
      </c>
      <c r="AE308">
        <v>0</v>
      </c>
      <c r="AF308">
        <v>65.709999999999994</v>
      </c>
      <c r="AG308">
        <v>11.6</v>
      </c>
      <c r="AH308">
        <v>0</v>
      </c>
      <c r="AI308">
        <v>1</v>
      </c>
      <c r="AJ308">
        <v>6.71</v>
      </c>
      <c r="AK308">
        <v>1</v>
      </c>
      <c r="AL308">
        <v>1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6</v>
      </c>
      <c r="AT308">
        <v>0.01</v>
      </c>
      <c r="AU308" t="s">
        <v>6</v>
      </c>
      <c r="AV308">
        <v>0</v>
      </c>
      <c r="AW308">
        <v>2</v>
      </c>
      <c r="AX308">
        <v>16813609</v>
      </c>
      <c r="AY308">
        <v>1</v>
      </c>
      <c r="AZ308">
        <v>0</v>
      </c>
      <c r="BA308">
        <v>300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Y308*Source!I200</f>
        <v>2.5600000000000001E-2</v>
      </c>
      <c r="CY308">
        <f>AB308</f>
        <v>440.91</v>
      </c>
      <c r="CZ308">
        <f>AF308</f>
        <v>65.709999999999994</v>
      </c>
      <c r="DA308">
        <f>AJ308</f>
        <v>6.71</v>
      </c>
      <c r="DB308">
        <f t="shared" si="43"/>
        <v>0.66</v>
      </c>
      <c r="DC308">
        <f t="shared" si="44"/>
        <v>0.12</v>
      </c>
    </row>
    <row r="309" spans="1:107" x14ac:dyDescent="0.2">
      <c r="A309">
        <f>ROW(Source!A200)</f>
        <v>200</v>
      </c>
      <c r="B309">
        <v>16812721</v>
      </c>
      <c r="C309">
        <v>16813596</v>
      </c>
      <c r="D309">
        <v>15167588</v>
      </c>
      <c r="E309">
        <v>1</v>
      </c>
      <c r="F309">
        <v>1</v>
      </c>
      <c r="G309">
        <v>1</v>
      </c>
      <c r="H309">
        <v>3</v>
      </c>
      <c r="I309" t="s">
        <v>1006</v>
      </c>
      <c r="J309" t="s">
        <v>1007</v>
      </c>
      <c r="K309" t="s">
        <v>1008</v>
      </c>
      <c r="L309">
        <v>1346</v>
      </c>
      <c r="N309">
        <v>1009</v>
      </c>
      <c r="O309" t="s">
        <v>277</v>
      </c>
      <c r="P309" t="s">
        <v>277</v>
      </c>
      <c r="Q309">
        <v>1</v>
      </c>
      <c r="W309">
        <v>0</v>
      </c>
      <c r="X309">
        <v>-1088866022</v>
      </c>
      <c r="Y309">
        <v>0.16</v>
      </c>
      <c r="AA309">
        <v>203.98</v>
      </c>
      <c r="AB309">
        <v>0</v>
      </c>
      <c r="AC309">
        <v>0</v>
      </c>
      <c r="AD309">
        <v>0</v>
      </c>
      <c r="AE309">
        <v>30.4</v>
      </c>
      <c r="AF309">
        <v>0</v>
      </c>
      <c r="AG309">
        <v>0</v>
      </c>
      <c r="AH309">
        <v>0</v>
      </c>
      <c r="AI309">
        <v>6.71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0.16</v>
      </c>
      <c r="AU309" t="s">
        <v>6</v>
      </c>
      <c r="AV309">
        <v>0</v>
      </c>
      <c r="AW309">
        <v>2</v>
      </c>
      <c r="AX309">
        <v>16813610</v>
      </c>
      <c r="AY309">
        <v>1</v>
      </c>
      <c r="AZ309">
        <v>0</v>
      </c>
      <c r="BA309">
        <v>301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Y309*Source!I200</f>
        <v>0.40960000000000002</v>
      </c>
      <c r="CY309">
        <f>AA309</f>
        <v>203.98</v>
      </c>
      <c r="CZ309">
        <f>AE309</f>
        <v>30.4</v>
      </c>
      <c r="DA309">
        <f>AI309</f>
        <v>6.71</v>
      </c>
      <c r="DB309">
        <f t="shared" si="43"/>
        <v>4.8600000000000003</v>
      </c>
      <c r="DC309">
        <f t="shared" si="44"/>
        <v>0</v>
      </c>
    </row>
    <row r="310" spans="1:107" x14ac:dyDescent="0.2">
      <c r="A310">
        <f>ROW(Source!A200)</f>
        <v>200</v>
      </c>
      <c r="B310">
        <v>16812721</v>
      </c>
      <c r="C310">
        <v>16813596</v>
      </c>
      <c r="D310">
        <v>15167600</v>
      </c>
      <c r="E310">
        <v>1</v>
      </c>
      <c r="F310">
        <v>1</v>
      </c>
      <c r="G310">
        <v>1</v>
      </c>
      <c r="H310">
        <v>3</v>
      </c>
      <c r="I310" t="s">
        <v>1052</v>
      </c>
      <c r="J310" t="s">
        <v>1053</v>
      </c>
      <c r="K310" t="s">
        <v>1054</v>
      </c>
      <c r="L310">
        <v>1308</v>
      </c>
      <c r="N310">
        <v>1003</v>
      </c>
      <c r="O310" t="s">
        <v>39</v>
      </c>
      <c r="P310" t="s">
        <v>39</v>
      </c>
      <c r="Q310">
        <v>100</v>
      </c>
      <c r="W310">
        <v>0</v>
      </c>
      <c r="X310">
        <v>568244124</v>
      </c>
      <c r="Y310">
        <v>5.5E-2</v>
      </c>
      <c r="AA310">
        <v>805.2</v>
      </c>
      <c r="AB310">
        <v>0</v>
      </c>
      <c r="AC310">
        <v>0</v>
      </c>
      <c r="AD310">
        <v>0</v>
      </c>
      <c r="AE310">
        <v>120</v>
      </c>
      <c r="AF310">
        <v>0</v>
      </c>
      <c r="AG310">
        <v>0</v>
      </c>
      <c r="AH310">
        <v>0</v>
      </c>
      <c r="AI310">
        <v>6.71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6</v>
      </c>
      <c r="AT310">
        <v>5.5E-2</v>
      </c>
      <c r="AU310" t="s">
        <v>6</v>
      </c>
      <c r="AV310">
        <v>0</v>
      </c>
      <c r="AW310">
        <v>2</v>
      </c>
      <c r="AX310">
        <v>16813611</v>
      </c>
      <c r="AY310">
        <v>1</v>
      </c>
      <c r="AZ310">
        <v>0</v>
      </c>
      <c r="BA310">
        <v>302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Y310*Source!I200</f>
        <v>0.14080000000000001</v>
      </c>
      <c r="CY310">
        <f>AA310</f>
        <v>805.2</v>
      </c>
      <c r="CZ310">
        <f>AE310</f>
        <v>120</v>
      </c>
      <c r="DA310">
        <f>AI310</f>
        <v>6.71</v>
      </c>
      <c r="DB310">
        <f t="shared" si="43"/>
        <v>6.6</v>
      </c>
      <c r="DC310">
        <f t="shared" si="44"/>
        <v>0</v>
      </c>
    </row>
    <row r="311" spans="1:107" x14ac:dyDescent="0.2">
      <c r="A311">
        <f>ROW(Source!A200)</f>
        <v>200</v>
      </c>
      <c r="B311">
        <v>16812721</v>
      </c>
      <c r="C311">
        <v>16813596</v>
      </c>
      <c r="D311">
        <v>15203834</v>
      </c>
      <c r="E311">
        <v>1</v>
      </c>
      <c r="F311">
        <v>1</v>
      </c>
      <c r="G311">
        <v>1</v>
      </c>
      <c r="H311">
        <v>3</v>
      </c>
      <c r="I311" t="s">
        <v>1024</v>
      </c>
      <c r="J311" t="s">
        <v>1025</v>
      </c>
      <c r="K311" t="s">
        <v>320</v>
      </c>
      <c r="L311">
        <v>1346</v>
      </c>
      <c r="N311">
        <v>1009</v>
      </c>
      <c r="O311" t="s">
        <v>277</v>
      </c>
      <c r="P311" t="s">
        <v>277</v>
      </c>
      <c r="Q311">
        <v>1</v>
      </c>
      <c r="W311">
        <v>0</v>
      </c>
      <c r="X311">
        <v>210558753</v>
      </c>
      <c r="Y311">
        <v>0.05</v>
      </c>
      <c r="AA311">
        <v>191.91</v>
      </c>
      <c r="AB311">
        <v>0</v>
      </c>
      <c r="AC311">
        <v>0</v>
      </c>
      <c r="AD311">
        <v>0</v>
      </c>
      <c r="AE311">
        <v>28.6</v>
      </c>
      <c r="AF311">
        <v>0</v>
      </c>
      <c r="AG311">
        <v>0</v>
      </c>
      <c r="AH311">
        <v>0</v>
      </c>
      <c r="AI311">
        <v>6.71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6</v>
      </c>
      <c r="AT311">
        <v>0.05</v>
      </c>
      <c r="AU311" t="s">
        <v>6</v>
      </c>
      <c r="AV311">
        <v>0</v>
      </c>
      <c r="AW311">
        <v>2</v>
      </c>
      <c r="AX311">
        <v>16813612</v>
      </c>
      <c r="AY311">
        <v>1</v>
      </c>
      <c r="AZ311">
        <v>0</v>
      </c>
      <c r="BA311">
        <v>303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Y311*Source!I200</f>
        <v>0.128</v>
      </c>
      <c r="CY311">
        <f>AA311</f>
        <v>191.91</v>
      </c>
      <c r="CZ311">
        <f>AE311</f>
        <v>28.6</v>
      </c>
      <c r="DA311">
        <f>AI311</f>
        <v>6.71</v>
      </c>
      <c r="DB311">
        <f t="shared" si="43"/>
        <v>1.43</v>
      </c>
      <c r="DC311">
        <f t="shared" si="44"/>
        <v>0</v>
      </c>
    </row>
    <row r="312" spans="1:107" x14ac:dyDescent="0.2">
      <c r="A312">
        <f>ROW(Source!A200)</f>
        <v>200</v>
      </c>
      <c r="B312">
        <v>16812721</v>
      </c>
      <c r="C312">
        <v>16813596</v>
      </c>
      <c r="D312">
        <v>15223029</v>
      </c>
      <c r="E312">
        <v>1</v>
      </c>
      <c r="F312">
        <v>1</v>
      </c>
      <c r="G312">
        <v>1</v>
      </c>
      <c r="H312">
        <v>3</v>
      </c>
      <c r="I312" t="s">
        <v>539</v>
      </c>
      <c r="J312" t="s">
        <v>542</v>
      </c>
      <c r="K312" t="s">
        <v>540</v>
      </c>
      <c r="L312">
        <v>1477</v>
      </c>
      <c r="N312">
        <v>1013</v>
      </c>
      <c r="O312" t="s">
        <v>541</v>
      </c>
      <c r="P312" t="s">
        <v>543</v>
      </c>
      <c r="Q312">
        <v>1</v>
      </c>
      <c r="W312">
        <v>0</v>
      </c>
      <c r="X312">
        <v>559331636</v>
      </c>
      <c r="Y312">
        <v>0.1</v>
      </c>
      <c r="AA312">
        <v>46435.95</v>
      </c>
      <c r="AB312">
        <v>0</v>
      </c>
      <c r="AC312">
        <v>0</v>
      </c>
      <c r="AD312">
        <v>0</v>
      </c>
      <c r="AE312">
        <v>6920.41</v>
      </c>
      <c r="AF312">
        <v>0</v>
      </c>
      <c r="AG312">
        <v>0</v>
      </c>
      <c r="AH312">
        <v>0</v>
      </c>
      <c r="AI312">
        <v>6.71</v>
      </c>
      <c r="AJ312">
        <v>1</v>
      </c>
      <c r="AK312">
        <v>1</v>
      </c>
      <c r="AL312">
        <v>1</v>
      </c>
      <c r="AN312">
        <v>0</v>
      </c>
      <c r="AO312">
        <v>0</v>
      </c>
      <c r="AP312">
        <v>0</v>
      </c>
      <c r="AQ312">
        <v>0</v>
      </c>
      <c r="AR312">
        <v>0</v>
      </c>
      <c r="AS312" t="s">
        <v>6</v>
      </c>
      <c r="AT312">
        <v>0.1</v>
      </c>
      <c r="AU312" t="s">
        <v>6</v>
      </c>
      <c r="AV312">
        <v>0</v>
      </c>
      <c r="AW312">
        <v>1</v>
      </c>
      <c r="AX312">
        <v>-1</v>
      </c>
      <c r="AY312">
        <v>0</v>
      </c>
      <c r="AZ312">
        <v>0</v>
      </c>
      <c r="BA312" t="s">
        <v>6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Y312*Source!I200</f>
        <v>0.25600000000000001</v>
      </c>
      <c r="CY312">
        <f>AA312</f>
        <v>46435.95</v>
      </c>
      <c r="CZ312">
        <f>AE312</f>
        <v>6920.41</v>
      </c>
      <c r="DA312">
        <f>AI312</f>
        <v>6.71</v>
      </c>
      <c r="DB312">
        <f t="shared" si="43"/>
        <v>692.04</v>
      </c>
      <c r="DC312">
        <f t="shared" si="44"/>
        <v>0</v>
      </c>
    </row>
    <row r="313" spans="1:107" x14ac:dyDescent="0.2">
      <c r="A313">
        <f>ROW(Source!A200)</f>
        <v>200</v>
      </c>
      <c r="B313">
        <v>16812721</v>
      </c>
      <c r="C313">
        <v>16813596</v>
      </c>
      <c r="D313">
        <v>15164559</v>
      </c>
      <c r="E313">
        <v>17</v>
      </c>
      <c r="F313">
        <v>1</v>
      </c>
      <c r="G313">
        <v>1</v>
      </c>
      <c r="H313">
        <v>3</v>
      </c>
      <c r="I313" t="s">
        <v>989</v>
      </c>
      <c r="J313" t="s">
        <v>6</v>
      </c>
      <c r="K313" t="s">
        <v>990</v>
      </c>
      <c r="L313">
        <v>1374</v>
      </c>
      <c r="N313">
        <v>1013</v>
      </c>
      <c r="O313" t="s">
        <v>991</v>
      </c>
      <c r="P313" t="s">
        <v>991</v>
      </c>
      <c r="Q313">
        <v>1</v>
      </c>
      <c r="W313">
        <v>0</v>
      </c>
      <c r="X313">
        <v>-1731369543</v>
      </c>
      <c r="Y313">
        <v>0.71</v>
      </c>
      <c r="AA313">
        <v>1</v>
      </c>
      <c r="AB313">
        <v>0</v>
      </c>
      <c r="AC313">
        <v>0</v>
      </c>
      <c r="AD313">
        <v>0</v>
      </c>
      <c r="AE313">
        <v>1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0.71</v>
      </c>
      <c r="AU313" t="s">
        <v>6</v>
      </c>
      <c r="AV313">
        <v>0</v>
      </c>
      <c r="AW313">
        <v>2</v>
      </c>
      <c r="AX313">
        <v>16813613</v>
      </c>
      <c r="AY313">
        <v>1</v>
      </c>
      <c r="AZ313">
        <v>0</v>
      </c>
      <c r="BA313">
        <v>304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Y313*Source!I200</f>
        <v>1.8175999999999999</v>
      </c>
      <c r="CY313">
        <f>AA313</f>
        <v>1</v>
      </c>
      <c r="CZ313">
        <f>AE313</f>
        <v>1</v>
      </c>
      <c r="DA313">
        <f>AI313</f>
        <v>1</v>
      </c>
      <c r="DB313">
        <f t="shared" si="43"/>
        <v>0.71</v>
      </c>
      <c r="DC313">
        <f t="shared" si="44"/>
        <v>0</v>
      </c>
    </row>
    <row r="314" spans="1:107" x14ac:dyDescent="0.2">
      <c r="A314">
        <f>ROW(Source!A202)</f>
        <v>202</v>
      </c>
      <c r="B314">
        <v>16812721</v>
      </c>
      <c r="C314">
        <v>16813615</v>
      </c>
      <c r="D314">
        <v>15430397</v>
      </c>
      <c r="E314">
        <v>1</v>
      </c>
      <c r="F314">
        <v>1</v>
      </c>
      <c r="G314">
        <v>1</v>
      </c>
      <c r="H314">
        <v>1</v>
      </c>
      <c r="I314" t="s">
        <v>838</v>
      </c>
      <c r="J314" t="s">
        <v>6</v>
      </c>
      <c r="K314" t="s">
        <v>839</v>
      </c>
      <c r="L314">
        <v>1191</v>
      </c>
      <c r="N314">
        <v>1013</v>
      </c>
      <c r="O314" t="s">
        <v>773</v>
      </c>
      <c r="P314" t="s">
        <v>773</v>
      </c>
      <c r="Q314">
        <v>1</v>
      </c>
      <c r="W314">
        <v>0</v>
      </c>
      <c r="X314">
        <v>-1081351934</v>
      </c>
      <c r="Y314">
        <v>6.29</v>
      </c>
      <c r="AA314">
        <v>0</v>
      </c>
      <c r="AB314">
        <v>0</v>
      </c>
      <c r="AC314">
        <v>0</v>
      </c>
      <c r="AD314">
        <v>63.07</v>
      </c>
      <c r="AE314">
        <v>0</v>
      </c>
      <c r="AF314">
        <v>0</v>
      </c>
      <c r="AG314">
        <v>0</v>
      </c>
      <c r="AH314">
        <v>9.4</v>
      </c>
      <c r="AI314">
        <v>1</v>
      </c>
      <c r="AJ314">
        <v>1</v>
      </c>
      <c r="AK314">
        <v>1</v>
      </c>
      <c r="AL314">
        <v>6.71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6</v>
      </c>
      <c r="AT314">
        <v>6.29</v>
      </c>
      <c r="AU314" t="s">
        <v>6</v>
      </c>
      <c r="AV314">
        <v>1</v>
      </c>
      <c r="AW314">
        <v>2</v>
      </c>
      <c r="AX314">
        <v>16813627</v>
      </c>
      <c r="AY314">
        <v>1</v>
      </c>
      <c r="AZ314">
        <v>0</v>
      </c>
      <c r="BA314">
        <v>305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Y314*Source!I202</f>
        <v>22.0779</v>
      </c>
      <c r="CY314">
        <f>AD314</f>
        <v>63.07</v>
      </c>
      <c r="CZ314">
        <f>AH314</f>
        <v>9.4</v>
      </c>
      <c r="DA314">
        <f>AL314</f>
        <v>6.71</v>
      </c>
      <c r="DB314">
        <f t="shared" si="43"/>
        <v>59.13</v>
      </c>
      <c r="DC314">
        <f t="shared" si="44"/>
        <v>0</v>
      </c>
    </row>
    <row r="315" spans="1:107" x14ac:dyDescent="0.2">
      <c r="A315">
        <f>ROW(Source!A202)</f>
        <v>202</v>
      </c>
      <c r="B315">
        <v>16812721</v>
      </c>
      <c r="C315">
        <v>16813615</v>
      </c>
      <c r="D315">
        <v>15430395</v>
      </c>
      <c r="E315">
        <v>1</v>
      </c>
      <c r="F315">
        <v>1</v>
      </c>
      <c r="G315">
        <v>1</v>
      </c>
      <c r="H315">
        <v>1</v>
      </c>
      <c r="I315" t="s">
        <v>774</v>
      </c>
      <c r="J315" t="s">
        <v>6</v>
      </c>
      <c r="K315" t="s">
        <v>775</v>
      </c>
      <c r="L315">
        <v>1191</v>
      </c>
      <c r="N315">
        <v>1013</v>
      </c>
      <c r="O315" t="s">
        <v>773</v>
      </c>
      <c r="P315" t="s">
        <v>773</v>
      </c>
      <c r="Q315">
        <v>1</v>
      </c>
      <c r="W315">
        <v>0</v>
      </c>
      <c r="X315">
        <v>-1417349443</v>
      </c>
      <c r="Y315">
        <v>0.06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6.71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6</v>
      </c>
      <c r="AT315">
        <v>0.06</v>
      </c>
      <c r="AU315" t="s">
        <v>6</v>
      </c>
      <c r="AV315">
        <v>2</v>
      </c>
      <c r="AW315">
        <v>2</v>
      </c>
      <c r="AX315">
        <v>16813628</v>
      </c>
      <c r="AY315">
        <v>1</v>
      </c>
      <c r="AZ315">
        <v>0</v>
      </c>
      <c r="BA315">
        <v>306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Y315*Source!I202</f>
        <v>0.21059999999999998</v>
      </c>
      <c r="CY315">
        <f>AD315</f>
        <v>0</v>
      </c>
      <c r="CZ315">
        <f>AH315</f>
        <v>0</v>
      </c>
      <c r="DA315">
        <f>AL315</f>
        <v>1</v>
      </c>
      <c r="DB315">
        <f t="shared" si="43"/>
        <v>0</v>
      </c>
      <c r="DC315">
        <f t="shared" si="44"/>
        <v>0</v>
      </c>
    </row>
    <row r="316" spans="1:107" x14ac:dyDescent="0.2">
      <c r="A316">
        <f>ROW(Source!A202)</f>
        <v>202</v>
      </c>
      <c r="B316">
        <v>16812721</v>
      </c>
      <c r="C316">
        <v>16813615</v>
      </c>
      <c r="D316">
        <v>15247680</v>
      </c>
      <c r="E316">
        <v>1</v>
      </c>
      <c r="F316">
        <v>1</v>
      </c>
      <c r="G316">
        <v>1</v>
      </c>
      <c r="H316">
        <v>2</v>
      </c>
      <c r="I316" t="s">
        <v>959</v>
      </c>
      <c r="J316" t="s">
        <v>960</v>
      </c>
      <c r="K316" t="s">
        <v>961</v>
      </c>
      <c r="L316">
        <v>1368</v>
      </c>
      <c r="N316">
        <v>1011</v>
      </c>
      <c r="O316" t="s">
        <v>779</v>
      </c>
      <c r="P316" t="s">
        <v>779</v>
      </c>
      <c r="Q316">
        <v>1</v>
      </c>
      <c r="W316">
        <v>0</v>
      </c>
      <c r="X316">
        <v>-1718674368</v>
      </c>
      <c r="Y316">
        <v>0.03</v>
      </c>
      <c r="AA316">
        <v>0</v>
      </c>
      <c r="AB316">
        <v>751.45</v>
      </c>
      <c r="AC316">
        <v>13.5</v>
      </c>
      <c r="AD316">
        <v>0</v>
      </c>
      <c r="AE316">
        <v>0</v>
      </c>
      <c r="AF316">
        <v>111.99</v>
      </c>
      <c r="AG316">
        <v>13.5</v>
      </c>
      <c r="AH316">
        <v>0</v>
      </c>
      <c r="AI316">
        <v>1</v>
      </c>
      <c r="AJ316">
        <v>6.71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0.03</v>
      </c>
      <c r="AU316" t="s">
        <v>6</v>
      </c>
      <c r="AV316">
        <v>0</v>
      </c>
      <c r="AW316">
        <v>2</v>
      </c>
      <c r="AX316">
        <v>16813629</v>
      </c>
      <c r="AY316">
        <v>1</v>
      </c>
      <c r="AZ316">
        <v>0</v>
      </c>
      <c r="BA316">
        <v>307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Y316*Source!I202</f>
        <v>0.10529999999999999</v>
      </c>
      <c r="CY316">
        <f>AB316</f>
        <v>751.45</v>
      </c>
      <c r="CZ316">
        <f>AF316</f>
        <v>111.99</v>
      </c>
      <c r="DA316">
        <f>AJ316</f>
        <v>6.71</v>
      </c>
      <c r="DB316">
        <f t="shared" si="43"/>
        <v>3.36</v>
      </c>
      <c r="DC316">
        <f t="shared" si="44"/>
        <v>0.41</v>
      </c>
    </row>
    <row r="317" spans="1:107" x14ac:dyDescent="0.2">
      <c r="A317">
        <f>ROW(Source!A202)</f>
        <v>202</v>
      </c>
      <c r="B317">
        <v>16812721</v>
      </c>
      <c r="C317">
        <v>16813615</v>
      </c>
      <c r="D317">
        <v>15249073</v>
      </c>
      <c r="E317">
        <v>1</v>
      </c>
      <c r="F317">
        <v>1</v>
      </c>
      <c r="G317">
        <v>1</v>
      </c>
      <c r="H317">
        <v>2</v>
      </c>
      <c r="I317" t="s">
        <v>782</v>
      </c>
      <c r="J317" t="s">
        <v>783</v>
      </c>
      <c r="K317" t="s">
        <v>784</v>
      </c>
      <c r="L317">
        <v>1368</v>
      </c>
      <c r="N317">
        <v>1011</v>
      </c>
      <c r="O317" t="s">
        <v>779</v>
      </c>
      <c r="P317" t="s">
        <v>779</v>
      </c>
      <c r="Q317">
        <v>1</v>
      </c>
      <c r="W317">
        <v>0</v>
      </c>
      <c r="X317">
        <v>1372534845</v>
      </c>
      <c r="Y317">
        <v>0.03</v>
      </c>
      <c r="AA317">
        <v>0</v>
      </c>
      <c r="AB317">
        <v>440.91</v>
      </c>
      <c r="AC317">
        <v>11.6</v>
      </c>
      <c r="AD317">
        <v>0</v>
      </c>
      <c r="AE317">
        <v>0</v>
      </c>
      <c r="AF317">
        <v>65.709999999999994</v>
      </c>
      <c r="AG317">
        <v>11.6</v>
      </c>
      <c r="AH317">
        <v>0</v>
      </c>
      <c r="AI317">
        <v>1</v>
      </c>
      <c r="AJ317">
        <v>6.71</v>
      </c>
      <c r="AK317">
        <v>1</v>
      </c>
      <c r="AL317">
        <v>1</v>
      </c>
      <c r="AN317">
        <v>0</v>
      </c>
      <c r="AO317">
        <v>1</v>
      </c>
      <c r="AP317">
        <v>0</v>
      </c>
      <c r="AQ317">
        <v>0</v>
      </c>
      <c r="AR317">
        <v>0</v>
      </c>
      <c r="AS317" t="s">
        <v>6</v>
      </c>
      <c r="AT317">
        <v>0.03</v>
      </c>
      <c r="AU317" t="s">
        <v>6</v>
      </c>
      <c r="AV317">
        <v>0</v>
      </c>
      <c r="AW317">
        <v>2</v>
      </c>
      <c r="AX317">
        <v>16813630</v>
      </c>
      <c r="AY317">
        <v>1</v>
      </c>
      <c r="AZ317">
        <v>0</v>
      </c>
      <c r="BA317">
        <v>308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Y317*Source!I202</f>
        <v>0.10529999999999999</v>
      </c>
      <c r="CY317">
        <f>AB317</f>
        <v>440.91</v>
      </c>
      <c r="CZ317">
        <f>AF317</f>
        <v>65.709999999999994</v>
      </c>
      <c r="DA317">
        <f>AJ317</f>
        <v>6.71</v>
      </c>
      <c r="DB317">
        <f t="shared" si="43"/>
        <v>1.97</v>
      </c>
      <c r="DC317">
        <f t="shared" si="44"/>
        <v>0.35</v>
      </c>
    </row>
    <row r="318" spans="1:107" x14ac:dyDescent="0.2">
      <c r="A318">
        <f>ROW(Source!A202)</f>
        <v>202</v>
      </c>
      <c r="B318">
        <v>16812721</v>
      </c>
      <c r="C318">
        <v>16813615</v>
      </c>
      <c r="D318">
        <v>15167588</v>
      </c>
      <c r="E318">
        <v>1</v>
      </c>
      <c r="F318">
        <v>1</v>
      </c>
      <c r="G318">
        <v>1</v>
      </c>
      <c r="H318">
        <v>3</v>
      </c>
      <c r="I318" t="s">
        <v>1006</v>
      </c>
      <c r="J318" t="s">
        <v>1007</v>
      </c>
      <c r="K318" t="s">
        <v>1008</v>
      </c>
      <c r="L318">
        <v>1346</v>
      </c>
      <c r="N318">
        <v>1009</v>
      </c>
      <c r="O318" t="s">
        <v>277</v>
      </c>
      <c r="P318" t="s">
        <v>277</v>
      </c>
      <c r="Q318">
        <v>1</v>
      </c>
      <c r="W318">
        <v>0</v>
      </c>
      <c r="X318">
        <v>-1088866022</v>
      </c>
      <c r="Y318">
        <v>0.32</v>
      </c>
      <c r="AA318">
        <v>203.98</v>
      </c>
      <c r="AB318">
        <v>0</v>
      </c>
      <c r="AC318">
        <v>0</v>
      </c>
      <c r="AD318">
        <v>0</v>
      </c>
      <c r="AE318">
        <v>30.4</v>
      </c>
      <c r="AF318">
        <v>0</v>
      </c>
      <c r="AG318">
        <v>0</v>
      </c>
      <c r="AH318">
        <v>0</v>
      </c>
      <c r="AI318">
        <v>6.71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0.32</v>
      </c>
      <c r="AU318" t="s">
        <v>6</v>
      </c>
      <c r="AV318">
        <v>0</v>
      </c>
      <c r="AW318">
        <v>2</v>
      </c>
      <c r="AX318">
        <v>16813631</v>
      </c>
      <c r="AY318">
        <v>1</v>
      </c>
      <c r="AZ318">
        <v>0</v>
      </c>
      <c r="BA318">
        <v>309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Y318*Source!I202</f>
        <v>1.1232</v>
      </c>
      <c r="CY318">
        <f t="shared" ref="CY318:CY324" si="45">AA318</f>
        <v>203.98</v>
      </c>
      <c r="CZ318">
        <f t="shared" ref="CZ318:CZ324" si="46">AE318</f>
        <v>30.4</v>
      </c>
      <c r="DA318">
        <f t="shared" ref="DA318:DA324" si="47">AI318</f>
        <v>6.71</v>
      </c>
      <c r="DB318">
        <f t="shared" si="43"/>
        <v>9.73</v>
      </c>
      <c r="DC318">
        <f t="shared" si="44"/>
        <v>0</v>
      </c>
    </row>
    <row r="319" spans="1:107" x14ac:dyDescent="0.2">
      <c r="A319">
        <f>ROW(Source!A202)</f>
        <v>202</v>
      </c>
      <c r="B319">
        <v>16812721</v>
      </c>
      <c r="C319">
        <v>16813615</v>
      </c>
      <c r="D319">
        <v>15167867</v>
      </c>
      <c r="E319">
        <v>1</v>
      </c>
      <c r="F319">
        <v>1</v>
      </c>
      <c r="G319">
        <v>1</v>
      </c>
      <c r="H319">
        <v>3</v>
      </c>
      <c r="I319" t="s">
        <v>1055</v>
      </c>
      <c r="J319" t="s">
        <v>1056</v>
      </c>
      <c r="K319" t="s">
        <v>1057</v>
      </c>
      <c r="L319">
        <v>1348</v>
      </c>
      <c r="N319">
        <v>1009</v>
      </c>
      <c r="O319" t="s">
        <v>145</v>
      </c>
      <c r="P319" t="s">
        <v>145</v>
      </c>
      <c r="Q319">
        <v>1000</v>
      </c>
      <c r="W319">
        <v>0</v>
      </c>
      <c r="X319">
        <v>1012095217</v>
      </c>
      <c r="Y319">
        <v>1.0499999999999999E-3</v>
      </c>
      <c r="AA319">
        <v>12212.2</v>
      </c>
      <c r="AB319">
        <v>0</v>
      </c>
      <c r="AC319">
        <v>0</v>
      </c>
      <c r="AD319">
        <v>0</v>
      </c>
      <c r="AE319">
        <v>1820</v>
      </c>
      <c r="AF319">
        <v>0</v>
      </c>
      <c r="AG319">
        <v>0</v>
      </c>
      <c r="AH319">
        <v>0</v>
      </c>
      <c r="AI319">
        <v>6.71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6</v>
      </c>
      <c r="AT319">
        <v>1.0499999999999999E-3</v>
      </c>
      <c r="AU319" t="s">
        <v>6</v>
      </c>
      <c r="AV319">
        <v>0</v>
      </c>
      <c r="AW319">
        <v>2</v>
      </c>
      <c r="AX319">
        <v>16813632</v>
      </c>
      <c r="AY319">
        <v>1</v>
      </c>
      <c r="AZ319">
        <v>0</v>
      </c>
      <c r="BA319">
        <v>310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Y319*Source!I202</f>
        <v>3.6854999999999995E-3</v>
      </c>
      <c r="CY319">
        <f t="shared" si="45"/>
        <v>12212.2</v>
      </c>
      <c r="CZ319">
        <f t="shared" si="46"/>
        <v>1820</v>
      </c>
      <c r="DA319">
        <f t="shared" si="47"/>
        <v>6.71</v>
      </c>
      <c r="DB319">
        <f t="shared" si="43"/>
        <v>1.91</v>
      </c>
      <c r="DC319">
        <f t="shared" si="44"/>
        <v>0</v>
      </c>
    </row>
    <row r="320" spans="1:107" x14ac:dyDescent="0.2">
      <c r="A320">
        <f>ROW(Source!A202)</f>
        <v>202</v>
      </c>
      <c r="B320">
        <v>16812721</v>
      </c>
      <c r="C320">
        <v>16813615</v>
      </c>
      <c r="D320">
        <v>15203834</v>
      </c>
      <c r="E320">
        <v>1</v>
      </c>
      <c r="F320">
        <v>1</v>
      </c>
      <c r="G320">
        <v>1</v>
      </c>
      <c r="H320">
        <v>3</v>
      </c>
      <c r="I320" t="s">
        <v>1024</v>
      </c>
      <c r="J320" t="s">
        <v>1025</v>
      </c>
      <c r="K320" t="s">
        <v>320</v>
      </c>
      <c r="L320">
        <v>1346</v>
      </c>
      <c r="N320">
        <v>1009</v>
      </c>
      <c r="O320" t="s">
        <v>277</v>
      </c>
      <c r="P320" t="s">
        <v>277</v>
      </c>
      <c r="Q320">
        <v>1</v>
      </c>
      <c r="W320">
        <v>0</v>
      </c>
      <c r="X320">
        <v>210558753</v>
      </c>
      <c r="Y320">
        <v>0.02</v>
      </c>
      <c r="AA320">
        <v>191.91</v>
      </c>
      <c r="AB320">
        <v>0</v>
      </c>
      <c r="AC320">
        <v>0</v>
      </c>
      <c r="AD320">
        <v>0</v>
      </c>
      <c r="AE320">
        <v>28.6</v>
      </c>
      <c r="AF320">
        <v>0</v>
      </c>
      <c r="AG320">
        <v>0</v>
      </c>
      <c r="AH320">
        <v>0</v>
      </c>
      <c r="AI320">
        <v>6.71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0</v>
      </c>
      <c r="AQ320">
        <v>0</v>
      </c>
      <c r="AR320">
        <v>0</v>
      </c>
      <c r="AS320" t="s">
        <v>6</v>
      </c>
      <c r="AT320">
        <v>0.02</v>
      </c>
      <c r="AU320" t="s">
        <v>6</v>
      </c>
      <c r="AV320">
        <v>0</v>
      </c>
      <c r="AW320">
        <v>2</v>
      </c>
      <c r="AX320">
        <v>16813633</v>
      </c>
      <c r="AY320">
        <v>1</v>
      </c>
      <c r="AZ320">
        <v>0</v>
      </c>
      <c r="BA320">
        <v>311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Y320*Source!I202</f>
        <v>7.0199999999999999E-2</v>
      </c>
      <c r="CY320">
        <f t="shared" si="45"/>
        <v>191.91</v>
      </c>
      <c r="CZ320">
        <f t="shared" si="46"/>
        <v>28.6</v>
      </c>
      <c r="DA320">
        <f t="shared" si="47"/>
        <v>6.71</v>
      </c>
      <c r="DB320">
        <f t="shared" si="43"/>
        <v>0.56999999999999995</v>
      </c>
      <c r="DC320">
        <f t="shared" si="44"/>
        <v>0</v>
      </c>
    </row>
    <row r="321" spans="1:107" x14ac:dyDescent="0.2">
      <c r="A321">
        <f>ROW(Source!A202)</f>
        <v>202</v>
      </c>
      <c r="B321">
        <v>16812721</v>
      </c>
      <c r="C321">
        <v>16813615</v>
      </c>
      <c r="D321">
        <v>15217529</v>
      </c>
      <c r="E321">
        <v>1</v>
      </c>
      <c r="F321">
        <v>1</v>
      </c>
      <c r="G321">
        <v>1</v>
      </c>
      <c r="H321">
        <v>3</v>
      </c>
      <c r="I321" t="s">
        <v>1058</v>
      </c>
      <c r="J321" t="s">
        <v>1059</v>
      </c>
      <c r="K321" t="s">
        <v>1060</v>
      </c>
      <c r="L321">
        <v>1355</v>
      </c>
      <c r="N321">
        <v>1010</v>
      </c>
      <c r="O321" t="s">
        <v>188</v>
      </c>
      <c r="P321" t="s">
        <v>188</v>
      </c>
      <c r="Q321">
        <v>100</v>
      </c>
      <c r="W321">
        <v>0</v>
      </c>
      <c r="X321">
        <v>-1427219203</v>
      </c>
      <c r="Y321">
        <v>0.05</v>
      </c>
      <c r="AA321">
        <v>959.53</v>
      </c>
      <c r="AB321">
        <v>0</v>
      </c>
      <c r="AC321">
        <v>0</v>
      </c>
      <c r="AD321">
        <v>0</v>
      </c>
      <c r="AE321">
        <v>143</v>
      </c>
      <c r="AF321">
        <v>0</v>
      </c>
      <c r="AG321">
        <v>0</v>
      </c>
      <c r="AH321">
        <v>0</v>
      </c>
      <c r="AI321">
        <v>6.71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0.05</v>
      </c>
      <c r="AU321" t="s">
        <v>6</v>
      </c>
      <c r="AV321">
        <v>0</v>
      </c>
      <c r="AW321">
        <v>2</v>
      </c>
      <c r="AX321">
        <v>16813634</v>
      </c>
      <c r="AY321">
        <v>1</v>
      </c>
      <c r="AZ321">
        <v>0</v>
      </c>
      <c r="BA321">
        <v>312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Y321*Source!I202</f>
        <v>0.17549999999999999</v>
      </c>
      <c r="CY321">
        <f t="shared" si="45"/>
        <v>959.53</v>
      </c>
      <c r="CZ321">
        <f t="shared" si="46"/>
        <v>143</v>
      </c>
      <c r="DA321">
        <f t="shared" si="47"/>
        <v>6.71</v>
      </c>
      <c r="DB321">
        <f t="shared" si="43"/>
        <v>7.15</v>
      </c>
      <c r="DC321">
        <f t="shared" si="44"/>
        <v>0</v>
      </c>
    </row>
    <row r="322" spans="1:107" x14ac:dyDescent="0.2">
      <c r="A322">
        <f>ROW(Source!A202)</f>
        <v>202</v>
      </c>
      <c r="B322">
        <v>16812721</v>
      </c>
      <c r="C322">
        <v>16813615</v>
      </c>
      <c r="D322">
        <v>15217579</v>
      </c>
      <c r="E322">
        <v>1</v>
      </c>
      <c r="F322">
        <v>1</v>
      </c>
      <c r="G322">
        <v>1</v>
      </c>
      <c r="H322">
        <v>3</v>
      </c>
      <c r="I322" t="s">
        <v>1061</v>
      </c>
      <c r="J322" t="s">
        <v>1062</v>
      </c>
      <c r="K322" t="s">
        <v>1063</v>
      </c>
      <c r="L322">
        <v>1356</v>
      </c>
      <c r="N322">
        <v>1010</v>
      </c>
      <c r="O322" t="s">
        <v>882</v>
      </c>
      <c r="P322" t="s">
        <v>882</v>
      </c>
      <c r="Q322">
        <v>1000</v>
      </c>
      <c r="W322">
        <v>0</v>
      </c>
      <c r="X322">
        <v>2033598199</v>
      </c>
      <c r="Y322">
        <v>1.2200000000000001E-2</v>
      </c>
      <c r="AA322">
        <v>1182.3699999999999</v>
      </c>
      <c r="AB322">
        <v>0</v>
      </c>
      <c r="AC322">
        <v>0</v>
      </c>
      <c r="AD322">
        <v>0</v>
      </c>
      <c r="AE322">
        <v>176.21</v>
      </c>
      <c r="AF322">
        <v>0</v>
      </c>
      <c r="AG322">
        <v>0</v>
      </c>
      <c r="AH322">
        <v>0</v>
      </c>
      <c r="AI322">
        <v>6.71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1.2200000000000001E-2</v>
      </c>
      <c r="AU322" t="s">
        <v>6</v>
      </c>
      <c r="AV322">
        <v>0</v>
      </c>
      <c r="AW322">
        <v>2</v>
      </c>
      <c r="AX322">
        <v>16813635</v>
      </c>
      <c r="AY322">
        <v>1</v>
      </c>
      <c r="AZ322">
        <v>0</v>
      </c>
      <c r="BA322">
        <v>313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Y322*Source!I202</f>
        <v>4.2821999999999999E-2</v>
      </c>
      <c r="CY322">
        <f t="shared" si="45"/>
        <v>1182.3699999999999</v>
      </c>
      <c r="CZ322">
        <f t="shared" si="46"/>
        <v>176.21</v>
      </c>
      <c r="DA322">
        <f t="shared" si="47"/>
        <v>6.71</v>
      </c>
      <c r="DB322">
        <f t="shared" si="43"/>
        <v>2.15</v>
      </c>
      <c r="DC322">
        <f t="shared" si="44"/>
        <v>0</v>
      </c>
    </row>
    <row r="323" spans="1:107" x14ac:dyDescent="0.2">
      <c r="A323">
        <f>ROW(Source!A202)</f>
        <v>202</v>
      </c>
      <c r="B323">
        <v>16812721</v>
      </c>
      <c r="C323">
        <v>16813615</v>
      </c>
      <c r="D323">
        <v>15223029</v>
      </c>
      <c r="E323">
        <v>1</v>
      </c>
      <c r="F323">
        <v>1</v>
      </c>
      <c r="G323">
        <v>1</v>
      </c>
      <c r="H323">
        <v>3</v>
      </c>
      <c r="I323" t="s">
        <v>539</v>
      </c>
      <c r="J323" t="s">
        <v>542</v>
      </c>
      <c r="K323" t="s">
        <v>540</v>
      </c>
      <c r="L323">
        <v>1477</v>
      </c>
      <c r="N323">
        <v>1013</v>
      </c>
      <c r="O323" t="s">
        <v>541</v>
      </c>
      <c r="P323" t="s">
        <v>543</v>
      </c>
      <c r="Q323">
        <v>1</v>
      </c>
      <c r="W323">
        <v>0</v>
      </c>
      <c r="X323">
        <v>559331636</v>
      </c>
      <c r="Y323">
        <v>0.1</v>
      </c>
      <c r="AA323">
        <v>46435.95</v>
      </c>
      <c r="AB323">
        <v>0</v>
      </c>
      <c r="AC323">
        <v>0</v>
      </c>
      <c r="AD323">
        <v>0</v>
      </c>
      <c r="AE323">
        <v>6920.41</v>
      </c>
      <c r="AF323">
        <v>0</v>
      </c>
      <c r="AG323">
        <v>0</v>
      </c>
      <c r="AH323">
        <v>0</v>
      </c>
      <c r="AI323">
        <v>6.71</v>
      </c>
      <c r="AJ323">
        <v>1</v>
      </c>
      <c r="AK323">
        <v>1</v>
      </c>
      <c r="AL323">
        <v>1</v>
      </c>
      <c r="AN323">
        <v>0</v>
      </c>
      <c r="AO323">
        <v>0</v>
      </c>
      <c r="AP323">
        <v>0</v>
      </c>
      <c r="AQ323">
        <v>0</v>
      </c>
      <c r="AR323">
        <v>0</v>
      </c>
      <c r="AS323" t="s">
        <v>6</v>
      </c>
      <c r="AT323">
        <v>0.1</v>
      </c>
      <c r="AU323" t="s">
        <v>6</v>
      </c>
      <c r="AV323">
        <v>0</v>
      </c>
      <c r="AW323">
        <v>1</v>
      </c>
      <c r="AX323">
        <v>-1</v>
      </c>
      <c r="AY323">
        <v>0</v>
      </c>
      <c r="AZ323">
        <v>0</v>
      </c>
      <c r="BA323" t="s">
        <v>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Y323*Source!I202</f>
        <v>0.35099999999999998</v>
      </c>
      <c r="CY323">
        <f t="shared" si="45"/>
        <v>46435.95</v>
      </c>
      <c r="CZ323">
        <f t="shared" si="46"/>
        <v>6920.41</v>
      </c>
      <c r="DA323">
        <f t="shared" si="47"/>
        <v>6.71</v>
      </c>
      <c r="DB323">
        <f t="shared" si="43"/>
        <v>692.04</v>
      </c>
      <c r="DC323">
        <f t="shared" si="44"/>
        <v>0</v>
      </c>
    </row>
    <row r="324" spans="1:107" x14ac:dyDescent="0.2">
      <c r="A324">
        <f>ROW(Source!A202)</f>
        <v>202</v>
      </c>
      <c r="B324">
        <v>16812721</v>
      </c>
      <c r="C324">
        <v>16813615</v>
      </c>
      <c r="D324">
        <v>15164559</v>
      </c>
      <c r="E324">
        <v>17</v>
      </c>
      <c r="F324">
        <v>1</v>
      </c>
      <c r="G324">
        <v>1</v>
      </c>
      <c r="H324">
        <v>3</v>
      </c>
      <c r="I324" t="s">
        <v>989</v>
      </c>
      <c r="J324" t="s">
        <v>6</v>
      </c>
      <c r="K324" t="s">
        <v>990</v>
      </c>
      <c r="L324">
        <v>1374</v>
      </c>
      <c r="N324">
        <v>1013</v>
      </c>
      <c r="O324" t="s">
        <v>991</v>
      </c>
      <c r="P324" t="s">
        <v>991</v>
      </c>
      <c r="Q324">
        <v>1</v>
      </c>
      <c r="W324">
        <v>0</v>
      </c>
      <c r="X324">
        <v>-1731369543</v>
      </c>
      <c r="Y324">
        <v>1.18</v>
      </c>
      <c r="AA324">
        <v>1</v>
      </c>
      <c r="AB324">
        <v>0</v>
      </c>
      <c r="AC324">
        <v>0</v>
      </c>
      <c r="AD324">
        <v>0</v>
      </c>
      <c r="AE324">
        <v>1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1.18</v>
      </c>
      <c r="AU324" t="s">
        <v>6</v>
      </c>
      <c r="AV324">
        <v>0</v>
      </c>
      <c r="AW324">
        <v>2</v>
      </c>
      <c r="AX324">
        <v>16813636</v>
      </c>
      <c r="AY324">
        <v>1</v>
      </c>
      <c r="AZ324">
        <v>0</v>
      </c>
      <c r="BA324">
        <v>314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Y324*Source!I202</f>
        <v>4.1417999999999999</v>
      </c>
      <c r="CY324">
        <f t="shared" si="45"/>
        <v>1</v>
      </c>
      <c r="CZ324">
        <f t="shared" si="46"/>
        <v>1</v>
      </c>
      <c r="DA324">
        <f t="shared" si="47"/>
        <v>1</v>
      </c>
      <c r="DB324">
        <f t="shared" si="43"/>
        <v>1.18</v>
      </c>
      <c r="DC324">
        <f t="shared" si="44"/>
        <v>0</v>
      </c>
    </row>
    <row r="325" spans="1:107" x14ac:dyDescent="0.2">
      <c r="A325">
        <f>ROW(Source!A204)</f>
        <v>204</v>
      </c>
      <c r="B325">
        <v>16812721</v>
      </c>
      <c r="C325">
        <v>16814314</v>
      </c>
      <c r="D325">
        <v>15436556</v>
      </c>
      <c r="E325">
        <v>1</v>
      </c>
      <c r="F325">
        <v>1</v>
      </c>
      <c r="G325">
        <v>1</v>
      </c>
      <c r="H325">
        <v>1</v>
      </c>
      <c r="I325" t="s">
        <v>833</v>
      </c>
      <c r="J325" t="s">
        <v>6</v>
      </c>
      <c r="K325" t="s">
        <v>834</v>
      </c>
      <c r="L325">
        <v>1191</v>
      </c>
      <c r="N325">
        <v>1013</v>
      </c>
      <c r="O325" t="s">
        <v>773</v>
      </c>
      <c r="P325" t="s">
        <v>773</v>
      </c>
      <c r="Q325">
        <v>1</v>
      </c>
      <c r="W325">
        <v>0</v>
      </c>
      <c r="X325">
        <v>1069510174</v>
      </c>
      <c r="Y325">
        <v>14.13</v>
      </c>
      <c r="AA325">
        <v>0</v>
      </c>
      <c r="AB325">
        <v>0</v>
      </c>
      <c r="AC325">
        <v>0</v>
      </c>
      <c r="AD325">
        <v>64.55</v>
      </c>
      <c r="AE325">
        <v>0</v>
      </c>
      <c r="AF325">
        <v>0</v>
      </c>
      <c r="AG325">
        <v>0</v>
      </c>
      <c r="AH325">
        <v>9.6199999999999992</v>
      </c>
      <c r="AI325">
        <v>1</v>
      </c>
      <c r="AJ325">
        <v>1</v>
      </c>
      <c r="AK325">
        <v>1</v>
      </c>
      <c r="AL325">
        <v>6.71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6</v>
      </c>
      <c r="AT325">
        <v>14.13</v>
      </c>
      <c r="AU325" t="s">
        <v>6</v>
      </c>
      <c r="AV325">
        <v>1</v>
      </c>
      <c r="AW325">
        <v>2</v>
      </c>
      <c r="AX325">
        <v>16814315</v>
      </c>
      <c r="AY325">
        <v>1</v>
      </c>
      <c r="AZ325">
        <v>0</v>
      </c>
      <c r="BA325">
        <v>315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Y325*Source!I204</f>
        <v>18.651600000000002</v>
      </c>
      <c r="CY325">
        <f>AD325</f>
        <v>64.55</v>
      </c>
      <c r="CZ325">
        <f>AH325</f>
        <v>9.6199999999999992</v>
      </c>
      <c r="DA325">
        <f>AL325</f>
        <v>6.71</v>
      </c>
      <c r="DB325">
        <f t="shared" ref="DB325:DB356" si="48">ROUND(ROUND(AT325*CZ325,2),2)</f>
        <v>135.93</v>
      </c>
      <c r="DC325">
        <f t="shared" ref="DC325:DC356" si="49">ROUND(ROUND(AT325*AG325,2),2)</f>
        <v>0</v>
      </c>
    </row>
    <row r="326" spans="1:107" x14ac:dyDescent="0.2">
      <c r="A326">
        <f>ROW(Source!A204)</f>
        <v>204</v>
      </c>
      <c r="B326">
        <v>16812721</v>
      </c>
      <c r="C326">
        <v>16814314</v>
      </c>
      <c r="D326">
        <v>15430395</v>
      </c>
      <c r="E326">
        <v>1</v>
      </c>
      <c r="F326">
        <v>1</v>
      </c>
      <c r="G326">
        <v>1</v>
      </c>
      <c r="H326">
        <v>1</v>
      </c>
      <c r="I326" t="s">
        <v>774</v>
      </c>
      <c r="J326" t="s">
        <v>6</v>
      </c>
      <c r="K326" t="s">
        <v>775</v>
      </c>
      <c r="L326">
        <v>1191</v>
      </c>
      <c r="N326">
        <v>1013</v>
      </c>
      <c r="O326" t="s">
        <v>773</v>
      </c>
      <c r="P326" t="s">
        <v>773</v>
      </c>
      <c r="Q326">
        <v>1</v>
      </c>
      <c r="W326">
        <v>0</v>
      </c>
      <c r="X326">
        <v>-1417349443</v>
      </c>
      <c r="Y326">
        <v>0.4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6.71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0.4</v>
      </c>
      <c r="AU326" t="s">
        <v>6</v>
      </c>
      <c r="AV326">
        <v>2</v>
      </c>
      <c r="AW326">
        <v>2</v>
      </c>
      <c r="AX326">
        <v>16814316</v>
      </c>
      <c r="AY326">
        <v>1</v>
      </c>
      <c r="AZ326">
        <v>0</v>
      </c>
      <c r="BA326">
        <v>316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Y326*Source!I204</f>
        <v>0.52800000000000002</v>
      </c>
      <c r="CY326">
        <f>AD326</f>
        <v>0</v>
      </c>
      <c r="CZ326">
        <f>AH326</f>
        <v>0</v>
      </c>
      <c r="DA326">
        <f>AL326</f>
        <v>1</v>
      </c>
      <c r="DB326">
        <f t="shared" si="48"/>
        <v>0</v>
      </c>
      <c r="DC326">
        <f t="shared" si="49"/>
        <v>0</v>
      </c>
    </row>
    <row r="327" spans="1:107" x14ac:dyDescent="0.2">
      <c r="A327">
        <f>ROW(Source!A204)</f>
        <v>204</v>
      </c>
      <c r="B327">
        <v>16812721</v>
      </c>
      <c r="C327">
        <v>16814314</v>
      </c>
      <c r="D327">
        <v>15247680</v>
      </c>
      <c r="E327">
        <v>1</v>
      </c>
      <c r="F327">
        <v>1</v>
      </c>
      <c r="G327">
        <v>1</v>
      </c>
      <c r="H327">
        <v>2</v>
      </c>
      <c r="I327" t="s">
        <v>959</v>
      </c>
      <c r="J327" t="s">
        <v>960</v>
      </c>
      <c r="K327" t="s">
        <v>961</v>
      </c>
      <c r="L327">
        <v>1368</v>
      </c>
      <c r="N327">
        <v>1011</v>
      </c>
      <c r="O327" t="s">
        <v>779</v>
      </c>
      <c r="P327" t="s">
        <v>779</v>
      </c>
      <c r="Q327">
        <v>1</v>
      </c>
      <c r="W327">
        <v>0</v>
      </c>
      <c r="X327">
        <v>-1718674368</v>
      </c>
      <c r="Y327">
        <v>0.2</v>
      </c>
      <c r="AA327">
        <v>0</v>
      </c>
      <c r="AB327">
        <v>751.45</v>
      </c>
      <c r="AC327">
        <v>13.5</v>
      </c>
      <c r="AD327">
        <v>0</v>
      </c>
      <c r="AE327">
        <v>0</v>
      </c>
      <c r="AF327">
        <v>111.99</v>
      </c>
      <c r="AG327">
        <v>13.5</v>
      </c>
      <c r="AH327">
        <v>0</v>
      </c>
      <c r="AI327">
        <v>1</v>
      </c>
      <c r="AJ327">
        <v>6.71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0.2</v>
      </c>
      <c r="AU327" t="s">
        <v>6</v>
      </c>
      <c r="AV327">
        <v>0</v>
      </c>
      <c r="AW327">
        <v>2</v>
      </c>
      <c r="AX327">
        <v>16814317</v>
      </c>
      <c r="AY327">
        <v>1</v>
      </c>
      <c r="AZ327">
        <v>0</v>
      </c>
      <c r="BA327">
        <v>317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Y327*Source!I204</f>
        <v>0.26400000000000001</v>
      </c>
      <c r="CY327">
        <f>AB327</f>
        <v>751.45</v>
      </c>
      <c r="CZ327">
        <f>AF327</f>
        <v>111.99</v>
      </c>
      <c r="DA327">
        <f>AJ327</f>
        <v>6.71</v>
      </c>
      <c r="DB327">
        <f t="shared" si="48"/>
        <v>22.4</v>
      </c>
      <c r="DC327">
        <f t="shared" si="49"/>
        <v>2.7</v>
      </c>
    </row>
    <row r="328" spans="1:107" x14ac:dyDescent="0.2">
      <c r="A328">
        <f>ROW(Source!A204)</f>
        <v>204</v>
      </c>
      <c r="B328">
        <v>16812721</v>
      </c>
      <c r="C328">
        <v>16814314</v>
      </c>
      <c r="D328">
        <v>15247814</v>
      </c>
      <c r="E328">
        <v>1</v>
      </c>
      <c r="F328">
        <v>1</v>
      </c>
      <c r="G328">
        <v>1</v>
      </c>
      <c r="H328">
        <v>2</v>
      </c>
      <c r="I328" t="s">
        <v>1064</v>
      </c>
      <c r="J328" t="s">
        <v>1065</v>
      </c>
      <c r="K328" t="s">
        <v>1066</v>
      </c>
      <c r="L328">
        <v>1368</v>
      </c>
      <c r="N328">
        <v>1011</v>
      </c>
      <c r="O328" t="s">
        <v>779</v>
      </c>
      <c r="P328" t="s">
        <v>779</v>
      </c>
      <c r="Q328">
        <v>1</v>
      </c>
      <c r="W328">
        <v>0</v>
      </c>
      <c r="X328">
        <v>-1692889495</v>
      </c>
      <c r="Y328">
        <v>3.34</v>
      </c>
      <c r="AA328">
        <v>0</v>
      </c>
      <c r="AB328">
        <v>6.04</v>
      </c>
      <c r="AC328">
        <v>0</v>
      </c>
      <c r="AD328">
        <v>0</v>
      </c>
      <c r="AE328">
        <v>0</v>
      </c>
      <c r="AF328">
        <v>0.9</v>
      </c>
      <c r="AG328">
        <v>0</v>
      </c>
      <c r="AH328">
        <v>0</v>
      </c>
      <c r="AI328">
        <v>1</v>
      </c>
      <c r="AJ328">
        <v>6.71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6</v>
      </c>
      <c r="AT328">
        <v>3.34</v>
      </c>
      <c r="AU328" t="s">
        <v>6</v>
      </c>
      <c r="AV328">
        <v>0</v>
      </c>
      <c r="AW328">
        <v>2</v>
      </c>
      <c r="AX328">
        <v>16814318</v>
      </c>
      <c r="AY328">
        <v>1</v>
      </c>
      <c r="AZ328">
        <v>0</v>
      </c>
      <c r="BA328">
        <v>318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Y328*Source!I204</f>
        <v>4.4088000000000003</v>
      </c>
      <c r="CY328">
        <f>AB328</f>
        <v>6.04</v>
      </c>
      <c r="CZ328">
        <f>AF328</f>
        <v>0.9</v>
      </c>
      <c r="DA328">
        <f>AJ328</f>
        <v>6.71</v>
      </c>
      <c r="DB328">
        <f t="shared" si="48"/>
        <v>3.01</v>
      </c>
      <c r="DC328">
        <f t="shared" si="49"/>
        <v>0</v>
      </c>
    </row>
    <row r="329" spans="1:107" x14ac:dyDescent="0.2">
      <c r="A329">
        <f>ROW(Source!A204)</f>
        <v>204</v>
      </c>
      <c r="B329">
        <v>16812721</v>
      </c>
      <c r="C329">
        <v>16814314</v>
      </c>
      <c r="D329">
        <v>15247879</v>
      </c>
      <c r="E329">
        <v>1</v>
      </c>
      <c r="F329">
        <v>1</v>
      </c>
      <c r="G329">
        <v>1</v>
      </c>
      <c r="H329">
        <v>2</v>
      </c>
      <c r="I329" t="s">
        <v>1067</v>
      </c>
      <c r="J329" t="s">
        <v>1068</v>
      </c>
      <c r="K329" t="s">
        <v>1069</v>
      </c>
      <c r="L329">
        <v>1368</v>
      </c>
      <c r="N329">
        <v>1011</v>
      </c>
      <c r="O329" t="s">
        <v>779</v>
      </c>
      <c r="P329" t="s">
        <v>779</v>
      </c>
      <c r="Q329">
        <v>1</v>
      </c>
      <c r="W329">
        <v>0</v>
      </c>
      <c r="X329">
        <v>941837819</v>
      </c>
      <c r="Y329">
        <v>3.34</v>
      </c>
      <c r="AA329">
        <v>0</v>
      </c>
      <c r="AB329">
        <v>22.01</v>
      </c>
      <c r="AC329">
        <v>0</v>
      </c>
      <c r="AD329">
        <v>0</v>
      </c>
      <c r="AE329">
        <v>0</v>
      </c>
      <c r="AF329">
        <v>3.28</v>
      </c>
      <c r="AG329">
        <v>0</v>
      </c>
      <c r="AH329">
        <v>0</v>
      </c>
      <c r="AI329">
        <v>1</v>
      </c>
      <c r="AJ329">
        <v>6.71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3.34</v>
      </c>
      <c r="AU329" t="s">
        <v>6</v>
      </c>
      <c r="AV329">
        <v>0</v>
      </c>
      <c r="AW329">
        <v>2</v>
      </c>
      <c r="AX329">
        <v>16814319</v>
      </c>
      <c r="AY329">
        <v>1</v>
      </c>
      <c r="AZ329">
        <v>0</v>
      </c>
      <c r="BA329">
        <v>319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Y329*Source!I204</f>
        <v>4.4088000000000003</v>
      </c>
      <c r="CY329">
        <f>AB329</f>
        <v>22.01</v>
      </c>
      <c r="CZ329">
        <f>AF329</f>
        <v>3.28</v>
      </c>
      <c r="DA329">
        <f>AJ329</f>
        <v>6.71</v>
      </c>
      <c r="DB329">
        <f t="shared" si="48"/>
        <v>10.96</v>
      </c>
      <c r="DC329">
        <f t="shared" si="49"/>
        <v>0</v>
      </c>
    </row>
    <row r="330" spans="1:107" x14ac:dyDescent="0.2">
      <c r="A330">
        <f>ROW(Source!A204)</f>
        <v>204</v>
      </c>
      <c r="B330">
        <v>16812721</v>
      </c>
      <c r="C330">
        <v>16814314</v>
      </c>
      <c r="D330">
        <v>15249073</v>
      </c>
      <c r="E330">
        <v>1</v>
      </c>
      <c r="F330">
        <v>1</v>
      </c>
      <c r="G330">
        <v>1</v>
      </c>
      <c r="H330">
        <v>2</v>
      </c>
      <c r="I330" t="s">
        <v>782</v>
      </c>
      <c r="J330" t="s">
        <v>783</v>
      </c>
      <c r="K330" t="s">
        <v>784</v>
      </c>
      <c r="L330">
        <v>1368</v>
      </c>
      <c r="N330">
        <v>1011</v>
      </c>
      <c r="O330" t="s">
        <v>779</v>
      </c>
      <c r="P330" t="s">
        <v>779</v>
      </c>
      <c r="Q330">
        <v>1</v>
      </c>
      <c r="W330">
        <v>0</v>
      </c>
      <c r="X330">
        <v>1372534845</v>
      </c>
      <c r="Y330">
        <v>0.2</v>
      </c>
      <c r="AA330">
        <v>0</v>
      </c>
      <c r="AB330">
        <v>440.91</v>
      </c>
      <c r="AC330">
        <v>11.6</v>
      </c>
      <c r="AD330">
        <v>0</v>
      </c>
      <c r="AE330">
        <v>0</v>
      </c>
      <c r="AF330">
        <v>65.709999999999994</v>
      </c>
      <c r="AG330">
        <v>11.6</v>
      </c>
      <c r="AH330">
        <v>0</v>
      </c>
      <c r="AI330">
        <v>1</v>
      </c>
      <c r="AJ330">
        <v>6.71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6</v>
      </c>
      <c r="AT330">
        <v>0.2</v>
      </c>
      <c r="AU330" t="s">
        <v>6</v>
      </c>
      <c r="AV330">
        <v>0</v>
      </c>
      <c r="AW330">
        <v>2</v>
      </c>
      <c r="AX330">
        <v>16814320</v>
      </c>
      <c r="AY330">
        <v>1</v>
      </c>
      <c r="AZ330">
        <v>0</v>
      </c>
      <c r="BA330">
        <v>320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Y330*Source!I204</f>
        <v>0.26400000000000001</v>
      </c>
      <c r="CY330">
        <f>AB330</f>
        <v>440.91</v>
      </c>
      <c r="CZ330">
        <f>AF330</f>
        <v>65.709999999999994</v>
      </c>
      <c r="DA330">
        <f>AJ330</f>
        <v>6.71</v>
      </c>
      <c r="DB330">
        <f t="shared" si="48"/>
        <v>13.14</v>
      </c>
      <c r="DC330">
        <f t="shared" si="49"/>
        <v>2.3199999999999998</v>
      </c>
    </row>
    <row r="331" spans="1:107" x14ac:dyDescent="0.2">
      <c r="A331">
        <f>ROW(Source!A204)</f>
        <v>204</v>
      </c>
      <c r="B331">
        <v>16812721</v>
      </c>
      <c r="C331">
        <v>16814314</v>
      </c>
      <c r="D331">
        <v>15167600</v>
      </c>
      <c r="E331">
        <v>1</v>
      </c>
      <c r="F331">
        <v>1</v>
      </c>
      <c r="G331">
        <v>1</v>
      </c>
      <c r="H331">
        <v>3</v>
      </c>
      <c r="I331" t="s">
        <v>1052</v>
      </c>
      <c r="J331" t="s">
        <v>1053</v>
      </c>
      <c r="K331" t="s">
        <v>1054</v>
      </c>
      <c r="L331">
        <v>1308</v>
      </c>
      <c r="N331">
        <v>1003</v>
      </c>
      <c r="O331" t="s">
        <v>39</v>
      </c>
      <c r="P331" t="s">
        <v>39</v>
      </c>
      <c r="Q331">
        <v>100</v>
      </c>
      <c r="W331">
        <v>0</v>
      </c>
      <c r="X331">
        <v>568244124</v>
      </c>
      <c r="Y331">
        <v>2.4500000000000001E-2</v>
      </c>
      <c r="AA331">
        <v>805.2</v>
      </c>
      <c r="AB331">
        <v>0</v>
      </c>
      <c r="AC331">
        <v>0</v>
      </c>
      <c r="AD331">
        <v>0</v>
      </c>
      <c r="AE331">
        <v>120</v>
      </c>
      <c r="AF331">
        <v>0</v>
      </c>
      <c r="AG331">
        <v>0</v>
      </c>
      <c r="AH331">
        <v>0</v>
      </c>
      <c r="AI331">
        <v>6.71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6</v>
      </c>
      <c r="AT331">
        <v>2.4500000000000001E-2</v>
      </c>
      <c r="AU331" t="s">
        <v>6</v>
      </c>
      <c r="AV331">
        <v>0</v>
      </c>
      <c r="AW331">
        <v>2</v>
      </c>
      <c r="AX331">
        <v>16814321</v>
      </c>
      <c r="AY331">
        <v>1</v>
      </c>
      <c r="AZ331">
        <v>0</v>
      </c>
      <c r="BA331">
        <v>321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Y331*Source!I204</f>
        <v>3.2340000000000001E-2</v>
      </c>
      <c r="CY331">
        <f t="shared" ref="CY331:CY336" si="50">AA331</f>
        <v>805.2</v>
      </c>
      <c r="CZ331">
        <f t="shared" ref="CZ331:CZ336" si="51">AE331</f>
        <v>120</v>
      </c>
      <c r="DA331">
        <f t="shared" ref="DA331:DA336" si="52">AI331</f>
        <v>6.71</v>
      </c>
      <c r="DB331">
        <f t="shared" si="48"/>
        <v>2.94</v>
      </c>
      <c r="DC331">
        <f t="shared" si="49"/>
        <v>0</v>
      </c>
    </row>
    <row r="332" spans="1:107" x14ac:dyDescent="0.2">
      <c r="A332">
        <f>ROW(Source!A204)</f>
        <v>204</v>
      </c>
      <c r="B332">
        <v>16812721</v>
      </c>
      <c r="C332">
        <v>16814314</v>
      </c>
      <c r="D332">
        <v>15170438</v>
      </c>
      <c r="E332">
        <v>1</v>
      </c>
      <c r="F332">
        <v>1</v>
      </c>
      <c r="G332">
        <v>1</v>
      </c>
      <c r="H332">
        <v>3</v>
      </c>
      <c r="I332" t="s">
        <v>986</v>
      </c>
      <c r="J332" t="s">
        <v>987</v>
      </c>
      <c r="K332" t="s">
        <v>988</v>
      </c>
      <c r="L332">
        <v>1348</v>
      </c>
      <c r="N332">
        <v>1009</v>
      </c>
      <c r="O332" t="s">
        <v>145</v>
      </c>
      <c r="P332" t="s">
        <v>145</v>
      </c>
      <c r="Q332">
        <v>1000</v>
      </c>
      <c r="W332">
        <v>0</v>
      </c>
      <c r="X332">
        <v>-1755229539</v>
      </c>
      <c r="Y332">
        <v>6.2E-4</v>
      </c>
      <c r="AA332">
        <v>83405.3</v>
      </c>
      <c r="AB332">
        <v>0</v>
      </c>
      <c r="AC332">
        <v>0</v>
      </c>
      <c r="AD332">
        <v>0</v>
      </c>
      <c r="AE332">
        <v>12430</v>
      </c>
      <c r="AF332">
        <v>0</v>
      </c>
      <c r="AG332">
        <v>0</v>
      </c>
      <c r="AH332">
        <v>0</v>
      </c>
      <c r="AI332">
        <v>6.71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6.2E-4</v>
      </c>
      <c r="AU332" t="s">
        <v>6</v>
      </c>
      <c r="AV332">
        <v>0</v>
      </c>
      <c r="AW332">
        <v>2</v>
      </c>
      <c r="AX332">
        <v>16814322</v>
      </c>
      <c r="AY332">
        <v>1</v>
      </c>
      <c r="AZ332">
        <v>0</v>
      </c>
      <c r="BA332">
        <v>322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Y332*Source!I204</f>
        <v>8.1840000000000005E-4</v>
      </c>
      <c r="CY332">
        <f t="shared" si="50"/>
        <v>83405.3</v>
      </c>
      <c r="CZ332">
        <f t="shared" si="51"/>
        <v>12430</v>
      </c>
      <c r="DA332">
        <f t="shared" si="52"/>
        <v>6.71</v>
      </c>
      <c r="DB332">
        <f t="shared" si="48"/>
        <v>7.71</v>
      </c>
      <c r="DC332">
        <f t="shared" si="49"/>
        <v>0</v>
      </c>
    </row>
    <row r="333" spans="1:107" x14ac:dyDescent="0.2">
      <c r="A333">
        <f>ROW(Source!A204)</f>
        <v>204</v>
      </c>
      <c r="B333">
        <v>16812721</v>
      </c>
      <c r="C333">
        <v>16814314</v>
      </c>
      <c r="D333">
        <v>15195042</v>
      </c>
      <c r="E333">
        <v>1</v>
      </c>
      <c r="F333">
        <v>1</v>
      </c>
      <c r="G333">
        <v>1</v>
      </c>
      <c r="H333">
        <v>3</v>
      </c>
      <c r="I333" t="s">
        <v>1070</v>
      </c>
      <c r="J333" t="s">
        <v>1071</v>
      </c>
      <c r="K333" t="s">
        <v>1072</v>
      </c>
      <c r="L333">
        <v>1346</v>
      </c>
      <c r="N333">
        <v>1009</v>
      </c>
      <c r="O333" t="s">
        <v>277</v>
      </c>
      <c r="P333" t="s">
        <v>277</v>
      </c>
      <c r="Q333">
        <v>1</v>
      </c>
      <c r="W333">
        <v>0</v>
      </c>
      <c r="X333">
        <v>1391681712</v>
      </c>
      <c r="Y333">
        <v>0.25</v>
      </c>
      <c r="AA333">
        <v>456.62</v>
      </c>
      <c r="AB333">
        <v>0</v>
      </c>
      <c r="AC333">
        <v>0</v>
      </c>
      <c r="AD333">
        <v>0</v>
      </c>
      <c r="AE333">
        <v>68.05</v>
      </c>
      <c r="AF333">
        <v>0</v>
      </c>
      <c r="AG333">
        <v>0</v>
      </c>
      <c r="AH333">
        <v>0</v>
      </c>
      <c r="AI333">
        <v>6.71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0.25</v>
      </c>
      <c r="AU333" t="s">
        <v>6</v>
      </c>
      <c r="AV333">
        <v>0</v>
      </c>
      <c r="AW333">
        <v>2</v>
      </c>
      <c r="AX333">
        <v>16814323</v>
      </c>
      <c r="AY333">
        <v>1</v>
      </c>
      <c r="AZ333">
        <v>0</v>
      </c>
      <c r="BA333">
        <v>323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Y333*Source!I204</f>
        <v>0.33</v>
      </c>
      <c r="CY333">
        <f t="shared" si="50"/>
        <v>456.62</v>
      </c>
      <c r="CZ333">
        <f t="shared" si="51"/>
        <v>68.05</v>
      </c>
      <c r="DA333">
        <f t="shared" si="52"/>
        <v>6.71</v>
      </c>
      <c r="DB333">
        <f t="shared" si="48"/>
        <v>17.010000000000002</v>
      </c>
      <c r="DC333">
        <f t="shared" si="49"/>
        <v>0</v>
      </c>
    </row>
    <row r="334" spans="1:107" x14ac:dyDescent="0.2">
      <c r="A334">
        <f>ROW(Source!A204)</f>
        <v>204</v>
      </c>
      <c r="B334">
        <v>16812721</v>
      </c>
      <c r="C334">
        <v>16814314</v>
      </c>
      <c r="D334">
        <v>15203871</v>
      </c>
      <c r="E334">
        <v>1</v>
      </c>
      <c r="F334">
        <v>1</v>
      </c>
      <c r="G334">
        <v>1</v>
      </c>
      <c r="H334">
        <v>3</v>
      </c>
      <c r="I334" t="s">
        <v>1073</v>
      </c>
      <c r="J334" t="s">
        <v>1074</v>
      </c>
      <c r="K334" t="s">
        <v>1075</v>
      </c>
      <c r="L334">
        <v>1348</v>
      </c>
      <c r="N334">
        <v>1009</v>
      </c>
      <c r="O334" t="s">
        <v>145</v>
      </c>
      <c r="P334" t="s">
        <v>145</v>
      </c>
      <c r="Q334">
        <v>1000</v>
      </c>
      <c r="W334">
        <v>0</v>
      </c>
      <c r="X334">
        <v>-108263514</v>
      </c>
      <c r="Y334">
        <v>7.2000000000000005E-4</v>
      </c>
      <c r="AA334">
        <v>52518.5</v>
      </c>
      <c r="AB334">
        <v>0</v>
      </c>
      <c r="AC334">
        <v>0</v>
      </c>
      <c r="AD334">
        <v>0</v>
      </c>
      <c r="AE334">
        <v>7826.9</v>
      </c>
      <c r="AF334">
        <v>0</v>
      </c>
      <c r="AG334">
        <v>0</v>
      </c>
      <c r="AH334">
        <v>0</v>
      </c>
      <c r="AI334">
        <v>6.71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7.2000000000000005E-4</v>
      </c>
      <c r="AU334" t="s">
        <v>6</v>
      </c>
      <c r="AV334">
        <v>0</v>
      </c>
      <c r="AW334">
        <v>2</v>
      </c>
      <c r="AX334">
        <v>16814324</v>
      </c>
      <c r="AY334">
        <v>1</v>
      </c>
      <c r="AZ334">
        <v>0</v>
      </c>
      <c r="BA334">
        <v>324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Y334*Source!I204</f>
        <v>9.5040000000000012E-4</v>
      </c>
      <c r="CY334">
        <f t="shared" si="50"/>
        <v>52518.5</v>
      </c>
      <c r="CZ334">
        <f t="shared" si="51"/>
        <v>7826.9</v>
      </c>
      <c r="DA334">
        <f t="shared" si="52"/>
        <v>6.71</v>
      </c>
      <c r="DB334">
        <f t="shared" si="48"/>
        <v>5.64</v>
      </c>
      <c r="DC334">
        <f t="shared" si="49"/>
        <v>0</v>
      </c>
    </row>
    <row r="335" spans="1:107" x14ac:dyDescent="0.2">
      <c r="A335">
        <f>ROW(Source!A204)</f>
        <v>204</v>
      </c>
      <c r="B335">
        <v>16812721</v>
      </c>
      <c r="C335">
        <v>16814314</v>
      </c>
      <c r="D335">
        <v>15223055</v>
      </c>
      <c r="E335">
        <v>1</v>
      </c>
      <c r="F335">
        <v>1</v>
      </c>
      <c r="G335">
        <v>1</v>
      </c>
      <c r="H335">
        <v>3</v>
      </c>
      <c r="I335" t="s">
        <v>554</v>
      </c>
      <c r="J335" t="s">
        <v>556</v>
      </c>
      <c r="K335" t="s">
        <v>555</v>
      </c>
      <c r="L335">
        <v>1477</v>
      </c>
      <c r="N335">
        <v>1013</v>
      </c>
      <c r="O335" t="s">
        <v>541</v>
      </c>
      <c r="P335" t="s">
        <v>543</v>
      </c>
      <c r="Q335">
        <v>1</v>
      </c>
      <c r="W335">
        <v>0</v>
      </c>
      <c r="X335">
        <v>595716002</v>
      </c>
      <c r="Y335">
        <v>0.1</v>
      </c>
      <c r="AA335">
        <v>170647.45</v>
      </c>
      <c r="AB335">
        <v>0</v>
      </c>
      <c r="AC335">
        <v>0</v>
      </c>
      <c r="AD335">
        <v>0</v>
      </c>
      <c r="AE335">
        <v>25431.81</v>
      </c>
      <c r="AF335">
        <v>0</v>
      </c>
      <c r="AG335">
        <v>0</v>
      </c>
      <c r="AH335">
        <v>0</v>
      </c>
      <c r="AI335">
        <v>6.71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6</v>
      </c>
      <c r="AT335">
        <v>0.1</v>
      </c>
      <c r="AU335" t="s">
        <v>6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6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Y335*Source!I204</f>
        <v>0.13200000000000001</v>
      </c>
      <c r="CY335">
        <f t="shared" si="50"/>
        <v>170647.45</v>
      </c>
      <c r="CZ335">
        <f t="shared" si="51"/>
        <v>25431.81</v>
      </c>
      <c r="DA335">
        <f t="shared" si="52"/>
        <v>6.71</v>
      </c>
      <c r="DB335">
        <f t="shared" si="48"/>
        <v>2543.1799999999998</v>
      </c>
      <c r="DC335">
        <f t="shared" si="49"/>
        <v>0</v>
      </c>
    </row>
    <row r="336" spans="1:107" x14ac:dyDescent="0.2">
      <c r="A336">
        <f>ROW(Source!A204)</f>
        <v>204</v>
      </c>
      <c r="B336">
        <v>16812721</v>
      </c>
      <c r="C336">
        <v>16814314</v>
      </c>
      <c r="D336">
        <v>15164559</v>
      </c>
      <c r="E336">
        <v>17</v>
      </c>
      <c r="F336">
        <v>1</v>
      </c>
      <c r="G336">
        <v>1</v>
      </c>
      <c r="H336">
        <v>3</v>
      </c>
      <c r="I336" t="s">
        <v>989</v>
      </c>
      <c r="J336" t="s">
        <v>6</v>
      </c>
      <c r="K336" t="s">
        <v>990</v>
      </c>
      <c r="L336">
        <v>1374</v>
      </c>
      <c r="N336">
        <v>1013</v>
      </c>
      <c r="O336" t="s">
        <v>991</v>
      </c>
      <c r="P336" t="s">
        <v>991</v>
      </c>
      <c r="Q336">
        <v>1</v>
      </c>
      <c r="W336">
        <v>0</v>
      </c>
      <c r="X336">
        <v>-1731369543</v>
      </c>
      <c r="Y336">
        <v>2.72</v>
      </c>
      <c r="AA336">
        <v>1</v>
      </c>
      <c r="AB336">
        <v>0</v>
      </c>
      <c r="AC336">
        <v>0</v>
      </c>
      <c r="AD336">
        <v>0</v>
      </c>
      <c r="AE336">
        <v>1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6</v>
      </c>
      <c r="AT336">
        <v>2.72</v>
      </c>
      <c r="AU336" t="s">
        <v>6</v>
      </c>
      <c r="AV336">
        <v>0</v>
      </c>
      <c r="AW336">
        <v>2</v>
      </c>
      <c r="AX336">
        <v>16814325</v>
      </c>
      <c r="AY336">
        <v>1</v>
      </c>
      <c r="AZ336">
        <v>0</v>
      </c>
      <c r="BA336">
        <v>325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Y336*Source!I204</f>
        <v>3.5904000000000003</v>
      </c>
      <c r="CY336">
        <f t="shared" si="50"/>
        <v>1</v>
      </c>
      <c r="CZ336">
        <f t="shared" si="51"/>
        <v>1</v>
      </c>
      <c r="DA336">
        <f t="shared" si="52"/>
        <v>1</v>
      </c>
      <c r="DB336">
        <f t="shared" si="48"/>
        <v>2.72</v>
      </c>
      <c r="DC336">
        <f t="shared" si="49"/>
        <v>0</v>
      </c>
    </row>
    <row r="337" spans="1:107" x14ac:dyDescent="0.2">
      <c r="A337">
        <f>ROW(Source!A206)</f>
        <v>206</v>
      </c>
      <c r="B337">
        <v>16812721</v>
      </c>
      <c r="C337">
        <v>16813638</v>
      </c>
      <c r="D337">
        <v>15446300</v>
      </c>
      <c r="E337">
        <v>1</v>
      </c>
      <c r="F337">
        <v>1</v>
      </c>
      <c r="G337">
        <v>1</v>
      </c>
      <c r="H337">
        <v>1</v>
      </c>
      <c r="I337" t="s">
        <v>780</v>
      </c>
      <c r="J337" t="s">
        <v>6</v>
      </c>
      <c r="K337" t="s">
        <v>781</v>
      </c>
      <c r="L337">
        <v>1191</v>
      </c>
      <c r="N337">
        <v>1013</v>
      </c>
      <c r="O337" t="s">
        <v>773</v>
      </c>
      <c r="P337" t="s">
        <v>773</v>
      </c>
      <c r="Q337">
        <v>1</v>
      </c>
      <c r="W337">
        <v>0</v>
      </c>
      <c r="X337">
        <v>912892513</v>
      </c>
      <c r="Y337">
        <v>35.130000000000003</v>
      </c>
      <c r="AA337">
        <v>0</v>
      </c>
      <c r="AB337">
        <v>0</v>
      </c>
      <c r="AC337">
        <v>0</v>
      </c>
      <c r="AD337">
        <v>66.56</v>
      </c>
      <c r="AE337">
        <v>0</v>
      </c>
      <c r="AF337">
        <v>0</v>
      </c>
      <c r="AG337">
        <v>0</v>
      </c>
      <c r="AH337">
        <v>9.92</v>
      </c>
      <c r="AI337">
        <v>1</v>
      </c>
      <c r="AJ337">
        <v>1</v>
      </c>
      <c r="AK337">
        <v>1</v>
      </c>
      <c r="AL337">
        <v>6.71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35.130000000000003</v>
      </c>
      <c r="AU337" t="s">
        <v>6</v>
      </c>
      <c r="AV337">
        <v>1</v>
      </c>
      <c r="AW337">
        <v>2</v>
      </c>
      <c r="AX337">
        <v>16813648</v>
      </c>
      <c r="AY337">
        <v>1</v>
      </c>
      <c r="AZ337">
        <v>0</v>
      </c>
      <c r="BA337">
        <v>326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Y337*Source!I206</f>
        <v>1.4052000000000002</v>
      </c>
      <c r="CY337">
        <f>AD337</f>
        <v>66.56</v>
      </c>
      <c r="CZ337">
        <f>AH337</f>
        <v>9.92</v>
      </c>
      <c r="DA337">
        <f>AL337</f>
        <v>6.71</v>
      </c>
      <c r="DB337">
        <f t="shared" si="48"/>
        <v>348.49</v>
      </c>
      <c r="DC337">
        <f t="shared" si="49"/>
        <v>0</v>
      </c>
    </row>
    <row r="338" spans="1:107" x14ac:dyDescent="0.2">
      <c r="A338">
        <f>ROW(Source!A206)</f>
        <v>206</v>
      </c>
      <c r="B338">
        <v>16812721</v>
      </c>
      <c r="C338">
        <v>16813638</v>
      </c>
      <c r="D338">
        <v>15430395</v>
      </c>
      <c r="E338">
        <v>1</v>
      </c>
      <c r="F338">
        <v>1</v>
      </c>
      <c r="G338">
        <v>1</v>
      </c>
      <c r="H338">
        <v>1</v>
      </c>
      <c r="I338" t="s">
        <v>774</v>
      </c>
      <c r="J338" t="s">
        <v>6</v>
      </c>
      <c r="K338" t="s">
        <v>775</v>
      </c>
      <c r="L338">
        <v>1191</v>
      </c>
      <c r="N338">
        <v>1013</v>
      </c>
      <c r="O338" t="s">
        <v>773</v>
      </c>
      <c r="P338" t="s">
        <v>773</v>
      </c>
      <c r="Q338">
        <v>1</v>
      </c>
      <c r="W338">
        <v>0</v>
      </c>
      <c r="X338">
        <v>-1417349443</v>
      </c>
      <c r="Y338">
        <v>0.05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6.71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0.05</v>
      </c>
      <c r="AU338" t="s">
        <v>6</v>
      </c>
      <c r="AV338">
        <v>2</v>
      </c>
      <c r="AW338">
        <v>2</v>
      </c>
      <c r="AX338">
        <v>16813649</v>
      </c>
      <c r="AY338">
        <v>1</v>
      </c>
      <c r="AZ338">
        <v>0</v>
      </c>
      <c r="BA338">
        <v>327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Y338*Source!I206</f>
        <v>2E-3</v>
      </c>
      <c r="CY338">
        <f>AD338</f>
        <v>0</v>
      </c>
      <c r="CZ338">
        <f>AH338</f>
        <v>0</v>
      </c>
      <c r="DA338">
        <f>AL338</f>
        <v>1</v>
      </c>
      <c r="DB338">
        <f t="shared" si="48"/>
        <v>0</v>
      </c>
      <c r="DC338">
        <f t="shared" si="49"/>
        <v>0</v>
      </c>
    </row>
    <row r="339" spans="1:107" x14ac:dyDescent="0.2">
      <c r="A339">
        <f>ROW(Source!A206)</f>
        <v>206</v>
      </c>
      <c r="B339">
        <v>16812721</v>
      </c>
      <c r="C339">
        <v>16813638</v>
      </c>
      <c r="D339">
        <v>15247680</v>
      </c>
      <c r="E339">
        <v>1</v>
      </c>
      <c r="F339">
        <v>1</v>
      </c>
      <c r="G339">
        <v>1</v>
      </c>
      <c r="H339">
        <v>2</v>
      </c>
      <c r="I339" t="s">
        <v>959</v>
      </c>
      <c r="J339" t="s">
        <v>960</v>
      </c>
      <c r="K339" t="s">
        <v>961</v>
      </c>
      <c r="L339">
        <v>1368</v>
      </c>
      <c r="N339">
        <v>1011</v>
      </c>
      <c r="O339" t="s">
        <v>779</v>
      </c>
      <c r="P339" t="s">
        <v>779</v>
      </c>
      <c r="Q339">
        <v>1</v>
      </c>
      <c r="W339">
        <v>0</v>
      </c>
      <c r="X339">
        <v>-1718674368</v>
      </c>
      <c r="Y339">
        <v>0.03</v>
      </c>
      <c r="AA339">
        <v>0</v>
      </c>
      <c r="AB339">
        <v>751.45</v>
      </c>
      <c r="AC339">
        <v>13.5</v>
      </c>
      <c r="AD339">
        <v>0</v>
      </c>
      <c r="AE339">
        <v>0</v>
      </c>
      <c r="AF339">
        <v>111.99</v>
      </c>
      <c r="AG339">
        <v>13.5</v>
      </c>
      <c r="AH339">
        <v>0</v>
      </c>
      <c r="AI339">
        <v>1</v>
      </c>
      <c r="AJ339">
        <v>6.71</v>
      </c>
      <c r="AK339">
        <v>1</v>
      </c>
      <c r="AL339">
        <v>1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6</v>
      </c>
      <c r="AT339">
        <v>0.03</v>
      </c>
      <c r="AU339" t="s">
        <v>6</v>
      </c>
      <c r="AV339">
        <v>0</v>
      </c>
      <c r="AW339">
        <v>2</v>
      </c>
      <c r="AX339">
        <v>16813650</v>
      </c>
      <c r="AY339">
        <v>1</v>
      </c>
      <c r="AZ339">
        <v>0</v>
      </c>
      <c r="BA339">
        <v>328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Y339*Source!I206</f>
        <v>1.1999999999999999E-3</v>
      </c>
      <c r="CY339">
        <f>AB339</f>
        <v>751.45</v>
      </c>
      <c r="CZ339">
        <f>AF339</f>
        <v>111.99</v>
      </c>
      <c r="DA339">
        <f>AJ339</f>
        <v>6.71</v>
      </c>
      <c r="DB339">
        <f t="shared" si="48"/>
        <v>3.36</v>
      </c>
      <c r="DC339">
        <f t="shared" si="49"/>
        <v>0.41</v>
      </c>
    </row>
    <row r="340" spans="1:107" x14ac:dyDescent="0.2">
      <c r="A340">
        <f>ROW(Source!A206)</f>
        <v>206</v>
      </c>
      <c r="B340">
        <v>16812721</v>
      </c>
      <c r="C340">
        <v>16813638</v>
      </c>
      <c r="D340">
        <v>15249073</v>
      </c>
      <c r="E340">
        <v>1</v>
      </c>
      <c r="F340">
        <v>1</v>
      </c>
      <c r="G340">
        <v>1</v>
      </c>
      <c r="H340">
        <v>2</v>
      </c>
      <c r="I340" t="s">
        <v>782</v>
      </c>
      <c r="J340" t="s">
        <v>783</v>
      </c>
      <c r="K340" t="s">
        <v>784</v>
      </c>
      <c r="L340">
        <v>1368</v>
      </c>
      <c r="N340">
        <v>1011</v>
      </c>
      <c r="O340" t="s">
        <v>779</v>
      </c>
      <c r="P340" t="s">
        <v>779</v>
      </c>
      <c r="Q340">
        <v>1</v>
      </c>
      <c r="W340">
        <v>0</v>
      </c>
      <c r="X340">
        <v>1372534845</v>
      </c>
      <c r="Y340">
        <v>0.02</v>
      </c>
      <c r="AA340">
        <v>0</v>
      </c>
      <c r="AB340">
        <v>440.91</v>
      </c>
      <c r="AC340">
        <v>11.6</v>
      </c>
      <c r="AD340">
        <v>0</v>
      </c>
      <c r="AE340">
        <v>0</v>
      </c>
      <c r="AF340">
        <v>65.709999999999994</v>
      </c>
      <c r="AG340">
        <v>11.6</v>
      </c>
      <c r="AH340">
        <v>0</v>
      </c>
      <c r="AI340">
        <v>1</v>
      </c>
      <c r="AJ340">
        <v>6.71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0.02</v>
      </c>
      <c r="AU340" t="s">
        <v>6</v>
      </c>
      <c r="AV340">
        <v>0</v>
      </c>
      <c r="AW340">
        <v>2</v>
      </c>
      <c r="AX340">
        <v>16813651</v>
      </c>
      <c r="AY340">
        <v>1</v>
      </c>
      <c r="AZ340">
        <v>0</v>
      </c>
      <c r="BA340">
        <v>329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Y340*Source!I206</f>
        <v>8.0000000000000004E-4</v>
      </c>
      <c r="CY340">
        <f>AB340</f>
        <v>440.91</v>
      </c>
      <c r="CZ340">
        <f>AF340</f>
        <v>65.709999999999994</v>
      </c>
      <c r="DA340">
        <f>AJ340</f>
        <v>6.71</v>
      </c>
      <c r="DB340">
        <f t="shared" si="48"/>
        <v>1.31</v>
      </c>
      <c r="DC340">
        <f t="shared" si="49"/>
        <v>0.23</v>
      </c>
    </row>
    <row r="341" spans="1:107" x14ac:dyDescent="0.2">
      <c r="A341">
        <f>ROW(Source!A206)</f>
        <v>206</v>
      </c>
      <c r="B341">
        <v>16812721</v>
      </c>
      <c r="C341">
        <v>16813638</v>
      </c>
      <c r="D341">
        <v>15170074</v>
      </c>
      <c r="E341">
        <v>1</v>
      </c>
      <c r="F341">
        <v>1</v>
      </c>
      <c r="G341">
        <v>1</v>
      </c>
      <c r="H341">
        <v>3</v>
      </c>
      <c r="I341" t="s">
        <v>1015</v>
      </c>
      <c r="J341" t="s">
        <v>1016</v>
      </c>
      <c r="K341" t="s">
        <v>1017</v>
      </c>
      <c r="L341">
        <v>1355</v>
      </c>
      <c r="N341">
        <v>1010</v>
      </c>
      <c r="O341" t="s">
        <v>188</v>
      </c>
      <c r="P341" t="s">
        <v>188</v>
      </c>
      <c r="Q341">
        <v>100</v>
      </c>
      <c r="W341">
        <v>0</v>
      </c>
      <c r="X341">
        <v>1794244060</v>
      </c>
      <c r="Y341">
        <v>1.02</v>
      </c>
      <c r="AA341">
        <v>577.05999999999995</v>
      </c>
      <c r="AB341">
        <v>0</v>
      </c>
      <c r="AC341">
        <v>0</v>
      </c>
      <c r="AD341">
        <v>0</v>
      </c>
      <c r="AE341">
        <v>86</v>
      </c>
      <c r="AF341">
        <v>0</v>
      </c>
      <c r="AG341">
        <v>0</v>
      </c>
      <c r="AH341">
        <v>0</v>
      </c>
      <c r="AI341">
        <v>6.71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0</v>
      </c>
      <c r="AQ341">
        <v>0</v>
      </c>
      <c r="AR341">
        <v>0</v>
      </c>
      <c r="AS341" t="s">
        <v>6</v>
      </c>
      <c r="AT341">
        <v>1.02</v>
      </c>
      <c r="AU341" t="s">
        <v>6</v>
      </c>
      <c r="AV341">
        <v>0</v>
      </c>
      <c r="AW341">
        <v>2</v>
      </c>
      <c r="AX341">
        <v>16813652</v>
      </c>
      <c r="AY341">
        <v>1</v>
      </c>
      <c r="AZ341">
        <v>0</v>
      </c>
      <c r="BA341">
        <v>330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Y341*Source!I206</f>
        <v>4.0800000000000003E-2</v>
      </c>
      <c r="CY341">
        <f>AA341</f>
        <v>577.05999999999995</v>
      </c>
      <c r="CZ341">
        <f>AE341</f>
        <v>86</v>
      </c>
      <c r="DA341">
        <f>AI341</f>
        <v>6.71</v>
      </c>
      <c r="DB341">
        <f t="shared" si="48"/>
        <v>87.72</v>
      </c>
      <c r="DC341">
        <f t="shared" si="49"/>
        <v>0</v>
      </c>
    </row>
    <row r="342" spans="1:107" x14ac:dyDescent="0.2">
      <c r="A342">
        <f>ROW(Source!A206)</f>
        <v>206</v>
      </c>
      <c r="B342">
        <v>16812721</v>
      </c>
      <c r="C342">
        <v>16813638</v>
      </c>
      <c r="D342">
        <v>15170434</v>
      </c>
      <c r="E342">
        <v>1</v>
      </c>
      <c r="F342">
        <v>1</v>
      </c>
      <c r="G342">
        <v>1</v>
      </c>
      <c r="H342">
        <v>3</v>
      </c>
      <c r="I342" t="s">
        <v>1076</v>
      </c>
      <c r="J342" t="s">
        <v>1077</v>
      </c>
      <c r="K342" t="s">
        <v>1078</v>
      </c>
      <c r="L342">
        <v>1348</v>
      </c>
      <c r="N342">
        <v>1009</v>
      </c>
      <c r="O342" t="s">
        <v>145</v>
      </c>
      <c r="P342" t="s">
        <v>145</v>
      </c>
      <c r="Q342">
        <v>1000</v>
      </c>
      <c r="W342">
        <v>0</v>
      </c>
      <c r="X342">
        <v>797358079</v>
      </c>
      <c r="Y342">
        <v>1.6000000000000001E-4</v>
      </c>
      <c r="AA342">
        <v>199958</v>
      </c>
      <c r="AB342">
        <v>0</v>
      </c>
      <c r="AC342">
        <v>0</v>
      </c>
      <c r="AD342">
        <v>0</v>
      </c>
      <c r="AE342">
        <v>29800</v>
      </c>
      <c r="AF342">
        <v>0</v>
      </c>
      <c r="AG342">
        <v>0</v>
      </c>
      <c r="AH342">
        <v>0</v>
      </c>
      <c r="AI342">
        <v>6.71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1.6000000000000001E-4</v>
      </c>
      <c r="AU342" t="s">
        <v>6</v>
      </c>
      <c r="AV342">
        <v>0</v>
      </c>
      <c r="AW342">
        <v>2</v>
      </c>
      <c r="AX342">
        <v>16813653</v>
      </c>
      <c r="AY342">
        <v>1</v>
      </c>
      <c r="AZ342">
        <v>0</v>
      </c>
      <c r="BA342">
        <v>331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Y342*Source!I206</f>
        <v>6.4000000000000006E-6</v>
      </c>
      <c r="CY342">
        <f>AA342</f>
        <v>199958</v>
      </c>
      <c r="CZ342">
        <f>AE342</f>
        <v>29800</v>
      </c>
      <c r="DA342">
        <f>AI342</f>
        <v>6.71</v>
      </c>
      <c r="DB342">
        <f t="shared" si="48"/>
        <v>4.7699999999999996</v>
      </c>
      <c r="DC342">
        <f t="shared" si="49"/>
        <v>0</v>
      </c>
    </row>
    <row r="343" spans="1:107" x14ac:dyDescent="0.2">
      <c r="A343">
        <f>ROW(Source!A206)</f>
        <v>206</v>
      </c>
      <c r="B343">
        <v>16812721</v>
      </c>
      <c r="C343">
        <v>16813638</v>
      </c>
      <c r="D343">
        <v>15170438</v>
      </c>
      <c r="E343">
        <v>1</v>
      </c>
      <c r="F343">
        <v>1</v>
      </c>
      <c r="G343">
        <v>1</v>
      </c>
      <c r="H343">
        <v>3</v>
      </c>
      <c r="I343" t="s">
        <v>986</v>
      </c>
      <c r="J343" t="s">
        <v>987</v>
      </c>
      <c r="K343" t="s">
        <v>988</v>
      </c>
      <c r="L343">
        <v>1348</v>
      </c>
      <c r="N343">
        <v>1009</v>
      </c>
      <c r="O343" t="s">
        <v>145</v>
      </c>
      <c r="P343" t="s">
        <v>145</v>
      </c>
      <c r="Q343">
        <v>1000</v>
      </c>
      <c r="W343">
        <v>0</v>
      </c>
      <c r="X343">
        <v>-1755229539</v>
      </c>
      <c r="Y343">
        <v>2.9999999999999997E-4</v>
      </c>
      <c r="AA343">
        <v>83405.3</v>
      </c>
      <c r="AB343">
        <v>0</v>
      </c>
      <c r="AC343">
        <v>0</v>
      </c>
      <c r="AD343">
        <v>0</v>
      </c>
      <c r="AE343">
        <v>12430</v>
      </c>
      <c r="AF343">
        <v>0</v>
      </c>
      <c r="AG343">
        <v>0</v>
      </c>
      <c r="AH343">
        <v>0</v>
      </c>
      <c r="AI343">
        <v>6.71</v>
      </c>
      <c r="AJ343">
        <v>1</v>
      </c>
      <c r="AK343">
        <v>1</v>
      </c>
      <c r="AL343">
        <v>1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6</v>
      </c>
      <c r="AT343">
        <v>2.9999999999999997E-4</v>
      </c>
      <c r="AU343" t="s">
        <v>6</v>
      </c>
      <c r="AV343">
        <v>0</v>
      </c>
      <c r="AW343">
        <v>2</v>
      </c>
      <c r="AX343">
        <v>16813654</v>
      </c>
      <c r="AY343">
        <v>1</v>
      </c>
      <c r="AZ343">
        <v>0</v>
      </c>
      <c r="BA343">
        <v>332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Y343*Source!I206</f>
        <v>1.1999999999999999E-5</v>
      </c>
      <c r="CY343">
        <f>AA343</f>
        <v>83405.3</v>
      </c>
      <c r="CZ343">
        <f>AE343</f>
        <v>12430</v>
      </c>
      <c r="DA343">
        <f>AI343</f>
        <v>6.71</v>
      </c>
      <c r="DB343">
        <f t="shared" si="48"/>
        <v>3.73</v>
      </c>
      <c r="DC343">
        <f t="shared" si="49"/>
        <v>0</v>
      </c>
    </row>
    <row r="344" spans="1:107" x14ac:dyDescent="0.2">
      <c r="A344">
        <f>ROW(Source!A206)</f>
        <v>206</v>
      </c>
      <c r="B344">
        <v>16812721</v>
      </c>
      <c r="C344">
        <v>16813638</v>
      </c>
      <c r="D344">
        <v>15220566</v>
      </c>
      <c r="E344">
        <v>1</v>
      </c>
      <c r="F344">
        <v>1</v>
      </c>
      <c r="G344">
        <v>1</v>
      </c>
      <c r="H344">
        <v>3</v>
      </c>
      <c r="I344" t="s">
        <v>562</v>
      </c>
      <c r="J344" t="s">
        <v>564</v>
      </c>
      <c r="K344" t="s">
        <v>563</v>
      </c>
      <c r="L344">
        <v>1358</v>
      </c>
      <c r="N344">
        <v>1010</v>
      </c>
      <c r="O344" t="s">
        <v>516</v>
      </c>
      <c r="P344" t="s">
        <v>516</v>
      </c>
      <c r="Q344">
        <v>10</v>
      </c>
      <c r="W344">
        <v>0</v>
      </c>
      <c r="X344">
        <v>-265205787</v>
      </c>
      <c r="Y344">
        <v>10</v>
      </c>
      <c r="AA344">
        <v>574.38</v>
      </c>
      <c r="AB344">
        <v>0</v>
      </c>
      <c r="AC344">
        <v>0</v>
      </c>
      <c r="AD344">
        <v>0</v>
      </c>
      <c r="AE344">
        <v>85.6</v>
      </c>
      <c r="AF344">
        <v>0</v>
      </c>
      <c r="AG344">
        <v>0</v>
      </c>
      <c r="AH344">
        <v>0</v>
      </c>
      <c r="AI344">
        <v>6.71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6</v>
      </c>
      <c r="AT344">
        <v>10</v>
      </c>
      <c r="AU344" t="s">
        <v>6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Y344*Source!I206</f>
        <v>0.4</v>
      </c>
      <c r="CY344">
        <f>AA344</f>
        <v>574.38</v>
      </c>
      <c r="CZ344">
        <f>AE344</f>
        <v>85.6</v>
      </c>
      <c r="DA344">
        <f>AI344</f>
        <v>6.71</v>
      </c>
      <c r="DB344">
        <f t="shared" si="48"/>
        <v>856</v>
      </c>
      <c r="DC344">
        <f t="shared" si="49"/>
        <v>0</v>
      </c>
    </row>
    <row r="345" spans="1:107" x14ac:dyDescent="0.2">
      <c r="A345">
        <f>ROW(Source!A206)</f>
        <v>206</v>
      </c>
      <c r="B345">
        <v>16812721</v>
      </c>
      <c r="C345">
        <v>16813638</v>
      </c>
      <c r="D345">
        <v>15164559</v>
      </c>
      <c r="E345">
        <v>17</v>
      </c>
      <c r="F345">
        <v>1</v>
      </c>
      <c r="G345">
        <v>1</v>
      </c>
      <c r="H345">
        <v>3</v>
      </c>
      <c r="I345" t="s">
        <v>989</v>
      </c>
      <c r="J345" t="s">
        <v>6</v>
      </c>
      <c r="K345" t="s">
        <v>990</v>
      </c>
      <c r="L345">
        <v>1374</v>
      </c>
      <c r="N345">
        <v>1013</v>
      </c>
      <c r="O345" t="s">
        <v>991</v>
      </c>
      <c r="P345" t="s">
        <v>991</v>
      </c>
      <c r="Q345">
        <v>1</v>
      </c>
      <c r="W345">
        <v>0</v>
      </c>
      <c r="X345">
        <v>-1731369543</v>
      </c>
      <c r="Y345">
        <v>6.97</v>
      </c>
      <c r="AA345">
        <v>1</v>
      </c>
      <c r="AB345">
        <v>0</v>
      </c>
      <c r="AC345">
        <v>0</v>
      </c>
      <c r="AD345">
        <v>0</v>
      </c>
      <c r="AE345">
        <v>1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6</v>
      </c>
      <c r="AT345">
        <v>6.97</v>
      </c>
      <c r="AU345" t="s">
        <v>6</v>
      </c>
      <c r="AV345">
        <v>0</v>
      </c>
      <c r="AW345">
        <v>2</v>
      </c>
      <c r="AX345">
        <v>16813655</v>
      </c>
      <c r="AY345">
        <v>1</v>
      </c>
      <c r="AZ345">
        <v>0</v>
      </c>
      <c r="BA345">
        <v>333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Y345*Source!I206</f>
        <v>0.27879999999999999</v>
      </c>
      <c r="CY345">
        <f>AA345</f>
        <v>1</v>
      </c>
      <c r="CZ345">
        <f>AE345</f>
        <v>1</v>
      </c>
      <c r="DA345">
        <f>AI345</f>
        <v>1</v>
      </c>
      <c r="DB345">
        <f t="shared" si="48"/>
        <v>6.97</v>
      </c>
      <c r="DC345">
        <f t="shared" si="49"/>
        <v>0</v>
      </c>
    </row>
    <row r="346" spans="1:107" x14ac:dyDescent="0.2">
      <c r="A346">
        <f>ROW(Source!A208)</f>
        <v>208</v>
      </c>
      <c r="B346">
        <v>16812721</v>
      </c>
      <c r="C346">
        <v>16813657</v>
      </c>
      <c r="D346">
        <v>15446300</v>
      </c>
      <c r="E346">
        <v>1</v>
      </c>
      <c r="F346">
        <v>1</v>
      </c>
      <c r="G346">
        <v>1</v>
      </c>
      <c r="H346">
        <v>1</v>
      </c>
      <c r="I346" t="s">
        <v>780</v>
      </c>
      <c r="J346" t="s">
        <v>6</v>
      </c>
      <c r="K346" t="s">
        <v>781</v>
      </c>
      <c r="L346">
        <v>1191</v>
      </c>
      <c r="N346">
        <v>1013</v>
      </c>
      <c r="O346" t="s">
        <v>773</v>
      </c>
      <c r="P346" t="s">
        <v>773</v>
      </c>
      <c r="Q346">
        <v>1</v>
      </c>
      <c r="W346">
        <v>0</v>
      </c>
      <c r="X346">
        <v>912892513</v>
      </c>
      <c r="Y346">
        <v>34.56</v>
      </c>
      <c r="AA346">
        <v>0</v>
      </c>
      <c r="AB346">
        <v>0</v>
      </c>
      <c r="AC346">
        <v>0</v>
      </c>
      <c r="AD346">
        <v>66.56</v>
      </c>
      <c r="AE346">
        <v>0</v>
      </c>
      <c r="AF346">
        <v>0</v>
      </c>
      <c r="AG346">
        <v>0</v>
      </c>
      <c r="AH346">
        <v>9.92</v>
      </c>
      <c r="AI346">
        <v>1</v>
      </c>
      <c r="AJ346">
        <v>1</v>
      </c>
      <c r="AK346">
        <v>1</v>
      </c>
      <c r="AL346">
        <v>6.71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34.56</v>
      </c>
      <c r="AU346" t="s">
        <v>6</v>
      </c>
      <c r="AV346">
        <v>1</v>
      </c>
      <c r="AW346">
        <v>2</v>
      </c>
      <c r="AX346">
        <v>16813669</v>
      </c>
      <c r="AY346">
        <v>1</v>
      </c>
      <c r="AZ346">
        <v>0</v>
      </c>
      <c r="BA346">
        <v>334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Y346*Source!I208</f>
        <v>30.067200000000003</v>
      </c>
      <c r="CY346">
        <f>AD346</f>
        <v>66.56</v>
      </c>
      <c r="CZ346">
        <f>AH346</f>
        <v>9.92</v>
      </c>
      <c r="DA346">
        <f>AL346</f>
        <v>6.71</v>
      </c>
      <c r="DB346">
        <f t="shared" si="48"/>
        <v>342.84</v>
      </c>
      <c r="DC346">
        <f t="shared" si="49"/>
        <v>0</v>
      </c>
    </row>
    <row r="347" spans="1:107" x14ac:dyDescent="0.2">
      <c r="A347">
        <f>ROW(Source!A208)</f>
        <v>208</v>
      </c>
      <c r="B347">
        <v>16812721</v>
      </c>
      <c r="C347">
        <v>16813657</v>
      </c>
      <c r="D347">
        <v>15430395</v>
      </c>
      <c r="E347">
        <v>1</v>
      </c>
      <c r="F347">
        <v>1</v>
      </c>
      <c r="G347">
        <v>1</v>
      </c>
      <c r="H347">
        <v>1</v>
      </c>
      <c r="I347" t="s">
        <v>774</v>
      </c>
      <c r="J347" t="s">
        <v>6</v>
      </c>
      <c r="K347" t="s">
        <v>775</v>
      </c>
      <c r="L347">
        <v>1191</v>
      </c>
      <c r="N347">
        <v>1013</v>
      </c>
      <c r="O347" t="s">
        <v>773</v>
      </c>
      <c r="P347" t="s">
        <v>773</v>
      </c>
      <c r="Q347">
        <v>1</v>
      </c>
      <c r="W347">
        <v>0</v>
      </c>
      <c r="X347">
        <v>-1417349443</v>
      </c>
      <c r="Y347">
        <v>0.05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6.71</v>
      </c>
      <c r="AL347">
        <v>1</v>
      </c>
      <c r="AN347">
        <v>0</v>
      </c>
      <c r="AO347">
        <v>1</v>
      </c>
      <c r="AP347">
        <v>0</v>
      </c>
      <c r="AQ347">
        <v>0</v>
      </c>
      <c r="AR347">
        <v>0</v>
      </c>
      <c r="AS347" t="s">
        <v>6</v>
      </c>
      <c r="AT347">
        <v>0.05</v>
      </c>
      <c r="AU347" t="s">
        <v>6</v>
      </c>
      <c r="AV347">
        <v>2</v>
      </c>
      <c r="AW347">
        <v>2</v>
      </c>
      <c r="AX347">
        <v>16813670</v>
      </c>
      <c r="AY347">
        <v>1</v>
      </c>
      <c r="AZ347">
        <v>0</v>
      </c>
      <c r="BA347">
        <v>335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Y347*Source!I208</f>
        <v>4.3500000000000004E-2</v>
      </c>
      <c r="CY347">
        <f>AD347</f>
        <v>0</v>
      </c>
      <c r="CZ347">
        <f>AH347</f>
        <v>0</v>
      </c>
      <c r="DA347">
        <f>AL347</f>
        <v>1</v>
      </c>
      <c r="DB347">
        <f t="shared" si="48"/>
        <v>0</v>
      </c>
      <c r="DC347">
        <f t="shared" si="49"/>
        <v>0</v>
      </c>
    </row>
    <row r="348" spans="1:107" x14ac:dyDescent="0.2">
      <c r="A348">
        <f>ROW(Source!A208)</f>
        <v>208</v>
      </c>
      <c r="B348">
        <v>16812721</v>
      </c>
      <c r="C348">
        <v>16813657</v>
      </c>
      <c r="D348">
        <v>15247680</v>
      </c>
      <c r="E348">
        <v>1</v>
      </c>
      <c r="F348">
        <v>1</v>
      </c>
      <c r="G348">
        <v>1</v>
      </c>
      <c r="H348">
        <v>2</v>
      </c>
      <c r="I348" t="s">
        <v>959</v>
      </c>
      <c r="J348" t="s">
        <v>960</v>
      </c>
      <c r="K348" t="s">
        <v>961</v>
      </c>
      <c r="L348">
        <v>1368</v>
      </c>
      <c r="N348">
        <v>1011</v>
      </c>
      <c r="O348" t="s">
        <v>779</v>
      </c>
      <c r="P348" t="s">
        <v>779</v>
      </c>
      <c r="Q348">
        <v>1</v>
      </c>
      <c r="W348">
        <v>0</v>
      </c>
      <c r="X348">
        <v>-1718674368</v>
      </c>
      <c r="Y348">
        <v>0.03</v>
      </c>
      <c r="AA348">
        <v>0</v>
      </c>
      <c r="AB348">
        <v>751.45</v>
      </c>
      <c r="AC348">
        <v>13.5</v>
      </c>
      <c r="AD348">
        <v>0</v>
      </c>
      <c r="AE348">
        <v>0</v>
      </c>
      <c r="AF348">
        <v>111.99</v>
      </c>
      <c r="AG348">
        <v>13.5</v>
      </c>
      <c r="AH348">
        <v>0</v>
      </c>
      <c r="AI348">
        <v>1</v>
      </c>
      <c r="AJ348">
        <v>6.71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0.03</v>
      </c>
      <c r="AU348" t="s">
        <v>6</v>
      </c>
      <c r="AV348">
        <v>0</v>
      </c>
      <c r="AW348">
        <v>2</v>
      </c>
      <c r="AX348">
        <v>16813671</v>
      </c>
      <c r="AY348">
        <v>1</v>
      </c>
      <c r="AZ348">
        <v>0</v>
      </c>
      <c r="BA348">
        <v>336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Y348*Source!I208</f>
        <v>2.6099999999999998E-2</v>
      </c>
      <c r="CY348">
        <f>AB348</f>
        <v>751.45</v>
      </c>
      <c r="CZ348">
        <f>AF348</f>
        <v>111.99</v>
      </c>
      <c r="DA348">
        <f>AJ348</f>
        <v>6.71</v>
      </c>
      <c r="DB348">
        <f t="shared" si="48"/>
        <v>3.36</v>
      </c>
      <c r="DC348">
        <f t="shared" si="49"/>
        <v>0.41</v>
      </c>
    </row>
    <row r="349" spans="1:107" x14ac:dyDescent="0.2">
      <c r="A349">
        <f>ROW(Source!A208)</f>
        <v>208</v>
      </c>
      <c r="B349">
        <v>16812721</v>
      </c>
      <c r="C349">
        <v>16813657</v>
      </c>
      <c r="D349">
        <v>15249073</v>
      </c>
      <c r="E349">
        <v>1</v>
      </c>
      <c r="F349">
        <v>1</v>
      </c>
      <c r="G349">
        <v>1</v>
      </c>
      <c r="H349">
        <v>2</v>
      </c>
      <c r="I349" t="s">
        <v>782</v>
      </c>
      <c r="J349" t="s">
        <v>783</v>
      </c>
      <c r="K349" t="s">
        <v>784</v>
      </c>
      <c r="L349">
        <v>1368</v>
      </c>
      <c r="N349">
        <v>1011</v>
      </c>
      <c r="O349" t="s">
        <v>779</v>
      </c>
      <c r="P349" t="s">
        <v>779</v>
      </c>
      <c r="Q349">
        <v>1</v>
      </c>
      <c r="W349">
        <v>0</v>
      </c>
      <c r="X349">
        <v>1372534845</v>
      </c>
      <c r="Y349">
        <v>0.02</v>
      </c>
      <c r="AA349">
        <v>0</v>
      </c>
      <c r="AB349">
        <v>440.91</v>
      </c>
      <c r="AC349">
        <v>11.6</v>
      </c>
      <c r="AD349">
        <v>0</v>
      </c>
      <c r="AE349">
        <v>0</v>
      </c>
      <c r="AF349">
        <v>65.709999999999994</v>
      </c>
      <c r="AG349">
        <v>11.6</v>
      </c>
      <c r="AH349">
        <v>0</v>
      </c>
      <c r="AI349">
        <v>1</v>
      </c>
      <c r="AJ349">
        <v>6.71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6</v>
      </c>
      <c r="AT349">
        <v>0.02</v>
      </c>
      <c r="AU349" t="s">
        <v>6</v>
      </c>
      <c r="AV349">
        <v>0</v>
      </c>
      <c r="AW349">
        <v>2</v>
      </c>
      <c r="AX349">
        <v>16813672</v>
      </c>
      <c r="AY349">
        <v>1</v>
      </c>
      <c r="AZ349">
        <v>0</v>
      </c>
      <c r="BA349">
        <v>337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Y349*Source!I208</f>
        <v>1.7399999999999999E-2</v>
      </c>
      <c r="CY349">
        <f>AB349</f>
        <v>440.91</v>
      </c>
      <c r="CZ349">
        <f>AF349</f>
        <v>65.709999999999994</v>
      </c>
      <c r="DA349">
        <f>AJ349</f>
        <v>6.71</v>
      </c>
      <c r="DB349">
        <f t="shared" si="48"/>
        <v>1.31</v>
      </c>
      <c r="DC349">
        <f t="shared" si="49"/>
        <v>0.23</v>
      </c>
    </row>
    <row r="350" spans="1:107" x14ac:dyDescent="0.2">
      <c r="A350">
        <f>ROW(Source!A208)</f>
        <v>208</v>
      </c>
      <c r="B350">
        <v>16812721</v>
      </c>
      <c r="C350">
        <v>16813657</v>
      </c>
      <c r="D350">
        <v>15167588</v>
      </c>
      <c r="E350">
        <v>1</v>
      </c>
      <c r="F350">
        <v>1</v>
      </c>
      <c r="G350">
        <v>1</v>
      </c>
      <c r="H350">
        <v>3</v>
      </c>
      <c r="I350" t="s">
        <v>1006</v>
      </c>
      <c r="J350" t="s">
        <v>1007</v>
      </c>
      <c r="K350" t="s">
        <v>1008</v>
      </c>
      <c r="L350">
        <v>1346</v>
      </c>
      <c r="N350">
        <v>1009</v>
      </c>
      <c r="O350" t="s">
        <v>277</v>
      </c>
      <c r="P350" t="s">
        <v>277</v>
      </c>
      <c r="Q350">
        <v>1</v>
      </c>
      <c r="W350">
        <v>0</v>
      </c>
      <c r="X350">
        <v>-1088866022</v>
      </c>
      <c r="Y350">
        <v>0.11</v>
      </c>
      <c r="AA350">
        <v>203.98</v>
      </c>
      <c r="AB350">
        <v>0</v>
      </c>
      <c r="AC350">
        <v>0</v>
      </c>
      <c r="AD350">
        <v>0</v>
      </c>
      <c r="AE350">
        <v>30.4</v>
      </c>
      <c r="AF350">
        <v>0</v>
      </c>
      <c r="AG350">
        <v>0</v>
      </c>
      <c r="AH350">
        <v>0</v>
      </c>
      <c r="AI350">
        <v>6.71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0.11</v>
      </c>
      <c r="AU350" t="s">
        <v>6</v>
      </c>
      <c r="AV350">
        <v>0</v>
      </c>
      <c r="AW350">
        <v>2</v>
      </c>
      <c r="AX350">
        <v>16813673</v>
      </c>
      <c r="AY350">
        <v>1</v>
      </c>
      <c r="AZ350">
        <v>0</v>
      </c>
      <c r="BA350">
        <v>338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Y350*Source!I208</f>
        <v>9.5699999999999993E-2</v>
      </c>
      <c r="CY350">
        <f t="shared" ref="CY350:CY356" si="53">AA350</f>
        <v>203.98</v>
      </c>
      <c r="CZ350">
        <f t="shared" ref="CZ350:CZ356" si="54">AE350</f>
        <v>30.4</v>
      </c>
      <c r="DA350">
        <f t="shared" ref="DA350:DA356" si="55">AI350</f>
        <v>6.71</v>
      </c>
      <c r="DB350">
        <f t="shared" si="48"/>
        <v>3.34</v>
      </c>
      <c r="DC350">
        <f t="shared" si="49"/>
        <v>0</v>
      </c>
    </row>
    <row r="351" spans="1:107" x14ac:dyDescent="0.2">
      <c r="A351">
        <f>ROW(Source!A208)</f>
        <v>208</v>
      </c>
      <c r="B351">
        <v>16812721</v>
      </c>
      <c r="C351">
        <v>16813657</v>
      </c>
      <c r="D351">
        <v>15170074</v>
      </c>
      <c r="E351">
        <v>1</v>
      </c>
      <c r="F351">
        <v>1</v>
      </c>
      <c r="G351">
        <v>1</v>
      </c>
      <c r="H351">
        <v>3</v>
      </c>
      <c r="I351" t="s">
        <v>1015</v>
      </c>
      <c r="J351" t="s">
        <v>1016</v>
      </c>
      <c r="K351" t="s">
        <v>1017</v>
      </c>
      <c r="L351">
        <v>1355</v>
      </c>
      <c r="N351">
        <v>1010</v>
      </c>
      <c r="O351" t="s">
        <v>188</v>
      </c>
      <c r="P351" t="s">
        <v>188</v>
      </c>
      <c r="Q351">
        <v>100</v>
      </c>
      <c r="W351">
        <v>0</v>
      </c>
      <c r="X351">
        <v>1794244060</v>
      </c>
      <c r="Y351">
        <v>1.02</v>
      </c>
      <c r="AA351">
        <v>577.05999999999995</v>
      </c>
      <c r="AB351">
        <v>0</v>
      </c>
      <c r="AC351">
        <v>0</v>
      </c>
      <c r="AD351">
        <v>0</v>
      </c>
      <c r="AE351">
        <v>86</v>
      </c>
      <c r="AF351">
        <v>0</v>
      </c>
      <c r="AG351">
        <v>0</v>
      </c>
      <c r="AH351">
        <v>0</v>
      </c>
      <c r="AI351">
        <v>6.71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6</v>
      </c>
      <c r="AT351">
        <v>1.02</v>
      </c>
      <c r="AU351" t="s">
        <v>6</v>
      </c>
      <c r="AV351">
        <v>0</v>
      </c>
      <c r="AW351">
        <v>2</v>
      </c>
      <c r="AX351">
        <v>16813674</v>
      </c>
      <c r="AY351">
        <v>1</v>
      </c>
      <c r="AZ351">
        <v>0</v>
      </c>
      <c r="BA351">
        <v>339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Y351*Source!I208</f>
        <v>0.88739999999999997</v>
      </c>
      <c r="CY351">
        <f t="shared" si="53"/>
        <v>577.05999999999995</v>
      </c>
      <c r="CZ351">
        <f t="shared" si="54"/>
        <v>86</v>
      </c>
      <c r="DA351">
        <f t="shared" si="55"/>
        <v>6.71</v>
      </c>
      <c r="DB351">
        <f t="shared" si="48"/>
        <v>87.72</v>
      </c>
      <c r="DC351">
        <f t="shared" si="49"/>
        <v>0</v>
      </c>
    </row>
    <row r="352" spans="1:107" x14ac:dyDescent="0.2">
      <c r="A352">
        <f>ROW(Source!A208)</f>
        <v>208</v>
      </c>
      <c r="B352">
        <v>16812721</v>
      </c>
      <c r="C352">
        <v>16813657</v>
      </c>
      <c r="D352">
        <v>15170434</v>
      </c>
      <c r="E352">
        <v>1</v>
      </c>
      <c r="F352">
        <v>1</v>
      </c>
      <c r="G352">
        <v>1</v>
      </c>
      <c r="H352">
        <v>3</v>
      </c>
      <c r="I352" t="s">
        <v>1076</v>
      </c>
      <c r="J352" t="s">
        <v>1077</v>
      </c>
      <c r="K352" t="s">
        <v>1078</v>
      </c>
      <c r="L352">
        <v>1348</v>
      </c>
      <c r="N352">
        <v>1009</v>
      </c>
      <c r="O352" t="s">
        <v>145</v>
      </c>
      <c r="P352" t="s">
        <v>145</v>
      </c>
      <c r="Q352">
        <v>1000</v>
      </c>
      <c r="W352">
        <v>0</v>
      </c>
      <c r="X352">
        <v>797358079</v>
      </c>
      <c r="Y352">
        <v>1.6000000000000001E-4</v>
      </c>
      <c r="AA352">
        <v>199958</v>
      </c>
      <c r="AB352">
        <v>0</v>
      </c>
      <c r="AC352">
        <v>0</v>
      </c>
      <c r="AD352">
        <v>0</v>
      </c>
      <c r="AE352">
        <v>29800</v>
      </c>
      <c r="AF352">
        <v>0</v>
      </c>
      <c r="AG352">
        <v>0</v>
      </c>
      <c r="AH352">
        <v>0</v>
      </c>
      <c r="AI352">
        <v>6.71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1.6000000000000001E-4</v>
      </c>
      <c r="AU352" t="s">
        <v>6</v>
      </c>
      <c r="AV352">
        <v>0</v>
      </c>
      <c r="AW352">
        <v>2</v>
      </c>
      <c r="AX352">
        <v>16813675</v>
      </c>
      <c r="AY352">
        <v>1</v>
      </c>
      <c r="AZ352">
        <v>0</v>
      </c>
      <c r="BA352">
        <v>340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Y352*Source!I208</f>
        <v>1.3920000000000002E-4</v>
      </c>
      <c r="CY352">
        <f t="shared" si="53"/>
        <v>199958</v>
      </c>
      <c r="CZ352">
        <f t="shared" si="54"/>
        <v>29800</v>
      </c>
      <c r="DA352">
        <f t="shared" si="55"/>
        <v>6.71</v>
      </c>
      <c r="DB352">
        <f t="shared" si="48"/>
        <v>4.7699999999999996</v>
      </c>
      <c r="DC352">
        <f t="shared" si="49"/>
        <v>0</v>
      </c>
    </row>
    <row r="353" spans="1:107" x14ac:dyDescent="0.2">
      <c r="A353">
        <f>ROW(Source!A208)</f>
        <v>208</v>
      </c>
      <c r="B353">
        <v>16812721</v>
      </c>
      <c r="C353">
        <v>16813657</v>
      </c>
      <c r="D353">
        <v>15170438</v>
      </c>
      <c r="E353">
        <v>1</v>
      </c>
      <c r="F353">
        <v>1</v>
      </c>
      <c r="G353">
        <v>1</v>
      </c>
      <c r="H353">
        <v>3</v>
      </c>
      <c r="I353" t="s">
        <v>986</v>
      </c>
      <c r="J353" t="s">
        <v>987</v>
      </c>
      <c r="K353" t="s">
        <v>988</v>
      </c>
      <c r="L353">
        <v>1348</v>
      </c>
      <c r="N353">
        <v>1009</v>
      </c>
      <c r="O353" t="s">
        <v>145</v>
      </c>
      <c r="P353" t="s">
        <v>145</v>
      </c>
      <c r="Q353">
        <v>1000</v>
      </c>
      <c r="W353">
        <v>0</v>
      </c>
      <c r="X353">
        <v>-1755229539</v>
      </c>
      <c r="Y353">
        <v>2.9999999999999997E-4</v>
      </c>
      <c r="AA353">
        <v>83405.3</v>
      </c>
      <c r="AB353">
        <v>0</v>
      </c>
      <c r="AC353">
        <v>0</v>
      </c>
      <c r="AD353">
        <v>0</v>
      </c>
      <c r="AE353">
        <v>12430</v>
      </c>
      <c r="AF353">
        <v>0</v>
      </c>
      <c r="AG353">
        <v>0</v>
      </c>
      <c r="AH353">
        <v>0</v>
      </c>
      <c r="AI353">
        <v>6.71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6</v>
      </c>
      <c r="AT353">
        <v>2.9999999999999997E-4</v>
      </c>
      <c r="AU353" t="s">
        <v>6</v>
      </c>
      <c r="AV353">
        <v>0</v>
      </c>
      <c r="AW353">
        <v>2</v>
      </c>
      <c r="AX353">
        <v>16813676</v>
      </c>
      <c r="AY353">
        <v>1</v>
      </c>
      <c r="AZ353">
        <v>0</v>
      </c>
      <c r="BA353">
        <v>341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Y353*Source!I208</f>
        <v>2.61E-4</v>
      </c>
      <c r="CY353">
        <f t="shared" si="53"/>
        <v>83405.3</v>
      </c>
      <c r="CZ353">
        <f t="shared" si="54"/>
        <v>12430</v>
      </c>
      <c r="DA353">
        <f t="shared" si="55"/>
        <v>6.71</v>
      </c>
      <c r="DB353">
        <f t="shared" si="48"/>
        <v>3.73</v>
      </c>
      <c r="DC353">
        <f t="shared" si="49"/>
        <v>0</v>
      </c>
    </row>
    <row r="354" spans="1:107" x14ac:dyDescent="0.2">
      <c r="A354">
        <f>ROW(Source!A208)</f>
        <v>208</v>
      </c>
      <c r="B354">
        <v>16812721</v>
      </c>
      <c r="C354">
        <v>16813657</v>
      </c>
      <c r="D354">
        <v>15220792</v>
      </c>
      <c r="E354">
        <v>1</v>
      </c>
      <c r="F354">
        <v>1</v>
      </c>
      <c r="G354">
        <v>1</v>
      </c>
      <c r="H354">
        <v>3</v>
      </c>
      <c r="I354" t="s">
        <v>570</v>
      </c>
      <c r="J354" t="s">
        <v>572</v>
      </c>
      <c r="K354" t="s">
        <v>571</v>
      </c>
      <c r="L354">
        <v>1355</v>
      </c>
      <c r="N354">
        <v>1010</v>
      </c>
      <c r="O354" t="s">
        <v>188</v>
      </c>
      <c r="P354" t="s">
        <v>188</v>
      </c>
      <c r="Q354">
        <v>100</v>
      </c>
      <c r="W354">
        <v>0</v>
      </c>
      <c r="X354">
        <v>-2051776460</v>
      </c>
      <c r="Y354">
        <v>0.91954000000000002</v>
      </c>
      <c r="AA354">
        <v>6032.29</v>
      </c>
      <c r="AB354">
        <v>0</v>
      </c>
      <c r="AC354">
        <v>0</v>
      </c>
      <c r="AD354">
        <v>0</v>
      </c>
      <c r="AE354">
        <v>899</v>
      </c>
      <c r="AF354">
        <v>0</v>
      </c>
      <c r="AG354">
        <v>0</v>
      </c>
      <c r="AH354">
        <v>0</v>
      </c>
      <c r="AI354">
        <v>6.71</v>
      </c>
      <c r="AJ354">
        <v>1</v>
      </c>
      <c r="AK354">
        <v>1</v>
      </c>
      <c r="AL354">
        <v>1</v>
      </c>
      <c r="AN354">
        <v>0</v>
      </c>
      <c r="AO354">
        <v>0</v>
      </c>
      <c r="AP354">
        <v>0</v>
      </c>
      <c r="AQ354">
        <v>0</v>
      </c>
      <c r="AR354">
        <v>0</v>
      </c>
      <c r="AS354" t="s">
        <v>6</v>
      </c>
      <c r="AT354">
        <v>0.91954000000000002</v>
      </c>
      <c r="AU354" t="s">
        <v>6</v>
      </c>
      <c r="AV354">
        <v>0</v>
      </c>
      <c r="AW354">
        <v>1</v>
      </c>
      <c r="AX354">
        <v>-1</v>
      </c>
      <c r="AY354">
        <v>0</v>
      </c>
      <c r="AZ354">
        <v>0</v>
      </c>
      <c r="BA354" t="s">
        <v>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Y354*Source!I208</f>
        <v>0.79999980000000004</v>
      </c>
      <c r="CY354">
        <f t="shared" si="53"/>
        <v>6032.29</v>
      </c>
      <c r="CZ354">
        <f t="shared" si="54"/>
        <v>899</v>
      </c>
      <c r="DA354">
        <f t="shared" si="55"/>
        <v>6.71</v>
      </c>
      <c r="DB354">
        <f t="shared" si="48"/>
        <v>826.67</v>
      </c>
      <c r="DC354">
        <f t="shared" si="49"/>
        <v>0</v>
      </c>
    </row>
    <row r="355" spans="1:107" x14ac:dyDescent="0.2">
      <c r="A355">
        <f>ROW(Source!A208)</f>
        <v>208</v>
      </c>
      <c r="B355">
        <v>16812721</v>
      </c>
      <c r="C355">
        <v>16813657</v>
      </c>
      <c r="D355">
        <v>15220793</v>
      </c>
      <c r="E355">
        <v>1</v>
      </c>
      <c r="F355">
        <v>1</v>
      </c>
      <c r="G355">
        <v>1</v>
      </c>
      <c r="H355">
        <v>3</v>
      </c>
      <c r="I355" t="s">
        <v>574</v>
      </c>
      <c r="J355" t="s">
        <v>576</v>
      </c>
      <c r="K355" t="s">
        <v>575</v>
      </c>
      <c r="L355">
        <v>1355</v>
      </c>
      <c r="N355">
        <v>1010</v>
      </c>
      <c r="O355" t="s">
        <v>188</v>
      </c>
      <c r="P355" t="s">
        <v>188</v>
      </c>
      <c r="Q355">
        <v>100</v>
      </c>
      <c r="W355">
        <v>0</v>
      </c>
      <c r="X355">
        <v>760982988</v>
      </c>
      <c r="Y355">
        <v>8.0460000000000004E-2</v>
      </c>
      <c r="AA355">
        <v>4925.1400000000003</v>
      </c>
      <c r="AB355">
        <v>0</v>
      </c>
      <c r="AC355">
        <v>0</v>
      </c>
      <c r="AD355">
        <v>0</v>
      </c>
      <c r="AE355">
        <v>734</v>
      </c>
      <c r="AF355">
        <v>0</v>
      </c>
      <c r="AG355">
        <v>0</v>
      </c>
      <c r="AH355">
        <v>0</v>
      </c>
      <c r="AI355">
        <v>6.71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6</v>
      </c>
      <c r="AT355">
        <v>8.0460000000000004E-2</v>
      </c>
      <c r="AU355" t="s">
        <v>6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6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Y355*Source!I208</f>
        <v>7.0000199999999999E-2</v>
      </c>
      <c r="CY355">
        <f t="shared" si="53"/>
        <v>4925.1400000000003</v>
      </c>
      <c r="CZ355">
        <f t="shared" si="54"/>
        <v>734</v>
      </c>
      <c r="DA355">
        <f t="shared" si="55"/>
        <v>6.71</v>
      </c>
      <c r="DB355">
        <f t="shared" si="48"/>
        <v>59.06</v>
      </c>
      <c r="DC355">
        <f t="shared" si="49"/>
        <v>0</v>
      </c>
    </row>
    <row r="356" spans="1:107" x14ac:dyDescent="0.2">
      <c r="A356">
        <f>ROW(Source!A208)</f>
        <v>208</v>
      </c>
      <c r="B356">
        <v>16812721</v>
      </c>
      <c r="C356">
        <v>16813657</v>
      </c>
      <c r="D356">
        <v>15164559</v>
      </c>
      <c r="E356">
        <v>17</v>
      </c>
      <c r="F356">
        <v>1</v>
      </c>
      <c r="G356">
        <v>1</v>
      </c>
      <c r="H356">
        <v>3</v>
      </c>
      <c r="I356" t="s">
        <v>989</v>
      </c>
      <c r="J356" t="s">
        <v>6</v>
      </c>
      <c r="K356" t="s">
        <v>990</v>
      </c>
      <c r="L356">
        <v>1374</v>
      </c>
      <c r="N356">
        <v>1013</v>
      </c>
      <c r="O356" t="s">
        <v>991</v>
      </c>
      <c r="P356" t="s">
        <v>991</v>
      </c>
      <c r="Q356">
        <v>1</v>
      </c>
      <c r="W356">
        <v>0</v>
      </c>
      <c r="X356">
        <v>-1731369543</v>
      </c>
      <c r="Y356">
        <v>6.86</v>
      </c>
      <c r="AA356">
        <v>1</v>
      </c>
      <c r="AB356">
        <v>0</v>
      </c>
      <c r="AC356">
        <v>0</v>
      </c>
      <c r="AD356">
        <v>0</v>
      </c>
      <c r="AE356">
        <v>1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6.86</v>
      </c>
      <c r="AU356" t="s">
        <v>6</v>
      </c>
      <c r="AV356">
        <v>0</v>
      </c>
      <c r="AW356">
        <v>2</v>
      </c>
      <c r="AX356">
        <v>16813677</v>
      </c>
      <c r="AY356">
        <v>1</v>
      </c>
      <c r="AZ356">
        <v>0</v>
      </c>
      <c r="BA356">
        <v>342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Y356*Source!I208</f>
        <v>5.9682000000000004</v>
      </c>
      <c r="CY356">
        <f t="shared" si="53"/>
        <v>1</v>
      </c>
      <c r="CZ356">
        <f t="shared" si="54"/>
        <v>1</v>
      </c>
      <c r="DA356">
        <f t="shared" si="55"/>
        <v>1</v>
      </c>
      <c r="DB356">
        <f t="shared" si="48"/>
        <v>6.86</v>
      </c>
      <c r="DC356">
        <f t="shared" si="49"/>
        <v>0</v>
      </c>
    </row>
    <row r="357" spans="1:107" x14ac:dyDescent="0.2">
      <c r="A357">
        <f>ROW(Source!A211)</f>
        <v>211</v>
      </c>
      <c r="B357">
        <v>16812721</v>
      </c>
      <c r="C357">
        <v>16813680</v>
      </c>
      <c r="D357">
        <v>15442878</v>
      </c>
      <c r="E357">
        <v>1</v>
      </c>
      <c r="F357">
        <v>1</v>
      </c>
      <c r="G357">
        <v>1</v>
      </c>
      <c r="H357">
        <v>1</v>
      </c>
      <c r="I357" t="s">
        <v>1079</v>
      </c>
      <c r="J357" t="s">
        <v>6</v>
      </c>
      <c r="K357" t="s">
        <v>1080</v>
      </c>
      <c r="L357">
        <v>1191</v>
      </c>
      <c r="N357">
        <v>1013</v>
      </c>
      <c r="O357" t="s">
        <v>773</v>
      </c>
      <c r="P357" t="s">
        <v>773</v>
      </c>
      <c r="Q357">
        <v>1</v>
      </c>
      <c r="W357">
        <v>0</v>
      </c>
      <c r="X357">
        <v>-362667798</v>
      </c>
      <c r="Y357">
        <v>0.9</v>
      </c>
      <c r="AA357">
        <v>0</v>
      </c>
      <c r="AB357">
        <v>0</v>
      </c>
      <c r="AC357">
        <v>0</v>
      </c>
      <c r="AD357">
        <v>70.459999999999994</v>
      </c>
      <c r="AE357">
        <v>0</v>
      </c>
      <c r="AF357">
        <v>0</v>
      </c>
      <c r="AG357">
        <v>0</v>
      </c>
      <c r="AH357">
        <v>10.5</v>
      </c>
      <c r="AI357">
        <v>1</v>
      </c>
      <c r="AJ357">
        <v>1</v>
      </c>
      <c r="AK357">
        <v>1</v>
      </c>
      <c r="AL357">
        <v>6.71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6</v>
      </c>
      <c r="AT357">
        <v>0.9</v>
      </c>
      <c r="AU357" t="s">
        <v>6</v>
      </c>
      <c r="AV357">
        <v>1</v>
      </c>
      <c r="AW357">
        <v>2</v>
      </c>
      <c r="AX357">
        <v>16813690</v>
      </c>
      <c r="AY357">
        <v>1</v>
      </c>
      <c r="AZ357">
        <v>0</v>
      </c>
      <c r="BA357">
        <v>343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Y357*Source!I211</f>
        <v>3.6</v>
      </c>
      <c r="CY357">
        <f>AD357</f>
        <v>70.459999999999994</v>
      </c>
      <c r="CZ357">
        <f>AH357</f>
        <v>10.5</v>
      </c>
      <c r="DA357">
        <f>AL357</f>
        <v>6.71</v>
      </c>
      <c r="DB357">
        <f t="shared" ref="DB357:DB388" si="56">ROUND(ROUND(AT357*CZ357,2),2)</f>
        <v>9.4499999999999993</v>
      </c>
      <c r="DC357">
        <f t="shared" ref="DC357:DC388" si="57">ROUND(ROUND(AT357*AG357,2),2)</f>
        <v>0</v>
      </c>
    </row>
    <row r="358" spans="1:107" x14ac:dyDescent="0.2">
      <c r="A358">
        <f>ROW(Source!A211)</f>
        <v>211</v>
      </c>
      <c r="B358">
        <v>16812721</v>
      </c>
      <c r="C358">
        <v>16813680</v>
      </c>
      <c r="D358">
        <v>15430395</v>
      </c>
      <c r="E358">
        <v>1</v>
      </c>
      <c r="F358">
        <v>1</v>
      </c>
      <c r="G358">
        <v>1</v>
      </c>
      <c r="H358">
        <v>1</v>
      </c>
      <c r="I358" t="s">
        <v>774</v>
      </c>
      <c r="J358" t="s">
        <v>6</v>
      </c>
      <c r="K358" t="s">
        <v>775</v>
      </c>
      <c r="L358">
        <v>1191</v>
      </c>
      <c r="N358">
        <v>1013</v>
      </c>
      <c r="O358" t="s">
        <v>773</v>
      </c>
      <c r="P358" t="s">
        <v>773</v>
      </c>
      <c r="Q358">
        <v>1</v>
      </c>
      <c r="W358">
        <v>0</v>
      </c>
      <c r="X358">
        <v>-1417349443</v>
      </c>
      <c r="Y358">
        <v>0.2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6.71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0.2</v>
      </c>
      <c r="AU358" t="s">
        <v>6</v>
      </c>
      <c r="AV358">
        <v>2</v>
      </c>
      <c r="AW358">
        <v>2</v>
      </c>
      <c r="AX358">
        <v>16813691</v>
      </c>
      <c r="AY358">
        <v>1</v>
      </c>
      <c r="AZ358">
        <v>0</v>
      </c>
      <c r="BA358">
        <v>344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Y358*Source!I211</f>
        <v>0.8</v>
      </c>
      <c r="CY358">
        <f>AD358</f>
        <v>0</v>
      </c>
      <c r="CZ358">
        <f>AH358</f>
        <v>0</v>
      </c>
      <c r="DA358">
        <f>AL358</f>
        <v>1</v>
      </c>
      <c r="DB358">
        <f t="shared" si="56"/>
        <v>0</v>
      </c>
      <c r="DC358">
        <f t="shared" si="57"/>
        <v>0</v>
      </c>
    </row>
    <row r="359" spans="1:107" x14ac:dyDescent="0.2">
      <c r="A359">
        <f>ROW(Source!A211)</f>
        <v>211</v>
      </c>
      <c r="B359">
        <v>16812721</v>
      </c>
      <c r="C359">
        <v>16813680</v>
      </c>
      <c r="D359">
        <v>15247680</v>
      </c>
      <c r="E359">
        <v>1</v>
      </c>
      <c r="F359">
        <v>1</v>
      </c>
      <c r="G359">
        <v>1</v>
      </c>
      <c r="H359">
        <v>2</v>
      </c>
      <c r="I359" t="s">
        <v>959</v>
      </c>
      <c r="J359" t="s">
        <v>960</v>
      </c>
      <c r="K359" t="s">
        <v>961</v>
      </c>
      <c r="L359">
        <v>1368</v>
      </c>
      <c r="N359">
        <v>1011</v>
      </c>
      <c r="O359" t="s">
        <v>779</v>
      </c>
      <c r="P359" t="s">
        <v>779</v>
      </c>
      <c r="Q359">
        <v>1</v>
      </c>
      <c r="W359">
        <v>0</v>
      </c>
      <c r="X359">
        <v>-1718674368</v>
      </c>
      <c r="Y359">
        <v>0.1</v>
      </c>
      <c r="AA359">
        <v>0</v>
      </c>
      <c r="AB359">
        <v>751.45</v>
      </c>
      <c r="AC359">
        <v>13.5</v>
      </c>
      <c r="AD359">
        <v>0</v>
      </c>
      <c r="AE359">
        <v>0</v>
      </c>
      <c r="AF359">
        <v>111.99</v>
      </c>
      <c r="AG359">
        <v>13.5</v>
      </c>
      <c r="AH359">
        <v>0</v>
      </c>
      <c r="AI359">
        <v>1</v>
      </c>
      <c r="AJ359">
        <v>6.71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6</v>
      </c>
      <c r="AT359">
        <v>0.1</v>
      </c>
      <c r="AU359" t="s">
        <v>6</v>
      </c>
      <c r="AV359">
        <v>0</v>
      </c>
      <c r="AW359">
        <v>2</v>
      </c>
      <c r="AX359">
        <v>16813692</v>
      </c>
      <c r="AY359">
        <v>1</v>
      </c>
      <c r="AZ359">
        <v>0</v>
      </c>
      <c r="BA359">
        <v>345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Y359*Source!I211</f>
        <v>0.4</v>
      </c>
      <c r="CY359">
        <f>AB359</f>
        <v>751.45</v>
      </c>
      <c r="CZ359">
        <f>AF359</f>
        <v>111.99</v>
      </c>
      <c r="DA359">
        <f>AJ359</f>
        <v>6.71</v>
      </c>
      <c r="DB359">
        <f t="shared" si="56"/>
        <v>11.2</v>
      </c>
      <c r="DC359">
        <f t="shared" si="57"/>
        <v>1.35</v>
      </c>
    </row>
    <row r="360" spans="1:107" x14ac:dyDescent="0.2">
      <c r="A360">
        <f>ROW(Source!A211)</f>
        <v>211</v>
      </c>
      <c r="B360">
        <v>16812721</v>
      </c>
      <c r="C360">
        <v>16813680</v>
      </c>
      <c r="D360">
        <v>15249073</v>
      </c>
      <c r="E360">
        <v>1</v>
      </c>
      <c r="F360">
        <v>1</v>
      </c>
      <c r="G360">
        <v>1</v>
      </c>
      <c r="H360">
        <v>2</v>
      </c>
      <c r="I360" t="s">
        <v>782</v>
      </c>
      <c r="J360" t="s">
        <v>783</v>
      </c>
      <c r="K360" t="s">
        <v>784</v>
      </c>
      <c r="L360">
        <v>1368</v>
      </c>
      <c r="N360">
        <v>1011</v>
      </c>
      <c r="O360" t="s">
        <v>779</v>
      </c>
      <c r="P360" t="s">
        <v>779</v>
      </c>
      <c r="Q360">
        <v>1</v>
      </c>
      <c r="W360">
        <v>0</v>
      </c>
      <c r="X360">
        <v>1372534845</v>
      </c>
      <c r="Y360">
        <v>0.1</v>
      </c>
      <c r="AA360">
        <v>0</v>
      </c>
      <c r="AB360">
        <v>440.91</v>
      </c>
      <c r="AC360">
        <v>11.6</v>
      </c>
      <c r="AD360">
        <v>0</v>
      </c>
      <c r="AE360">
        <v>0</v>
      </c>
      <c r="AF360">
        <v>65.709999999999994</v>
      </c>
      <c r="AG360">
        <v>11.6</v>
      </c>
      <c r="AH360">
        <v>0</v>
      </c>
      <c r="AI360">
        <v>1</v>
      </c>
      <c r="AJ360">
        <v>6.71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0.1</v>
      </c>
      <c r="AU360" t="s">
        <v>6</v>
      </c>
      <c r="AV360">
        <v>0</v>
      </c>
      <c r="AW360">
        <v>2</v>
      </c>
      <c r="AX360">
        <v>16813693</v>
      </c>
      <c r="AY360">
        <v>1</v>
      </c>
      <c r="AZ360">
        <v>0</v>
      </c>
      <c r="BA360">
        <v>346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Y360*Source!I211</f>
        <v>0.4</v>
      </c>
      <c r="CY360">
        <f>AB360</f>
        <v>440.91</v>
      </c>
      <c r="CZ360">
        <f>AF360</f>
        <v>65.709999999999994</v>
      </c>
      <c r="DA360">
        <f>AJ360</f>
        <v>6.71</v>
      </c>
      <c r="DB360">
        <f t="shared" si="56"/>
        <v>6.57</v>
      </c>
      <c r="DC360">
        <f t="shared" si="57"/>
        <v>1.1599999999999999</v>
      </c>
    </row>
    <row r="361" spans="1:107" x14ac:dyDescent="0.2">
      <c r="A361">
        <f>ROW(Source!A211)</f>
        <v>211</v>
      </c>
      <c r="B361">
        <v>16812721</v>
      </c>
      <c r="C361">
        <v>16813680</v>
      </c>
      <c r="D361">
        <v>15167588</v>
      </c>
      <c r="E361">
        <v>1</v>
      </c>
      <c r="F361">
        <v>1</v>
      </c>
      <c r="G361">
        <v>1</v>
      </c>
      <c r="H361">
        <v>3</v>
      </c>
      <c r="I361" t="s">
        <v>1006</v>
      </c>
      <c r="J361" t="s">
        <v>1007</v>
      </c>
      <c r="K361" t="s">
        <v>1008</v>
      </c>
      <c r="L361">
        <v>1346</v>
      </c>
      <c r="N361">
        <v>1009</v>
      </c>
      <c r="O361" t="s">
        <v>277</v>
      </c>
      <c r="P361" t="s">
        <v>277</v>
      </c>
      <c r="Q361">
        <v>1</v>
      </c>
      <c r="W361">
        <v>0</v>
      </c>
      <c r="X361">
        <v>-1088866022</v>
      </c>
      <c r="Y361">
        <v>0.01</v>
      </c>
      <c r="AA361">
        <v>203.98</v>
      </c>
      <c r="AB361">
        <v>0</v>
      </c>
      <c r="AC361">
        <v>0</v>
      </c>
      <c r="AD361">
        <v>0</v>
      </c>
      <c r="AE361">
        <v>30.4</v>
      </c>
      <c r="AF361">
        <v>0</v>
      </c>
      <c r="AG361">
        <v>0</v>
      </c>
      <c r="AH361">
        <v>0</v>
      </c>
      <c r="AI361">
        <v>6.71</v>
      </c>
      <c r="AJ361">
        <v>1</v>
      </c>
      <c r="AK361">
        <v>1</v>
      </c>
      <c r="AL361">
        <v>1</v>
      </c>
      <c r="AN361">
        <v>0</v>
      </c>
      <c r="AO361">
        <v>1</v>
      </c>
      <c r="AP361">
        <v>0</v>
      </c>
      <c r="AQ361">
        <v>0</v>
      </c>
      <c r="AR361">
        <v>0</v>
      </c>
      <c r="AS361" t="s">
        <v>6</v>
      </c>
      <c r="AT361">
        <v>0.01</v>
      </c>
      <c r="AU361" t="s">
        <v>6</v>
      </c>
      <c r="AV361">
        <v>0</v>
      </c>
      <c r="AW361">
        <v>2</v>
      </c>
      <c r="AX361">
        <v>16813694</v>
      </c>
      <c r="AY361">
        <v>1</v>
      </c>
      <c r="AZ361">
        <v>0</v>
      </c>
      <c r="BA361">
        <v>347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Y361*Source!I211</f>
        <v>0.04</v>
      </c>
      <c r="CY361">
        <f>AA361</f>
        <v>203.98</v>
      </c>
      <c r="CZ361">
        <f>AE361</f>
        <v>30.4</v>
      </c>
      <c r="DA361">
        <f>AI361</f>
        <v>6.71</v>
      </c>
      <c r="DB361">
        <f t="shared" si="56"/>
        <v>0.3</v>
      </c>
      <c r="DC361">
        <f t="shared" si="57"/>
        <v>0</v>
      </c>
    </row>
    <row r="362" spans="1:107" x14ac:dyDescent="0.2">
      <c r="A362">
        <f>ROW(Source!A211)</f>
        <v>211</v>
      </c>
      <c r="B362">
        <v>16812721</v>
      </c>
      <c r="C362">
        <v>16813680</v>
      </c>
      <c r="D362">
        <v>15169942</v>
      </c>
      <c r="E362">
        <v>1</v>
      </c>
      <c r="F362">
        <v>1</v>
      </c>
      <c r="G362">
        <v>1</v>
      </c>
      <c r="H362">
        <v>3</v>
      </c>
      <c r="I362" t="s">
        <v>1012</v>
      </c>
      <c r="J362" t="s">
        <v>1013</v>
      </c>
      <c r="K362" t="s">
        <v>1014</v>
      </c>
      <c r="L362">
        <v>1346</v>
      </c>
      <c r="N362">
        <v>1009</v>
      </c>
      <c r="O362" t="s">
        <v>277</v>
      </c>
      <c r="P362" t="s">
        <v>277</v>
      </c>
      <c r="Q362">
        <v>1</v>
      </c>
      <c r="W362">
        <v>0</v>
      </c>
      <c r="X362">
        <v>103900845</v>
      </c>
      <c r="Y362">
        <v>0.3</v>
      </c>
      <c r="AA362">
        <v>60.66</v>
      </c>
      <c r="AB362">
        <v>0</v>
      </c>
      <c r="AC362">
        <v>0</v>
      </c>
      <c r="AD362">
        <v>0</v>
      </c>
      <c r="AE362">
        <v>9.0399999999999991</v>
      </c>
      <c r="AF362">
        <v>0</v>
      </c>
      <c r="AG362">
        <v>0</v>
      </c>
      <c r="AH362">
        <v>0</v>
      </c>
      <c r="AI362">
        <v>6.71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0.3</v>
      </c>
      <c r="AU362" t="s">
        <v>6</v>
      </c>
      <c r="AV362">
        <v>0</v>
      </c>
      <c r="AW362">
        <v>2</v>
      </c>
      <c r="AX362">
        <v>16813695</v>
      </c>
      <c r="AY362">
        <v>1</v>
      </c>
      <c r="AZ362">
        <v>0</v>
      </c>
      <c r="BA362">
        <v>348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Y362*Source!I211</f>
        <v>1.2</v>
      </c>
      <c r="CY362">
        <f>AA362</f>
        <v>60.66</v>
      </c>
      <c r="CZ362">
        <f>AE362</f>
        <v>9.0399999999999991</v>
      </c>
      <c r="DA362">
        <f>AI362</f>
        <v>6.71</v>
      </c>
      <c r="DB362">
        <f t="shared" si="56"/>
        <v>2.71</v>
      </c>
      <c r="DC362">
        <f t="shared" si="57"/>
        <v>0</v>
      </c>
    </row>
    <row r="363" spans="1:107" x14ac:dyDescent="0.2">
      <c r="A363">
        <f>ROW(Source!A211)</f>
        <v>211</v>
      </c>
      <c r="B363">
        <v>16812721</v>
      </c>
      <c r="C363">
        <v>16813680</v>
      </c>
      <c r="D363">
        <v>15191488</v>
      </c>
      <c r="E363">
        <v>1</v>
      </c>
      <c r="F363">
        <v>1</v>
      </c>
      <c r="G363">
        <v>1</v>
      </c>
      <c r="H363">
        <v>3</v>
      </c>
      <c r="I363" t="s">
        <v>1081</v>
      </c>
      <c r="J363" t="s">
        <v>1082</v>
      </c>
      <c r="K363" t="s">
        <v>1083</v>
      </c>
      <c r="L363">
        <v>1348</v>
      </c>
      <c r="N363">
        <v>1009</v>
      </c>
      <c r="O363" t="s">
        <v>145</v>
      </c>
      <c r="P363" t="s">
        <v>145</v>
      </c>
      <c r="Q363">
        <v>1000</v>
      </c>
      <c r="W363">
        <v>0</v>
      </c>
      <c r="X363">
        <v>-1598896989</v>
      </c>
      <c r="Y363">
        <v>5.9999999999999995E-4</v>
      </c>
      <c r="AA363">
        <v>33550</v>
      </c>
      <c r="AB363">
        <v>0</v>
      </c>
      <c r="AC363">
        <v>0</v>
      </c>
      <c r="AD363">
        <v>0</v>
      </c>
      <c r="AE363">
        <v>5000</v>
      </c>
      <c r="AF363">
        <v>0</v>
      </c>
      <c r="AG363">
        <v>0</v>
      </c>
      <c r="AH363">
        <v>0</v>
      </c>
      <c r="AI363">
        <v>6.71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6</v>
      </c>
      <c r="AT363">
        <v>5.9999999999999995E-4</v>
      </c>
      <c r="AU363" t="s">
        <v>6</v>
      </c>
      <c r="AV363">
        <v>0</v>
      </c>
      <c r="AW363">
        <v>2</v>
      </c>
      <c r="AX363">
        <v>16813696</v>
      </c>
      <c r="AY363">
        <v>1</v>
      </c>
      <c r="AZ363">
        <v>0</v>
      </c>
      <c r="BA363">
        <v>349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Y363*Source!I211</f>
        <v>2.3999999999999998E-3</v>
      </c>
      <c r="CY363">
        <f>AA363</f>
        <v>33550</v>
      </c>
      <c r="CZ363">
        <f>AE363</f>
        <v>5000</v>
      </c>
      <c r="DA363">
        <f>AI363</f>
        <v>6.71</v>
      </c>
      <c r="DB363">
        <f t="shared" si="56"/>
        <v>3</v>
      </c>
      <c r="DC363">
        <f t="shared" si="57"/>
        <v>0</v>
      </c>
    </row>
    <row r="364" spans="1:107" x14ac:dyDescent="0.2">
      <c r="A364">
        <f>ROW(Source!A211)</f>
        <v>211</v>
      </c>
      <c r="B364">
        <v>16812721</v>
      </c>
      <c r="C364">
        <v>16813680</v>
      </c>
      <c r="D364">
        <v>15239349</v>
      </c>
      <c r="E364">
        <v>1</v>
      </c>
      <c r="F364">
        <v>1</v>
      </c>
      <c r="G364">
        <v>1</v>
      </c>
      <c r="H364">
        <v>3</v>
      </c>
      <c r="I364" t="s">
        <v>582</v>
      </c>
      <c r="J364" t="s">
        <v>584</v>
      </c>
      <c r="K364" t="s">
        <v>583</v>
      </c>
      <c r="L364">
        <v>1358</v>
      </c>
      <c r="N364">
        <v>1010</v>
      </c>
      <c r="O364" t="s">
        <v>516</v>
      </c>
      <c r="P364" t="s">
        <v>516</v>
      </c>
      <c r="Q364">
        <v>10</v>
      </c>
      <c r="W364">
        <v>0</v>
      </c>
      <c r="X364">
        <v>-1428264759</v>
      </c>
      <c r="Y364">
        <v>0.1</v>
      </c>
      <c r="AA364">
        <v>1264.8399999999999</v>
      </c>
      <c r="AB364">
        <v>0</v>
      </c>
      <c r="AC364">
        <v>0</v>
      </c>
      <c r="AD364">
        <v>0</v>
      </c>
      <c r="AE364">
        <v>188.5</v>
      </c>
      <c r="AF364">
        <v>0</v>
      </c>
      <c r="AG364">
        <v>0</v>
      </c>
      <c r="AH364">
        <v>0</v>
      </c>
      <c r="AI364">
        <v>6.71</v>
      </c>
      <c r="AJ364">
        <v>1</v>
      </c>
      <c r="AK364">
        <v>1</v>
      </c>
      <c r="AL364">
        <v>1</v>
      </c>
      <c r="AN364">
        <v>0</v>
      </c>
      <c r="AO364">
        <v>0</v>
      </c>
      <c r="AP364">
        <v>0</v>
      </c>
      <c r="AQ364">
        <v>0</v>
      </c>
      <c r="AR364">
        <v>0</v>
      </c>
      <c r="AS364" t="s">
        <v>6</v>
      </c>
      <c r="AT364">
        <v>0.1</v>
      </c>
      <c r="AU364" t="s">
        <v>6</v>
      </c>
      <c r="AV364">
        <v>0</v>
      </c>
      <c r="AW364">
        <v>1</v>
      </c>
      <c r="AX364">
        <v>-1</v>
      </c>
      <c r="AY364">
        <v>0</v>
      </c>
      <c r="AZ364">
        <v>0</v>
      </c>
      <c r="BA364" t="s">
        <v>6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Y364*Source!I211</f>
        <v>0.4</v>
      </c>
      <c r="CY364">
        <f>AA364</f>
        <v>1264.8399999999999</v>
      </c>
      <c r="CZ364">
        <f>AE364</f>
        <v>188.5</v>
      </c>
      <c r="DA364">
        <f>AI364</f>
        <v>6.71</v>
      </c>
      <c r="DB364">
        <f t="shared" si="56"/>
        <v>18.850000000000001</v>
      </c>
      <c r="DC364">
        <f t="shared" si="57"/>
        <v>0</v>
      </c>
    </row>
    <row r="365" spans="1:107" x14ac:dyDescent="0.2">
      <c r="A365">
        <f>ROW(Source!A211)</f>
        <v>211</v>
      </c>
      <c r="B365">
        <v>16812721</v>
      </c>
      <c r="C365">
        <v>16813680</v>
      </c>
      <c r="D365">
        <v>15164559</v>
      </c>
      <c r="E365">
        <v>17</v>
      </c>
      <c r="F365">
        <v>1</v>
      </c>
      <c r="G365">
        <v>1</v>
      </c>
      <c r="H365">
        <v>3</v>
      </c>
      <c r="I365" t="s">
        <v>989</v>
      </c>
      <c r="J365" t="s">
        <v>6</v>
      </c>
      <c r="K365" t="s">
        <v>990</v>
      </c>
      <c r="L365">
        <v>1374</v>
      </c>
      <c r="N365">
        <v>1013</v>
      </c>
      <c r="O365" t="s">
        <v>991</v>
      </c>
      <c r="P365" t="s">
        <v>991</v>
      </c>
      <c r="Q365">
        <v>1</v>
      </c>
      <c r="W365">
        <v>0</v>
      </c>
      <c r="X365">
        <v>-1731369543</v>
      </c>
      <c r="Y365">
        <v>0.19</v>
      </c>
      <c r="AA365">
        <v>1</v>
      </c>
      <c r="AB365">
        <v>0</v>
      </c>
      <c r="AC365">
        <v>0</v>
      </c>
      <c r="AD365">
        <v>0</v>
      </c>
      <c r="AE365">
        <v>1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6</v>
      </c>
      <c r="AT365">
        <v>0.19</v>
      </c>
      <c r="AU365" t="s">
        <v>6</v>
      </c>
      <c r="AV365">
        <v>0</v>
      </c>
      <c r="AW365">
        <v>2</v>
      </c>
      <c r="AX365">
        <v>16813697</v>
      </c>
      <c r="AY365">
        <v>1</v>
      </c>
      <c r="AZ365">
        <v>0</v>
      </c>
      <c r="BA365">
        <v>350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Y365*Source!I211</f>
        <v>0.76</v>
      </c>
      <c r="CY365">
        <f>AA365</f>
        <v>1</v>
      </c>
      <c r="CZ365">
        <f>AE365</f>
        <v>1</v>
      </c>
      <c r="DA365">
        <f>AI365</f>
        <v>1</v>
      </c>
      <c r="DB365">
        <f t="shared" si="56"/>
        <v>0.19</v>
      </c>
      <c r="DC365">
        <f t="shared" si="57"/>
        <v>0</v>
      </c>
    </row>
    <row r="366" spans="1:107" x14ac:dyDescent="0.2">
      <c r="A366">
        <f>ROW(Source!A213)</f>
        <v>213</v>
      </c>
      <c r="B366">
        <v>16812721</v>
      </c>
      <c r="C366">
        <v>16813699</v>
      </c>
      <c r="D366">
        <v>15435721</v>
      </c>
      <c r="E366">
        <v>1</v>
      </c>
      <c r="F366">
        <v>1</v>
      </c>
      <c r="G366">
        <v>1</v>
      </c>
      <c r="H366">
        <v>1</v>
      </c>
      <c r="I366" t="s">
        <v>816</v>
      </c>
      <c r="J366" t="s">
        <v>6</v>
      </c>
      <c r="K366" t="s">
        <v>817</v>
      </c>
      <c r="L366">
        <v>1191</v>
      </c>
      <c r="N366">
        <v>1013</v>
      </c>
      <c r="O366" t="s">
        <v>773</v>
      </c>
      <c r="P366" t="s">
        <v>773</v>
      </c>
      <c r="Q366">
        <v>1</v>
      </c>
      <c r="W366">
        <v>0</v>
      </c>
      <c r="X366">
        <v>1983201532</v>
      </c>
      <c r="Y366">
        <v>1.56</v>
      </c>
      <c r="AA366">
        <v>0</v>
      </c>
      <c r="AB366">
        <v>0</v>
      </c>
      <c r="AC366">
        <v>0</v>
      </c>
      <c r="AD366">
        <v>63.81</v>
      </c>
      <c r="AE366">
        <v>0</v>
      </c>
      <c r="AF366">
        <v>0</v>
      </c>
      <c r="AG366">
        <v>0</v>
      </c>
      <c r="AH366">
        <v>9.51</v>
      </c>
      <c r="AI366">
        <v>1</v>
      </c>
      <c r="AJ366">
        <v>1</v>
      </c>
      <c r="AK366">
        <v>1</v>
      </c>
      <c r="AL366">
        <v>6.71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6</v>
      </c>
      <c r="AT366">
        <v>1.56</v>
      </c>
      <c r="AU366" t="s">
        <v>6</v>
      </c>
      <c r="AV366">
        <v>1</v>
      </c>
      <c r="AW366">
        <v>2</v>
      </c>
      <c r="AX366">
        <v>16813719</v>
      </c>
      <c r="AY366">
        <v>1</v>
      </c>
      <c r="AZ366">
        <v>0</v>
      </c>
      <c r="BA366">
        <v>351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Y366*Source!I213</f>
        <v>60.84</v>
      </c>
      <c r="CY366">
        <f>AD366</f>
        <v>63.81</v>
      </c>
      <c r="CZ366">
        <f>AH366</f>
        <v>9.51</v>
      </c>
      <c r="DA366">
        <f>AL366</f>
        <v>6.71</v>
      </c>
      <c r="DB366">
        <f t="shared" si="56"/>
        <v>14.84</v>
      </c>
      <c r="DC366">
        <f t="shared" si="57"/>
        <v>0</v>
      </c>
    </row>
    <row r="367" spans="1:107" x14ac:dyDescent="0.2">
      <c r="A367">
        <f>ROW(Source!A213)</f>
        <v>213</v>
      </c>
      <c r="B367">
        <v>16812721</v>
      </c>
      <c r="C367">
        <v>16813699</v>
      </c>
      <c r="D367">
        <v>15249377</v>
      </c>
      <c r="E367">
        <v>1</v>
      </c>
      <c r="F367">
        <v>1</v>
      </c>
      <c r="G367">
        <v>1</v>
      </c>
      <c r="H367">
        <v>2</v>
      </c>
      <c r="I367" t="s">
        <v>785</v>
      </c>
      <c r="J367" t="s">
        <v>786</v>
      </c>
      <c r="K367" t="s">
        <v>787</v>
      </c>
      <c r="L367">
        <v>1368</v>
      </c>
      <c r="N367">
        <v>1011</v>
      </c>
      <c r="O367" t="s">
        <v>779</v>
      </c>
      <c r="P367" t="s">
        <v>779</v>
      </c>
      <c r="Q367">
        <v>1</v>
      </c>
      <c r="W367">
        <v>0</v>
      </c>
      <c r="X367">
        <v>-353815937</v>
      </c>
      <c r="Y367">
        <v>0.13</v>
      </c>
      <c r="AA367">
        <v>0</v>
      </c>
      <c r="AB367">
        <v>54.35</v>
      </c>
      <c r="AC367">
        <v>0</v>
      </c>
      <c r="AD367">
        <v>0</v>
      </c>
      <c r="AE367">
        <v>0</v>
      </c>
      <c r="AF367">
        <v>8.1</v>
      </c>
      <c r="AG367">
        <v>0</v>
      </c>
      <c r="AH367">
        <v>0</v>
      </c>
      <c r="AI367">
        <v>1</v>
      </c>
      <c r="AJ367">
        <v>6.71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0.13</v>
      </c>
      <c r="AU367" t="s">
        <v>6</v>
      </c>
      <c r="AV367">
        <v>0</v>
      </c>
      <c r="AW367">
        <v>2</v>
      </c>
      <c r="AX367">
        <v>16813720</v>
      </c>
      <c r="AY367">
        <v>1</v>
      </c>
      <c r="AZ367">
        <v>0</v>
      </c>
      <c r="BA367">
        <v>352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Y367*Source!I213</f>
        <v>5.07</v>
      </c>
      <c r="CY367">
        <f>AB367</f>
        <v>54.35</v>
      </c>
      <c r="CZ367">
        <f>AF367</f>
        <v>8.1</v>
      </c>
      <c r="DA367">
        <f>AJ367</f>
        <v>6.71</v>
      </c>
      <c r="DB367">
        <f t="shared" si="56"/>
        <v>1.05</v>
      </c>
      <c r="DC367">
        <f t="shared" si="57"/>
        <v>0</v>
      </c>
    </row>
    <row r="368" spans="1:107" x14ac:dyDescent="0.2">
      <c r="A368">
        <f>ROW(Source!A213)</f>
        <v>213</v>
      </c>
      <c r="B368">
        <v>16812721</v>
      </c>
      <c r="C368">
        <v>16813699</v>
      </c>
      <c r="D368">
        <v>15165537</v>
      </c>
      <c r="E368">
        <v>1</v>
      </c>
      <c r="F368">
        <v>1</v>
      </c>
      <c r="G368">
        <v>1</v>
      </c>
      <c r="H368">
        <v>3</v>
      </c>
      <c r="I368" t="s">
        <v>1000</v>
      </c>
      <c r="J368" t="s">
        <v>1001</v>
      </c>
      <c r="K368" t="s">
        <v>1002</v>
      </c>
      <c r="L368">
        <v>1346</v>
      </c>
      <c r="N368">
        <v>1009</v>
      </c>
      <c r="O368" t="s">
        <v>277</v>
      </c>
      <c r="P368" t="s">
        <v>277</v>
      </c>
      <c r="Q368">
        <v>1</v>
      </c>
      <c r="W368">
        <v>0</v>
      </c>
      <c r="X368">
        <v>618806536</v>
      </c>
      <c r="Y368">
        <v>6.0000000000000001E-3</v>
      </c>
      <c r="AA368">
        <v>301.75</v>
      </c>
      <c r="AB368">
        <v>0</v>
      </c>
      <c r="AC368">
        <v>0</v>
      </c>
      <c r="AD368">
        <v>0</v>
      </c>
      <c r="AE368">
        <v>44.97</v>
      </c>
      <c r="AF368">
        <v>0</v>
      </c>
      <c r="AG368">
        <v>0</v>
      </c>
      <c r="AH368">
        <v>0</v>
      </c>
      <c r="AI368">
        <v>6.71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6.0000000000000001E-3</v>
      </c>
      <c r="AU368" t="s">
        <v>6</v>
      </c>
      <c r="AV368">
        <v>0</v>
      </c>
      <c r="AW368">
        <v>2</v>
      </c>
      <c r="AX368">
        <v>16813721</v>
      </c>
      <c r="AY368">
        <v>1</v>
      </c>
      <c r="AZ368">
        <v>0</v>
      </c>
      <c r="BA368">
        <v>353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Y368*Source!I213</f>
        <v>0.23400000000000001</v>
      </c>
      <c r="CY368">
        <f t="shared" ref="CY368:CY386" si="58">AA368</f>
        <v>301.75</v>
      </c>
      <c r="CZ368">
        <f t="shared" ref="CZ368:CZ386" si="59">AE368</f>
        <v>44.97</v>
      </c>
      <c r="DA368">
        <f t="shared" ref="DA368:DA386" si="60">AI368</f>
        <v>6.71</v>
      </c>
      <c r="DB368">
        <f t="shared" si="56"/>
        <v>0.27</v>
      </c>
      <c r="DC368">
        <f t="shared" si="57"/>
        <v>0</v>
      </c>
    </row>
    <row r="369" spans="1:107" x14ac:dyDescent="0.2">
      <c r="A369">
        <f>ROW(Source!A213)</f>
        <v>213</v>
      </c>
      <c r="B369">
        <v>16812721</v>
      </c>
      <c r="C369">
        <v>16813699</v>
      </c>
      <c r="D369">
        <v>15167269</v>
      </c>
      <c r="E369">
        <v>1</v>
      </c>
      <c r="F369">
        <v>1</v>
      </c>
      <c r="G369">
        <v>1</v>
      </c>
      <c r="H369">
        <v>3</v>
      </c>
      <c r="I369" t="s">
        <v>1003</v>
      </c>
      <c r="J369" t="s">
        <v>1004</v>
      </c>
      <c r="K369" t="s">
        <v>1005</v>
      </c>
      <c r="L369">
        <v>1346</v>
      </c>
      <c r="N369">
        <v>1009</v>
      </c>
      <c r="O369" t="s">
        <v>277</v>
      </c>
      <c r="P369" t="s">
        <v>277</v>
      </c>
      <c r="Q369">
        <v>1</v>
      </c>
      <c r="W369">
        <v>0</v>
      </c>
      <c r="X369">
        <v>56922527</v>
      </c>
      <c r="Y369">
        <v>1E-3</v>
      </c>
      <c r="AA369">
        <v>77.17</v>
      </c>
      <c r="AB369">
        <v>0</v>
      </c>
      <c r="AC369">
        <v>0</v>
      </c>
      <c r="AD369">
        <v>0</v>
      </c>
      <c r="AE369">
        <v>11.5</v>
      </c>
      <c r="AF369">
        <v>0</v>
      </c>
      <c r="AG369">
        <v>0</v>
      </c>
      <c r="AH369">
        <v>0</v>
      </c>
      <c r="AI369">
        <v>6.71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0</v>
      </c>
      <c r="AQ369">
        <v>0</v>
      </c>
      <c r="AR369">
        <v>0</v>
      </c>
      <c r="AS369" t="s">
        <v>6</v>
      </c>
      <c r="AT369">
        <v>1E-3</v>
      </c>
      <c r="AU369" t="s">
        <v>6</v>
      </c>
      <c r="AV369">
        <v>0</v>
      </c>
      <c r="AW369">
        <v>2</v>
      </c>
      <c r="AX369">
        <v>16813722</v>
      </c>
      <c r="AY369">
        <v>1</v>
      </c>
      <c r="AZ369">
        <v>0</v>
      </c>
      <c r="BA369">
        <v>354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Y369*Source!I213</f>
        <v>3.9E-2</v>
      </c>
      <c r="CY369">
        <f t="shared" si="58"/>
        <v>77.17</v>
      </c>
      <c r="CZ369">
        <f t="shared" si="59"/>
        <v>11.5</v>
      </c>
      <c r="DA369">
        <f t="shared" si="60"/>
        <v>6.71</v>
      </c>
      <c r="DB369">
        <f t="shared" si="56"/>
        <v>0.01</v>
      </c>
      <c r="DC369">
        <f t="shared" si="57"/>
        <v>0</v>
      </c>
    </row>
    <row r="370" spans="1:107" x14ac:dyDescent="0.2">
      <c r="A370">
        <f>ROW(Source!A213)</f>
        <v>213</v>
      </c>
      <c r="B370">
        <v>16812721</v>
      </c>
      <c r="C370">
        <v>16813699</v>
      </c>
      <c r="D370">
        <v>15167588</v>
      </c>
      <c r="E370">
        <v>1</v>
      </c>
      <c r="F370">
        <v>1</v>
      </c>
      <c r="G370">
        <v>1</v>
      </c>
      <c r="H370">
        <v>3</v>
      </c>
      <c r="I370" t="s">
        <v>1006</v>
      </c>
      <c r="J370" t="s">
        <v>1007</v>
      </c>
      <c r="K370" t="s">
        <v>1008</v>
      </c>
      <c r="L370">
        <v>1346</v>
      </c>
      <c r="N370">
        <v>1009</v>
      </c>
      <c r="O370" t="s">
        <v>277</v>
      </c>
      <c r="P370" t="s">
        <v>277</v>
      </c>
      <c r="Q370">
        <v>1</v>
      </c>
      <c r="W370">
        <v>0</v>
      </c>
      <c r="X370">
        <v>-1088866022</v>
      </c>
      <c r="Y370">
        <v>1.2E-2</v>
      </c>
      <c r="AA370">
        <v>203.98</v>
      </c>
      <c r="AB370">
        <v>0</v>
      </c>
      <c r="AC370">
        <v>0</v>
      </c>
      <c r="AD370">
        <v>0</v>
      </c>
      <c r="AE370">
        <v>30.4</v>
      </c>
      <c r="AF370">
        <v>0</v>
      </c>
      <c r="AG370">
        <v>0</v>
      </c>
      <c r="AH370">
        <v>0</v>
      </c>
      <c r="AI370">
        <v>6.71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6</v>
      </c>
      <c r="AT370">
        <v>1.2E-2</v>
      </c>
      <c r="AU370" t="s">
        <v>6</v>
      </c>
      <c r="AV370">
        <v>0</v>
      </c>
      <c r="AW370">
        <v>2</v>
      </c>
      <c r="AX370">
        <v>16813723</v>
      </c>
      <c r="AY370">
        <v>1</v>
      </c>
      <c r="AZ370">
        <v>0</v>
      </c>
      <c r="BA370">
        <v>355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Y370*Source!I213</f>
        <v>0.46800000000000003</v>
      </c>
      <c r="CY370">
        <f t="shared" si="58"/>
        <v>203.98</v>
      </c>
      <c r="CZ370">
        <f t="shared" si="59"/>
        <v>30.4</v>
      </c>
      <c r="DA370">
        <f t="shared" si="60"/>
        <v>6.71</v>
      </c>
      <c r="DB370">
        <f t="shared" si="56"/>
        <v>0.36</v>
      </c>
      <c r="DC370">
        <f t="shared" si="57"/>
        <v>0</v>
      </c>
    </row>
    <row r="371" spans="1:107" x14ac:dyDescent="0.2">
      <c r="A371">
        <f>ROW(Source!A213)</f>
        <v>213</v>
      </c>
      <c r="B371">
        <v>16812721</v>
      </c>
      <c r="C371">
        <v>16813699</v>
      </c>
      <c r="D371">
        <v>15168752</v>
      </c>
      <c r="E371">
        <v>1</v>
      </c>
      <c r="F371">
        <v>1</v>
      </c>
      <c r="G371">
        <v>1</v>
      </c>
      <c r="H371">
        <v>3</v>
      </c>
      <c r="I371" t="s">
        <v>1009</v>
      </c>
      <c r="J371" t="s">
        <v>1010</v>
      </c>
      <c r="K371" t="s">
        <v>1011</v>
      </c>
      <c r="L371">
        <v>1346</v>
      </c>
      <c r="N371">
        <v>1009</v>
      </c>
      <c r="O371" t="s">
        <v>277</v>
      </c>
      <c r="P371" t="s">
        <v>277</v>
      </c>
      <c r="Q371">
        <v>1</v>
      </c>
      <c r="W371">
        <v>0</v>
      </c>
      <c r="X371">
        <v>586013393</v>
      </c>
      <c r="Y371">
        <v>7.0000000000000007E-2</v>
      </c>
      <c r="AA371">
        <v>70.92</v>
      </c>
      <c r="AB371">
        <v>0</v>
      </c>
      <c r="AC371">
        <v>0</v>
      </c>
      <c r="AD371">
        <v>0</v>
      </c>
      <c r="AE371">
        <v>10.57</v>
      </c>
      <c r="AF371">
        <v>0</v>
      </c>
      <c r="AG371">
        <v>0</v>
      </c>
      <c r="AH371">
        <v>0</v>
      </c>
      <c r="AI371">
        <v>6.71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7.0000000000000007E-2</v>
      </c>
      <c r="AU371" t="s">
        <v>6</v>
      </c>
      <c r="AV371">
        <v>0</v>
      </c>
      <c r="AW371">
        <v>2</v>
      </c>
      <c r="AX371">
        <v>16813724</v>
      </c>
      <c r="AY371">
        <v>1</v>
      </c>
      <c r="AZ371">
        <v>0</v>
      </c>
      <c r="BA371">
        <v>356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Y371*Source!I213</f>
        <v>2.7300000000000004</v>
      </c>
      <c r="CY371">
        <f t="shared" si="58"/>
        <v>70.92</v>
      </c>
      <c r="CZ371">
        <f t="shared" si="59"/>
        <v>10.57</v>
      </c>
      <c r="DA371">
        <f t="shared" si="60"/>
        <v>6.71</v>
      </c>
      <c r="DB371">
        <f t="shared" si="56"/>
        <v>0.74</v>
      </c>
      <c r="DC371">
        <f t="shared" si="57"/>
        <v>0</v>
      </c>
    </row>
    <row r="372" spans="1:107" x14ac:dyDescent="0.2">
      <c r="A372">
        <f>ROW(Source!A213)</f>
        <v>213</v>
      </c>
      <c r="B372">
        <v>16812721</v>
      </c>
      <c r="C372">
        <v>16813699</v>
      </c>
      <c r="D372">
        <v>15169942</v>
      </c>
      <c r="E372">
        <v>1</v>
      </c>
      <c r="F372">
        <v>1</v>
      </c>
      <c r="G372">
        <v>1</v>
      </c>
      <c r="H372">
        <v>3</v>
      </c>
      <c r="I372" t="s">
        <v>1012</v>
      </c>
      <c r="J372" t="s">
        <v>1013</v>
      </c>
      <c r="K372" t="s">
        <v>1014</v>
      </c>
      <c r="L372">
        <v>1346</v>
      </c>
      <c r="N372">
        <v>1009</v>
      </c>
      <c r="O372" t="s">
        <v>277</v>
      </c>
      <c r="P372" t="s">
        <v>277</v>
      </c>
      <c r="Q372">
        <v>1</v>
      </c>
      <c r="W372">
        <v>0</v>
      </c>
      <c r="X372">
        <v>103900845</v>
      </c>
      <c r="Y372">
        <v>4.9000000000000002E-2</v>
      </c>
      <c r="AA372">
        <v>60.66</v>
      </c>
      <c r="AB372">
        <v>0</v>
      </c>
      <c r="AC372">
        <v>0</v>
      </c>
      <c r="AD372">
        <v>0</v>
      </c>
      <c r="AE372">
        <v>9.0399999999999991</v>
      </c>
      <c r="AF372">
        <v>0</v>
      </c>
      <c r="AG372">
        <v>0</v>
      </c>
      <c r="AH372">
        <v>0</v>
      </c>
      <c r="AI372">
        <v>6.71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0</v>
      </c>
      <c r="AQ372">
        <v>0</v>
      </c>
      <c r="AR372">
        <v>0</v>
      </c>
      <c r="AS372" t="s">
        <v>6</v>
      </c>
      <c r="AT372">
        <v>4.9000000000000002E-2</v>
      </c>
      <c r="AU372" t="s">
        <v>6</v>
      </c>
      <c r="AV372">
        <v>0</v>
      </c>
      <c r="AW372">
        <v>2</v>
      </c>
      <c r="AX372">
        <v>16813725</v>
      </c>
      <c r="AY372">
        <v>1</v>
      </c>
      <c r="AZ372">
        <v>0</v>
      </c>
      <c r="BA372">
        <v>357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Y372*Source!I213</f>
        <v>1.911</v>
      </c>
      <c r="CY372">
        <f t="shared" si="58"/>
        <v>60.66</v>
      </c>
      <c r="CZ372">
        <f t="shared" si="59"/>
        <v>9.0399999999999991</v>
      </c>
      <c r="DA372">
        <f t="shared" si="60"/>
        <v>6.71</v>
      </c>
      <c r="DB372">
        <f t="shared" si="56"/>
        <v>0.44</v>
      </c>
      <c r="DC372">
        <f t="shared" si="57"/>
        <v>0</v>
      </c>
    </row>
    <row r="373" spans="1:107" x14ac:dyDescent="0.2">
      <c r="A373">
        <f>ROW(Source!A213)</f>
        <v>213</v>
      </c>
      <c r="B373">
        <v>16812721</v>
      </c>
      <c r="C373">
        <v>16813699</v>
      </c>
      <c r="D373">
        <v>15170074</v>
      </c>
      <c r="E373">
        <v>1</v>
      </c>
      <c r="F373">
        <v>1</v>
      </c>
      <c r="G373">
        <v>1</v>
      </c>
      <c r="H373">
        <v>3</v>
      </c>
      <c r="I373" t="s">
        <v>1015</v>
      </c>
      <c r="J373" t="s">
        <v>1016</v>
      </c>
      <c r="K373" t="s">
        <v>1017</v>
      </c>
      <c r="L373">
        <v>1355</v>
      </c>
      <c r="N373">
        <v>1010</v>
      </c>
      <c r="O373" t="s">
        <v>188</v>
      </c>
      <c r="P373" t="s">
        <v>188</v>
      </c>
      <c r="Q373">
        <v>100</v>
      </c>
      <c r="W373">
        <v>0</v>
      </c>
      <c r="X373">
        <v>1794244060</v>
      </c>
      <c r="Y373">
        <v>1.4E-2</v>
      </c>
      <c r="AA373">
        <v>577.05999999999995</v>
      </c>
      <c r="AB373">
        <v>0</v>
      </c>
      <c r="AC373">
        <v>0</v>
      </c>
      <c r="AD373">
        <v>0</v>
      </c>
      <c r="AE373">
        <v>86</v>
      </c>
      <c r="AF373">
        <v>0</v>
      </c>
      <c r="AG373">
        <v>0</v>
      </c>
      <c r="AH373">
        <v>0</v>
      </c>
      <c r="AI373">
        <v>6.71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0</v>
      </c>
      <c r="AQ373">
        <v>0</v>
      </c>
      <c r="AR373">
        <v>0</v>
      </c>
      <c r="AS373" t="s">
        <v>6</v>
      </c>
      <c r="AT373">
        <v>1.4E-2</v>
      </c>
      <c r="AU373" t="s">
        <v>6</v>
      </c>
      <c r="AV373">
        <v>0</v>
      </c>
      <c r="AW373">
        <v>2</v>
      </c>
      <c r="AX373">
        <v>16813726</v>
      </c>
      <c r="AY373">
        <v>1</v>
      </c>
      <c r="AZ373">
        <v>0</v>
      </c>
      <c r="BA373">
        <v>358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Y373*Source!I213</f>
        <v>0.54600000000000004</v>
      </c>
      <c r="CY373">
        <f t="shared" si="58"/>
        <v>577.05999999999995</v>
      </c>
      <c r="CZ373">
        <f t="shared" si="59"/>
        <v>86</v>
      </c>
      <c r="DA373">
        <f t="shared" si="60"/>
        <v>6.71</v>
      </c>
      <c r="DB373">
        <f t="shared" si="56"/>
        <v>1.2</v>
      </c>
      <c r="DC373">
        <f t="shared" si="57"/>
        <v>0</v>
      </c>
    </row>
    <row r="374" spans="1:107" x14ac:dyDescent="0.2">
      <c r="A374">
        <f>ROW(Source!A213)</f>
        <v>213</v>
      </c>
      <c r="B374">
        <v>16812721</v>
      </c>
      <c r="C374">
        <v>16813699</v>
      </c>
      <c r="D374">
        <v>15170994</v>
      </c>
      <c r="E374">
        <v>1</v>
      </c>
      <c r="F374">
        <v>1</v>
      </c>
      <c r="G374">
        <v>1</v>
      </c>
      <c r="H374">
        <v>3</v>
      </c>
      <c r="I374" t="s">
        <v>1018</v>
      </c>
      <c r="J374" t="s">
        <v>1019</v>
      </c>
      <c r="K374" t="s">
        <v>1020</v>
      </c>
      <c r="L374">
        <v>1346</v>
      </c>
      <c r="N374">
        <v>1009</v>
      </c>
      <c r="O374" t="s">
        <v>277</v>
      </c>
      <c r="P374" t="s">
        <v>277</v>
      </c>
      <c r="Q374">
        <v>1</v>
      </c>
      <c r="W374">
        <v>0</v>
      </c>
      <c r="X374">
        <v>-856710481</v>
      </c>
      <c r="Y374">
        <v>1E-3</v>
      </c>
      <c r="AA374">
        <v>892.77</v>
      </c>
      <c r="AB374">
        <v>0</v>
      </c>
      <c r="AC374">
        <v>0</v>
      </c>
      <c r="AD374">
        <v>0</v>
      </c>
      <c r="AE374">
        <v>133.05000000000001</v>
      </c>
      <c r="AF374">
        <v>0</v>
      </c>
      <c r="AG374">
        <v>0</v>
      </c>
      <c r="AH374">
        <v>0</v>
      </c>
      <c r="AI374">
        <v>6.71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1E-3</v>
      </c>
      <c r="AU374" t="s">
        <v>6</v>
      </c>
      <c r="AV374">
        <v>0</v>
      </c>
      <c r="AW374">
        <v>2</v>
      </c>
      <c r="AX374">
        <v>16813727</v>
      </c>
      <c r="AY374">
        <v>1</v>
      </c>
      <c r="AZ374">
        <v>0</v>
      </c>
      <c r="BA374">
        <v>359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Y374*Source!I213</f>
        <v>3.9E-2</v>
      </c>
      <c r="CY374">
        <f t="shared" si="58"/>
        <v>892.77</v>
      </c>
      <c r="CZ374">
        <f t="shared" si="59"/>
        <v>133.05000000000001</v>
      </c>
      <c r="DA374">
        <f t="shared" si="60"/>
        <v>6.71</v>
      </c>
      <c r="DB374">
        <f t="shared" si="56"/>
        <v>0.13</v>
      </c>
      <c r="DC374">
        <f t="shared" si="57"/>
        <v>0</v>
      </c>
    </row>
    <row r="375" spans="1:107" x14ac:dyDescent="0.2">
      <c r="A375">
        <f>ROW(Source!A213)</f>
        <v>213</v>
      </c>
      <c r="B375">
        <v>16812721</v>
      </c>
      <c r="C375">
        <v>16813699</v>
      </c>
      <c r="D375">
        <v>15188647</v>
      </c>
      <c r="E375">
        <v>1</v>
      </c>
      <c r="F375">
        <v>1</v>
      </c>
      <c r="G375">
        <v>1</v>
      </c>
      <c r="H375">
        <v>3</v>
      </c>
      <c r="I375" t="s">
        <v>1021</v>
      </c>
      <c r="J375" t="s">
        <v>1022</v>
      </c>
      <c r="K375" t="s">
        <v>1023</v>
      </c>
      <c r="L375">
        <v>1348</v>
      </c>
      <c r="N375">
        <v>1009</v>
      </c>
      <c r="O375" t="s">
        <v>145</v>
      </c>
      <c r="P375" t="s">
        <v>145</v>
      </c>
      <c r="Q375">
        <v>1000</v>
      </c>
      <c r="W375">
        <v>0</v>
      </c>
      <c r="X375">
        <v>426000481</v>
      </c>
      <c r="Y375">
        <v>1E-3</v>
      </c>
      <c r="AA375">
        <v>77165</v>
      </c>
      <c r="AB375">
        <v>0</v>
      </c>
      <c r="AC375">
        <v>0</v>
      </c>
      <c r="AD375">
        <v>0</v>
      </c>
      <c r="AE375">
        <v>11500</v>
      </c>
      <c r="AF375">
        <v>0</v>
      </c>
      <c r="AG375">
        <v>0</v>
      </c>
      <c r="AH375">
        <v>0</v>
      </c>
      <c r="AI375">
        <v>6.71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1E-3</v>
      </c>
      <c r="AU375" t="s">
        <v>6</v>
      </c>
      <c r="AV375">
        <v>0</v>
      </c>
      <c r="AW375">
        <v>2</v>
      </c>
      <c r="AX375">
        <v>16813728</v>
      </c>
      <c r="AY375">
        <v>1</v>
      </c>
      <c r="AZ375">
        <v>0</v>
      </c>
      <c r="BA375">
        <v>360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Y375*Source!I213</f>
        <v>3.9E-2</v>
      </c>
      <c r="CY375">
        <f t="shared" si="58"/>
        <v>77165</v>
      </c>
      <c r="CZ375">
        <f t="shared" si="59"/>
        <v>11500</v>
      </c>
      <c r="DA375">
        <f t="shared" si="60"/>
        <v>6.71</v>
      </c>
      <c r="DB375">
        <f t="shared" si="56"/>
        <v>11.5</v>
      </c>
      <c r="DC375">
        <f t="shared" si="57"/>
        <v>0</v>
      </c>
    </row>
    <row r="376" spans="1:107" x14ac:dyDescent="0.2">
      <c r="A376">
        <f>ROW(Source!A213)</f>
        <v>213</v>
      </c>
      <c r="B376">
        <v>16812721</v>
      </c>
      <c r="C376">
        <v>16813699</v>
      </c>
      <c r="D376">
        <v>15203834</v>
      </c>
      <c r="E376">
        <v>1</v>
      </c>
      <c r="F376">
        <v>1</v>
      </c>
      <c r="G376">
        <v>1</v>
      </c>
      <c r="H376">
        <v>3</v>
      </c>
      <c r="I376" t="s">
        <v>1024</v>
      </c>
      <c r="J376" t="s">
        <v>1025</v>
      </c>
      <c r="K376" t="s">
        <v>320</v>
      </c>
      <c r="L376">
        <v>1346</v>
      </c>
      <c r="N376">
        <v>1009</v>
      </c>
      <c r="O376" t="s">
        <v>277</v>
      </c>
      <c r="P376" t="s">
        <v>277</v>
      </c>
      <c r="Q376">
        <v>1</v>
      </c>
      <c r="W376">
        <v>0</v>
      </c>
      <c r="X376">
        <v>210558753</v>
      </c>
      <c r="Y376">
        <v>3.5999999999999997E-2</v>
      </c>
      <c r="AA376">
        <v>191.91</v>
      </c>
      <c r="AB376">
        <v>0</v>
      </c>
      <c r="AC376">
        <v>0</v>
      </c>
      <c r="AD376">
        <v>0</v>
      </c>
      <c r="AE376">
        <v>28.6</v>
      </c>
      <c r="AF376">
        <v>0</v>
      </c>
      <c r="AG376">
        <v>0</v>
      </c>
      <c r="AH376">
        <v>0</v>
      </c>
      <c r="AI376">
        <v>6.71</v>
      </c>
      <c r="AJ376">
        <v>1</v>
      </c>
      <c r="AK376">
        <v>1</v>
      </c>
      <c r="AL376">
        <v>1</v>
      </c>
      <c r="AN376">
        <v>0</v>
      </c>
      <c r="AO376">
        <v>1</v>
      </c>
      <c r="AP376">
        <v>0</v>
      </c>
      <c r="AQ376">
        <v>0</v>
      </c>
      <c r="AR376">
        <v>0</v>
      </c>
      <c r="AS376" t="s">
        <v>6</v>
      </c>
      <c r="AT376">
        <v>3.5999999999999997E-2</v>
      </c>
      <c r="AU376" t="s">
        <v>6</v>
      </c>
      <c r="AV376">
        <v>0</v>
      </c>
      <c r="AW376">
        <v>2</v>
      </c>
      <c r="AX376">
        <v>16813729</v>
      </c>
      <c r="AY376">
        <v>1</v>
      </c>
      <c r="AZ376">
        <v>0</v>
      </c>
      <c r="BA376">
        <v>361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Y376*Source!I213</f>
        <v>1.4039999999999999</v>
      </c>
      <c r="CY376">
        <f t="shared" si="58"/>
        <v>191.91</v>
      </c>
      <c r="CZ376">
        <f t="shared" si="59"/>
        <v>28.6</v>
      </c>
      <c r="DA376">
        <f t="shared" si="60"/>
        <v>6.71</v>
      </c>
      <c r="DB376">
        <f t="shared" si="56"/>
        <v>1.03</v>
      </c>
      <c r="DC376">
        <f t="shared" si="57"/>
        <v>0</v>
      </c>
    </row>
    <row r="377" spans="1:107" x14ac:dyDescent="0.2">
      <c r="A377">
        <f>ROW(Source!A213)</f>
        <v>213</v>
      </c>
      <c r="B377">
        <v>16812721</v>
      </c>
      <c r="C377">
        <v>16813699</v>
      </c>
      <c r="D377">
        <v>15203987</v>
      </c>
      <c r="E377">
        <v>1</v>
      </c>
      <c r="F377">
        <v>1</v>
      </c>
      <c r="G377">
        <v>1</v>
      </c>
      <c r="H377">
        <v>3</v>
      </c>
      <c r="I377" t="s">
        <v>1026</v>
      </c>
      <c r="J377" t="s">
        <v>1027</v>
      </c>
      <c r="K377" t="s">
        <v>1028</v>
      </c>
      <c r="L377">
        <v>1346</v>
      </c>
      <c r="N377">
        <v>1009</v>
      </c>
      <c r="O377" t="s">
        <v>277</v>
      </c>
      <c r="P377" t="s">
        <v>277</v>
      </c>
      <c r="Q377">
        <v>1</v>
      </c>
      <c r="W377">
        <v>0</v>
      </c>
      <c r="X377">
        <v>-1274984028</v>
      </c>
      <c r="Y377">
        <v>6.0000000000000001E-3</v>
      </c>
      <c r="AA377">
        <v>239.08</v>
      </c>
      <c r="AB377">
        <v>0</v>
      </c>
      <c r="AC377">
        <v>0</v>
      </c>
      <c r="AD377">
        <v>0</v>
      </c>
      <c r="AE377">
        <v>35.630000000000003</v>
      </c>
      <c r="AF377">
        <v>0</v>
      </c>
      <c r="AG377">
        <v>0</v>
      </c>
      <c r="AH377">
        <v>0</v>
      </c>
      <c r="AI377">
        <v>6.71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0</v>
      </c>
      <c r="AQ377">
        <v>0</v>
      </c>
      <c r="AR377">
        <v>0</v>
      </c>
      <c r="AS377" t="s">
        <v>6</v>
      </c>
      <c r="AT377">
        <v>6.0000000000000001E-3</v>
      </c>
      <c r="AU377" t="s">
        <v>6</v>
      </c>
      <c r="AV377">
        <v>0</v>
      </c>
      <c r="AW377">
        <v>2</v>
      </c>
      <c r="AX377">
        <v>16813730</v>
      </c>
      <c r="AY377">
        <v>1</v>
      </c>
      <c r="AZ377">
        <v>0</v>
      </c>
      <c r="BA377">
        <v>362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Y377*Source!I213</f>
        <v>0.23400000000000001</v>
      </c>
      <c r="CY377">
        <f t="shared" si="58"/>
        <v>239.08</v>
      </c>
      <c r="CZ377">
        <f t="shared" si="59"/>
        <v>35.630000000000003</v>
      </c>
      <c r="DA377">
        <f t="shared" si="60"/>
        <v>6.71</v>
      </c>
      <c r="DB377">
        <f t="shared" si="56"/>
        <v>0.21</v>
      </c>
      <c r="DC377">
        <f t="shared" si="57"/>
        <v>0</v>
      </c>
    </row>
    <row r="378" spans="1:107" x14ac:dyDescent="0.2">
      <c r="A378">
        <f>ROW(Source!A213)</f>
        <v>213</v>
      </c>
      <c r="B378">
        <v>16812721</v>
      </c>
      <c r="C378">
        <v>16813699</v>
      </c>
      <c r="D378">
        <v>15217463</v>
      </c>
      <c r="E378">
        <v>1</v>
      </c>
      <c r="F378">
        <v>1</v>
      </c>
      <c r="G378">
        <v>1</v>
      </c>
      <c r="H378">
        <v>3</v>
      </c>
      <c r="I378" t="s">
        <v>1029</v>
      </c>
      <c r="J378" t="s">
        <v>1030</v>
      </c>
      <c r="K378" t="s">
        <v>1031</v>
      </c>
      <c r="L378">
        <v>1358</v>
      </c>
      <c r="N378">
        <v>1010</v>
      </c>
      <c r="O378" t="s">
        <v>516</v>
      </c>
      <c r="P378" t="s">
        <v>516</v>
      </c>
      <c r="Q378">
        <v>10</v>
      </c>
      <c r="W378">
        <v>0</v>
      </c>
      <c r="X378">
        <v>1386890308</v>
      </c>
      <c r="Y378">
        <v>0.1</v>
      </c>
      <c r="AA378">
        <v>261.69</v>
      </c>
      <c r="AB378">
        <v>0</v>
      </c>
      <c r="AC378">
        <v>0</v>
      </c>
      <c r="AD378">
        <v>0</v>
      </c>
      <c r="AE378">
        <v>39</v>
      </c>
      <c r="AF378">
        <v>0</v>
      </c>
      <c r="AG378">
        <v>0</v>
      </c>
      <c r="AH378">
        <v>0</v>
      </c>
      <c r="AI378">
        <v>6.71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0.1</v>
      </c>
      <c r="AU378" t="s">
        <v>6</v>
      </c>
      <c r="AV378">
        <v>0</v>
      </c>
      <c r="AW378">
        <v>2</v>
      </c>
      <c r="AX378">
        <v>16813731</v>
      </c>
      <c r="AY378">
        <v>1</v>
      </c>
      <c r="AZ378">
        <v>0</v>
      </c>
      <c r="BA378">
        <v>363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Y378*Source!I213</f>
        <v>3.9000000000000004</v>
      </c>
      <c r="CY378">
        <f t="shared" si="58"/>
        <v>261.69</v>
      </c>
      <c r="CZ378">
        <f t="shared" si="59"/>
        <v>39</v>
      </c>
      <c r="DA378">
        <f t="shared" si="60"/>
        <v>6.71</v>
      </c>
      <c r="DB378">
        <f t="shared" si="56"/>
        <v>3.9</v>
      </c>
      <c r="DC378">
        <f t="shared" si="57"/>
        <v>0</v>
      </c>
    </row>
    <row r="379" spans="1:107" x14ac:dyDescent="0.2">
      <c r="A379">
        <f>ROW(Source!A213)</f>
        <v>213</v>
      </c>
      <c r="B379">
        <v>16812721</v>
      </c>
      <c r="C379">
        <v>16813699</v>
      </c>
      <c r="D379">
        <v>15238946</v>
      </c>
      <c r="E379">
        <v>1</v>
      </c>
      <c r="F379">
        <v>1</v>
      </c>
      <c r="G379">
        <v>1</v>
      </c>
      <c r="H379">
        <v>3</v>
      </c>
      <c r="I379" t="s">
        <v>598</v>
      </c>
      <c r="J379" t="s">
        <v>600</v>
      </c>
      <c r="K379" t="s">
        <v>599</v>
      </c>
      <c r="L379">
        <v>1354</v>
      </c>
      <c r="N379">
        <v>1010</v>
      </c>
      <c r="O379" t="s">
        <v>62</v>
      </c>
      <c r="P379" t="s">
        <v>62</v>
      </c>
      <c r="Q379">
        <v>1</v>
      </c>
      <c r="W379">
        <v>0</v>
      </c>
      <c r="X379">
        <v>1012048153</v>
      </c>
      <c r="Y379">
        <v>7.6923000000000005E-2</v>
      </c>
      <c r="AA379">
        <v>494.06</v>
      </c>
      <c r="AB379">
        <v>0</v>
      </c>
      <c r="AC379">
        <v>0</v>
      </c>
      <c r="AD379">
        <v>0</v>
      </c>
      <c r="AE379">
        <v>73.63</v>
      </c>
      <c r="AF379">
        <v>0</v>
      </c>
      <c r="AG379">
        <v>0</v>
      </c>
      <c r="AH379">
        <v>0</v>
      </c>
      <c r="AI379">
        <v>6.71</v>
      </c>
      <c r="AJ379">
        <v>1</v>
      </c>
      <c r="AK379">
        <v>1</v>
      </c>
      <c r="AL379">
        <v>1</v>
      </c>
      <c r="AN379">
        <v>0</v>
      </c>
      <c r="AO379">
        <v>0</v>
      </c>
      <c r="AP379">
        <v>0</v>
      </c>
      <c r="AQ379">
        <v>0</v>
      </c>
      <c r="AR379">
        <v>0</v>
      </c>
      <c r="AS379" t="s">
        <v>6</v>
      </c>
      <c r="AT379">
        <v>7.6923000000000005E-2</v>
      </c>
      <c r="AU379" t="s">
        <v>6</v>
      </c>
      <c r="AV379">
        <v>0</v>
      </c>
      <c r="AW379">
        <v>1</v>
      </c>
      <c r="AX379">
        <v>-1</v>
      </c>
      <c r="AY379">
        <v>0</v>
      </c>
      <c r="AZ379">
        <v>0</v>
      </c>
      <c r="BA379" t="s">
        <v>6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Y379*Source!I213</f>
        <v>2.999997</v>
      </c>
      <c r="CY379">
        <f t="shared" si="58"/>
        <v>494.06</v>
      </c>
      <c r="CZ379">
        <f t="shared" si="59"/>
        <v>73.63</v>
      </c>
      <c r="DA379">
        <f t="shared" si="60"/>
        <v>6.71</v>
      </c>
      <c r="DB379">
        <f t="shared" si="56"/>
        <v>5.66</v>
      </c>
      <c r="DC379">
        <f t="shared" si="57"/>
        <v>0</v>
      </c>
    </row>
    <row r="380" spans="1:107" x14ac:dyDescent="0.2">
      <c r="A380">
        <f>ROW(Source!A213)</f>
        <v>213</v>
      </c>
      <c r="B380">
        <v>16812721</v>
      </c>
      <c r="C380">
        <v>16813699</v>
      </c>
      <c r="D380">
        <v>15238947</v>
      </c>
      <c r="E380">
        <v>1</v>
      </c>
      <c r="F380">
        <v>1</v>
      </c>
      <c r="G380">
        <v>1</v>
      </c>
      <c r="H380">
        <v>3</v>
      </c>
      <c r="I380" t="s">
        <v>590</v>
      </c>
      <c r="J380" t="s">
        <v>592</v>
      </c>
      <c r="K380" t="s">
        <v>591</v>
      </c>
      <c r="L380">
        <v>1354</v>
      </c>
      <c r="N380">
        <v>1010</v>
      </c>
      <c r="O380" t="s">
        <v>62</v>
      </c>
      <c r="P380" t="s">
        <v>62</v>
      </c>
      <c r="Q380">
        <v>1</v>
      </c>
      <c r="W380">
        <v>0</v>
      </c>
      <c r="X380">
        <v>1587256181</v>
      </c>
      <c r="Y380">
        <v>0.51282099999999997</v>
      </c>
      <c r="AA380">
        <v>446.08</v>
      </c>
      <c r="AB380">
        <v>0</v>
      </c>
      <c r="AC380">
        <v>0</v>
      </c>
      <c r="AD380">
        <v>0</v>
      </c>
      <c r="AE380">
        <v>66.48</v>
      </c>
      <c r="AF380">
        <v>0</v>
      </c>
      <c r="AG380">
        <v>0</v>
      </c>
      <c r="AH380">
        <v>0</v>
      </c>
      <c r="AI380">
        <v>6.71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6</v>
      </c>
      <c r="AT380">
        <v>0.51282099999999997</v>
      </c>
      <c r="AU380" t="s">
        <v>6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6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Y380*Source!I213</f>
        <v>20.000018999999998</v>
      </c>
      <c r="CY380">
        <f t="shared" si="58"/>
        <v>446.08</v>
      </c>
      <c r="CZ380">
        <f t="shared" si="59"/>
        <v>66.48</v>
      </c>
      <c r="DA380">
        <f t="shared" si="60"/>
        <v>6.71</v>
      </c>
      <c r="DB380">
        <f t="shared" si="56"/>
        <v>34.090000000000003</v>
      </c>
      <c r="DC380">
        <f t="shared" si="57"/>
        <v>0</v>
      </c>
    </row>
    <row r="381" spans="1:107" x14ac:dyDescent="0.2">
      <c r="A381">
        <f>ROW(Source!A213)</f>
        <v>213</v>
      </c>
      <c r="B381">
        <v>16812721</v>
      </c>
      <c r="C381">
        <v>16813699</v>
      </c>
      <c r="D381">
        <v>15238948</v>
      </c>
      <c r="E381">
        <v>1</v>
      </c>
      <c r="F381">
        <v>1</v>
      </c>
      <c r="G381">
        <v>1</v>
      </c>
      <c r="H381">
        <v>3</v>
      </c>
      <c r="I381" t="s">
        <v>610</v>
      </c>
      <c r="J381" t="s">
        <v>612</v>
      </c>
      <c r="K381" t="s">
        <v>611</v>
      </c>
      <c r="L381">
        <v>1354</v>
      </c>
      <c r="N381">
        <v>1010</v>
      </c>
      <c r="O381" t="s">
        <v>62</v>
      </c>
      <c r="P381" t="s">
        <v>62</v>
      </c>
      <c r="Q381">
        <v>1</v>
      </c>
      <c r="W381">
        <v>0</v>
      </c>
      <c r="X381">
        <v>470103916</v>
      </c>
      <c r="Y381">
        <v>0.102564</v>
      </c>
      <c r="AA381">
        <v>491.78</v>
      </c>
      <c r="AB381">
        <v>0</v>
      </c>
      <c r="AC381">
        <v>0</v>
      </c>
      <c r="AD381">
        <v>0</v>
      </c>
      <c r="AE381">
        <v>73.290000000000006</v>
      </c>
      <c r="AF381">
        <v>0</v>
      </c>
      <c r="AG381">
        <v>0</v>
      </c>
      <c r="AH381">
        <v>0</v>
      </c>
      <c r="AI381">
        <v>6.71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6</v>
      </c>
      <c r="AT381">
        <v>0.102564</v>
      </c>
      <c r="AU381" t="s">
        <v>6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6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Y381*Source!I213</f>
        <v>3.9999959999999999</v>
      </c>
      <c r="CY381">
        <f t="shared" si="58"/>
        <v>491.78</v>
      </c>
      <c r="CZ381">
        <f t="shared" si="59"/>
        <v>73.290000000000006</v>
      </c>
      <c r="DA381">
        <f t="shared" si="60"/>
        <v>6.71</v>
      </c>
      <c r="DB381">
        <f t="shared" si="56"/>
        <v>7.52</v>
      </c>
      <c r="DC381">
        <f t="shared" si="57"/>
        <v>0</v>
      </c>
    </row>
    <row r="382" spans="1:107" x14ac:dyDescent="0.2">
      <c r="A382">
        <f>ROW(Source!A213)</f>
        <v>213</v>
      </c>
      <c r="B382">
        <v>16812721</v>
      </c>
      <c r="C382">
        <v>16813699</v>
      </c>
      <c r="D382">
        <v>15238962</v>
      </c>
      <c r="E382">
        <v>1</v>
      </c>
      <c r="F382">
        <v>1</v>
      </c>
      <c r="G382">
        <v>1</v>
      </c>
      <c r="H382">
        <v>3</v>
      </c>
      <c r="I382" t="s">
        <v>602</v>
      </c>
      <c r="J382" t="s">
        <v>604</v>
      </c>
      <c r="K382" t="s">
        <v>603</v>
      </c>
      <c r="L382">
        <v>1354</v>
      </c>
      <c r="N382">
        <v>1010</v>
      </c>
      <c r="O382" t="s">
        <v>62</v>
      </c>
      <c r="P382" t="s">
        <v>62</v>
      </c>
      <c r="Q382">
        <v>1</v>
      </c>
      <c r="W382">
        <v>0</v>
      </c>
      <c r="X382">
        <v>-476651515</v>
      </c>
      <c r="Y382">
        <v>0.102564</v>
      </c>
      <c r="AA382">
        <v>1552.02</v>
      </c>
      <c r="AB382">
        <v>0</v>
      </c>
      <c r="AC382">
        <v>0</v>
      </c>
      <c r="AD382">
        <v>0</v>
      </c>
      <c r="AE382">
        <v>231.3</v>
      </c>
      <c r="AF382">
        <v>0</v>
      </c>
      <c r="AG382">
        <v>0</v>
      </c>
      <c r="AH382">
        <v>0</v>
      </c>
      <c r="AI382">
        <v>6.71</v>
      </c>
      <c r="AJ382">
        <v>1</v>
      </c>
      <c r="AK382">
        <v>1</v>
      </c>
      <c r="AL382">
        <v>1</v>
      </c>
      <c r="AN382">
        <v>0</v>
      </c>
      <c r="AO382">
        <v>0</v>
      </c>
      <c r="AP382">
        <v>0</v>
      </c>
      <c r="AQ382">
        <v>0</v>
      </c>
      <c r="AR382">
        <v>0</v>
      </c>
      <c r="AS382" t="s">
        <v>6</v>
      </c>
      <c r="AT382">
        <v>0.102564</v>
      </c>
      <c r="AU382" t="s">
        <v>6</v>
      </c>
      <c r="AV382">
        <v>0</v>
      </c>
      <c r="AW382">
        <v>1</v>
      </c>
      <c r="AX382">
        <v>-1</v>
      </c>
      <c r="AY382">
        <v>0</v>
      </c>
      <c r="AZ382">
        <v>0</v>
      </c>
      <c r="BA382" t="s">
        <v>6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Y382*Source!I213</f>
        <v>3.9999959999999999</v>
      </c>
      <c r="CY382">
        <f t="shared" si="58"/>
        <v>1552.02</v>
      </c>
      <c r="CZ382">
        <f t="shared" si="59"/>
        <v>231.3</v>
      </c>
      <c r="DA382">
        <f t="shared" si="60"/>
        <v>6.71</v>
      </c>
      <c r="DB382">
        <f t="shared" si="56"/>
        <v>23.72</v>
      </c>
      <c r="DC382">
        <f t="shared" si="57"/>
        <v>0</v>
      </c>
    </row>
    <row r="383" spans="1:107" x14ac:dyDescent="0.2">
      <c r="A383">
        <f>ROW(Source!A213)</f>
        <v>213</v>
      </c>
      <c r="B383">
        <v>16812721</v>
      </c>
      <c r="C383">
        <v>16813699</v>
      </c>
      <c r="D383">
        <v>15238963</v>
      </c>
      <c r="E383">
        <v>1</v>
      </c>
      <c r="F383">
        <v>1</v>
      </c>
      <c r="G383">
        <v>1</v>
      </c>
      <c r="H383">
        <v>3</v>
      </c>
      <c r="I383" t="s">
        <v>594</v>
      </c>
      <c r="J383" t="s">
        <v>596</v>
      </c>
      <c r="K383" t="s">
        <v>595</v>
      </c>
      <c r="L383">
        <v>1354</v>
      </c>
      <c r="N383">
        <v>1010</v>
      </c>
      <c r="O383" t="s">
        <v>62</v>
      </c>
      <c r="P383" t="s">
        <v>62</v>
      </c>
      <c r="Q383">
        <v>1</v>
      </c>
      <c r="W383">
        <v>0</v>
      </c>
      <c r="X383">
        <v>942662242</v>
      </c>
      <c r="Y383">
        <v>2.5641000000000001E-2</v>
      </c>
      <c r="AA383">
        <v>1552.02</v>
      </c>
      <c r="AB383">
        <v>0</v>
      </c>
      <c r="AC383">
        <v>0</v>
      </c>
      <c r="AD383">
        <v>0</v>
      </c>
      <c r="AE383">
        <v>231.3</v>
      </c>
      <c r="AF383">
        <v>0</v>
      </c>
      <c r="AG383">
        <v>0</v>
      </c>
      <c r="AH383">
        <v>0</v>
      </c>
      <c r="AI383">
        <v>6.71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6</v>
      </c>
      <c r="AT383">
        <v>2.5641000000000001E-2</v>
      </c>
      <c r="AU383" t="s">
        <v>6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Y383*Source!I213</f>
        <v>0.99999899999999997</v>
      </c>
      <c r="CY383">
        <f t="shared" si="58"/>
        <v>1552.02</v>
      </c>
      <c r="CZ383">
        <f t="shared" si="59"/>
        <v>231.3</v>
      </c>
      <c r="DA383">
        <f t="shared" si="60"/>
        <v>6.71</v>
      </c>
      <c r="DB383">
        <f t="shared" si="56"/>
        <v>5.93</v>
      </c>
      <c r="DC383">
        <f t="shared" si="57"/>
        <v>0</v>
      </c>
    </row>
    <row r="384" spans="1:107" x14ac:dyDescent="0.2">
      <c r="A384">
        <f>ROW(Source!A213)</f>
        <v>213</v>
      </c>
      <c r="B384">
        <v>16812721</v>
      </c>
      <c r="C384">
        <v>16813699</v>
      </c>
      <c r="D384">
        <v>15238964</v>
      </c>
      <c r="E384">
        <v>1</v>
      </c>
      <c r="F384">
        <v>1</v>
      </c>
      <c r="G384">
        <v>1</v>
      </c>
      <c r="H384">
        <v>3</v>
      </c>
      <c r="I384" t="s">
        <v>606</v>
      </c>
      <c r="J384" t="s">
        <v>608</v>
      </c>
      <c r="K384" t="s">
        <v>607</v>
      </c>
      <c r="L384">
        <v>1354</v>
      </c>
      <c r="N384">
        <v>1010</v>
      </c>
      <c r="O384" t="s">
        <v>62</v>
      </c>
      <c r="P384" t="s">
        <v>62</v>
      </c>
      <c r="Q384">
        <v>1</v>
      </c>
      <c r="W384">
        <v>0</v>
      </c>
      <c r="X384">
        <v>-1509361717</v>
      </c>
      <c r="Y384">
        <v>7.6923000000000005E-2</v>
      </c>
      <c r="AA384">
        <v>2027.49</v>
      </c>
      <c r="AB384">
        <v>0</v>
      </c>
      <c r="AC384">
        <v>0</v>
      </c>
      <c r="AD384">
        <v>0</v>
      </c>
      <c r="AE384">
        <v>302.16000000000003</v>
      </c>
      <c r="AF384">
        <v>0</v>
      </c>
      <c r="AG384">
        <v>0</v>
      </c>
      <c r="AH384">
        <v>0</v>
      </c>
      <c r="AI384">
        <v>6.71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6</v>
      </c>
      <c r="AT384">
        <v>7.6923000000000005E-2</v>
      </c>
      <c r="AU384" t="s">
        <v>6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6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Y384*Source!I213</f>
        <v>2.999997</v>
      </c>
      <c r="CY384">
        <f t="shared" si="58"/>
        <v>2027.49</v>
      </c>
      <c r="CZ384">
        <f t="shared" si="59"/>
        <v>302.16000000000003</v>
      </c>
      <c r="DA384">
        <f t="shared" si="60"/>
        <v>6.71</v>
      </c>
      <c r="DB384">
        <f t="shared" si="56"/>
        <v>23.24</v>
      </c>
      <c r="DC384">
        <f t="shared" si="57"/>
        <v>0</v>
      </c>
    </row>
    <row r="385" spans="1:107" x14ac:dyDescent="0.2">
      <c r="A385">
        <f>ROW(Source!A213)</f>
        <v>213</v>
      </c>
      <c r="B385">
        <v>16812721</v>
      </c>
      <c r="C385">
        <v>16813699</v>
      </c>
      <c r="D385">
        <v>15238964</v>
      </c>
      <c r="E385">
        <v>1</v>
      </c>
      <c r="F385">
        <v>1</v>
      </c>
      <c r="G385">
        <v>1</v>
      </c>
      <c r="H385">
        <v>3</v>
      </c>
      <c r="I385" t="s">
        <v>606</v>
      </c>
      <c r="J385" t="s">
        <v>608</v>
      </c>
      <c r="K385" t="s">
        <v>614</v>
      </c>
      <c r="L385">
        <v>1354</v>
      </c>
      <c r="N385">
        <v>1010</v>
      </c>
      <c r="O385" t="s">
        <v>62</v>
      </c>
      <c r="P385" t="s">
        <v>62</v>
      </c>
      <c r="Q385">
        <v>1</v>
      </c>
      <c r="W385">
        <v>0</v>
      </c>
      <c r="X385">
        <v>-146177670</v>
      </c>
      <c r="Y385">
        <v>0.102564</v>
      </c>
      <c r="AA385">
        <v>2027.49</v>
      </c>
      <c r="AB385">
        <v>0</v>
      </c>
      <c r="AC385">
        <v>0</v>
      </c>
      <c r="AD385">
        <v>0</v>
      </c>
      <c r="AE385">
        <v>302.16000000000003</v>
      </c>
      <c r="AF385">
        <v>0</v>
      </c>
      <c r="AG385">
        <v>0</v>
      </c>
      <c r="AH385">
        <v>0</v>
      </c>
      <c r="AI385">
        <v>6.71</v>
      </c>
      <c r="AJ385">
        <v>1</v>
      </c>
      <c r="AK385">
        <v>1</v>
      </c>
      <c r="AL385">
        <v>1</v>
      </c>
      <c r="AN385">
        <v>0</v>
      </c>
      <c r="AO385">
        <v>0</v>
      </c>
      <c r="AP385">
        <v>0</v>
      </c>
      <c r="AQ385">
        <v>0</v>
      </c>
      <c r="AR385">
        <v>0</v>
      </c>
      <c r="AS385" t="s">
        <v>6</v>
      </c>
      <c r="AT385">
        <v>0.102564</v>
      </c>
      <c r="AU385" t="s">
        <v>6</v>
      </c>
      <c r="AV385">
        <v>0</v>
      </c>
      <c r="AW385">
        <v>1</v>
      </c>
      <c r="AX385">
        <v>-1</v>
      </c>
      <c r="AY385">
        <v>0</v>
      </c>
      <c r="AZ385">
        <v>0</v>
      </c>
      <c r="BA385" t="s">
        <v>6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Y385*Source!I213</f>
        <v>3.9999959999999999</v>
      </c>
      <c r="CY385">
        <f t="shared" si="58"/>
        <v>2027.49</v>
      </c>
      <c r="CZ385">
        <f t="shared" si="59"/>
        <v>302.16000000000003</v>
      </c>
      <c r="DA385">
        <f t="shared" si="60"/>
        <v>6.71</v>
      </c>
      <c r="DB385">
        <f t="shared" si="56"/>
        <v>30.99</v>
      </c>
      <c r="DC385">
        <f t="shared" si="57"/>
        <v>0</v>
      </c>
    </row>
    <row r="386" spans="1:107" x14ac:dyDescent="0.2">
      <c r="A386">
        <f>ROW(Source!A213)</f>
        <v>213</v>
      </c>
      <c r="B386">
        <v>16812721</v>
      </c>
      <c r="C386">
        <v>16813699</v>
      </c>
      <c r="D386">
        <v>15164559</v>
      </c>
      <c r="E386">
        <v>17</v>
      </c>
      <c r="F386">
        <v>1</v>
      </c>
      <c r="G386">
        <v>1</v>
      </c>
      <c r="H386">
        <v>3</v>
      </c>
      <c r="I386" t="s">
        <v>989</v>
      </c>
      <c r="J386" t="s">
        <v>6</v>
      </c>
      <c r="K386" t="s">
        <v>990</v>
      </c>
      <c r="L386">
        <v>1374</v>
      </c>
      <c r="N386">
        <v>1013</v>
      </c>
      <c r="O386" t="s">
        <v>991</v>
      </c>
      <c r="P386" t="s">
        <v>991</v>
      </c>
      <c r="Q386">
        <v>1</v>
      </c>
      <c r="W386">
        <v>0</v>
      </c>
      <c r="X386">
        <v>-1731369543</v>
      </c>
      <c r="Y386">
        <v>0.3</v>
      </c>
      <c r="AA386">
        <v>1</v>
      </c>
      <c r="AB386">
        <v>0</v>
      </c>
      <c r="AC386">
        <v>0</v>
      </c>
      <c r="AD386">
        <v>0</v>
      </c>
      <c r="AE386">
        <v>1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0.3</v>
      </c>
      <c r="AU386" t="s">
        <v>6</v>
      </c>
      <c r="AV386">
        <v>0</v>
      </c>
      <c r="AW386">
        <v>2</v>
      </c>
      <c r="AX386">
        <v>16813732</v>
      </c>
      <c r="AY386">
        <v>1</v>
      </c>
      <c r="AZ386">
        <v>0</v>
      </c>
      <c r="BA386">
        <v>364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Y386*Source!I213</f>
        <v>11.7</v>
      </c>
      <c r="CY386">
        <f t="shared" si="58"/>
        <v>1</v>
      </c>
      <c r="CZ386">
        <f t="shared" si="59"/>
        <v>1</v>
      </c>
      <c r="DA386">
        <f t="shared" si="60"/>
        <v>1</v>
      </c>
      <c r="DB386">
        <f t="shared" si="56"/>
        <v>0.3</v>
      </c>
      <c r="DC386">
        <f t="shared" si="57"/>
        <v>0</v>
      </c>
    </row>
    <row r="387" spans="1:107" x14ac:dyDescent="0.2">
      <c r="A387">
        <f>ROW(Source!A221)</f>
        <v>221</v>
      </c>
      <c r="B387">
        <v>16812721</v>
      </c>
      <c r="C387">
        <v>16813738</v>
      </c>
      <c r="D387">
        <v>15446300</v>
      </c>
      <c r="E387">
        <v>1</v>
      </c>
      <c r="F387">
        <v>1</v>
      </c>
      <c r="G387">
        <v>1</v>
      </c>
      <c r="H387">
        <v>1</v>
      </c>
      <c r="I387" t="s">
        <v>780</v>
      </c>
      <c r="J387" t="s">
        <v>6</v>
      </c>
      <c r="K387" t="s">
        <v>781</v>
      </c>
      <c r="L387">
        <v>1191</v>
      </c>
      <c r="N387">
        <v>1013</v>
      </c>
      <c r="O387" t="s">
        <v>773</v>
      </c>
      <c r="P387" t="s">
        <v>773</v>
      </c>
      <c r="Q387">
        <v>1</v>
      </c>
      <c r="W387">
        <v>0</v>
      </c>
      <c r="X387">
        <v>912892513</v>
      </c>
      <c r="Y387">
        <v>213.6</v>
      </c>
      <c r="AA387">
        <v>0</v>
      </c>
      <c r="AB387">
        <v>0</v>
      </c>
      <c r="AC387">
        <v>0</v>
      </c>
      <c r="AD387">
        <v>66.56</v>
      </c>
      <c r="AE387">
        <v>0</v>
      </c>
      <c r="AF387">
        <v>0</v>
      </c>
      <c r="AG387">
        <v>0</v>
      </c>
      <c r="AH387">
        <v>9.92</v>
      </c>
      <c r="AI387">
        <v>1</v>
      </c>
      <c r="AJ387">
        <v>1</v>
      </c>
      <c r="AK387">
        <v>1</v>
      </c>
      <c r="AL387">
        <v>6.71</v>
      </c>
      <c r="AN387">
        <v>0</v>
      </c>
      <c r="AO387">
        <v>1</v>
      </c>
      <c r="AP387">
        <v>0</v>
      </c>
      <c r="AQ387">
        <v>0</v>
      </c>
      <c r="AR387">
        <v>0</v>
      </c>
      <c r="AS387" t="s">
        <v>6</v>
      </c>
      <c r="AT387">
        <v>213.6</v>
      </c>
      <c r="AU387" t="s">
        <v>6</v>
      </c>
      <c r="AV387">
        <v>1</v>
      </c>
      <c r="AW387">
        <v>2</v>
      </c>
      <c r="AX387">
        <v>16813752</v>
      </c>
      <c r="AY387">
        <v>1</v>
      </c>
      <c r="AZ387">
        <v>0</v>
      </c>
      <c r="BA387">
        <v>365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Y387*Source!I221</f>
        <v>117.48</v>
      </c>
      <c r="CY387">
        <f>AD387</f>
        <v>66.56</v>
      </c>
      <c r="CZ387">
        <f>AH387</f>
        <v>9.92</v>
      </c>
      <c r="DA387">
        <f>AL387</f>
        <v>6.71</v>
      </c>
      <c r="DB387">
        <f t="shared" si="56"/>
        <v>2118.91</v>
      </c>
      <c r="DC387">
        <f t="shared" si="57"/>
        <v>0</v>
      </c>
    </row>
    <row r="388" spans="1:107" x14ac:dyDescent="0.2">
      <c r="A388">
        <f>ROW(Source!A221)</f>
        <v>221</v>
      </c>
      <c r="B388">
        <v>16812721</v>
      </c>
      <c r="C388">
        <v>16813738</v>
      </c>
      <c r="D388">
        <v>15430395</v>
      </c>
      <c r="E388">
        <v>1</v>
      </c>
      <c r="F388">
        <v>1</v>
      </c>
      <c r="G388">
        <v>1</v>
      </c>
      <c r="H388">
        <v>1</v>
      </c>
      <c r="I388" t="s">
        <v>774</v>
      </c>
      <c r="J388" t="s">
        <v>6</v>
      </c>
      <c r="K388" t="s">
        <v>775</v>
      </c>
      <c r="L388">
        <v>1191</v>
      </c>
      <c r="N388">
        <v>1013</v>
      </c>
      <c r="O388" t="s">
        <v>773</v>
      </c>
      <c r="P388" t="s">
        <v>773</v>
      </c>
      <c r="Q388">
        <v>1</v>
      </c>
      <c r="W388">
        <v>0</v>
      </c>
      <c r="X388">
        <v>-1417349443</v>
      </c>
      <c r="Y388">
        <v>1.98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1</v>
      </c>
      <c r="AJ388">
        <v>1</v>
      </c>
      <c r="AK388">
        <v>6.71</v>
      </c>
      <c r="AL388">
        <v>1</v>
      </c>
      <c r="AN388">
        <v>0</v>
      </c>
      <c r="AO388">
        <v>1</v>
      </c>
      <c r="AP388">
        <v>0</v>
      </c>
      <c r="AQ388">
        <v>0</v>
      </c>
      <c r="AR388">
        <v>0</v>
      </c>
      <c r="AS388" t="s">
        <v>6</v>
      </c>
      <c r="AT388">
        <v>1.98</v>
      </c>
      <c r="AU388" t="s">
        <v>6</v>
      </c>
      <c r="AV388">
        <v>2</v>
      </c>
      <c r="AW388">
        <v>2</v>
      </c>
      <c r="AX388">
        <v>16813753</v>
      </c>
      <c r="AY388">
        <v>1</v>
      </c>
      <c r="AZ388">
        <v>0</v>
      </c>
      <c r="BA388">
        <v>366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Y388*Source!I221</f>
        <v>1.089</v>
      </c>
      <c r="CY388">
        <f>AD388</f>
        <v>0</v>
      </c>
      <c r="CZ388">
        <f>AH388</f>
        <v>0</v>
      </c>
      <c r="DA388">
        <f>AL388</f>
        <v>1</v>
      </c>
      <c r="DB388">
        <f t="shared" si="56"/>
        <v>0</v>
      </c>
      <c r="DC388">
        <f t="shared" si="57"/>
        <v>0</v>
      </c>
    </row>
    <row r="389" spans="1:107" x14ac:dyDescent="0.2">
      <c r="A389">
        <f>ROW(Source!A221)</f>
        <v>221</v>
      </c>
      <c r="B389">
        <v>16812721</v>
      </c>
      <c r="C389">
        <v>16813738</v>
      </c>
      <c r="D389">
        <v>15247680</v>
      </c>
      <c r="E389">
        <v>1</v>
      </c>
      <c r="F389">
        <v>1</v>
      </c>
      <c r="G389">
        <v>1</v>
      </c>
      <c r="H389">
        <v>2</v>
      </c>
      <c r="I389" t="s">
        <v>959</v>
      </c>
      <c r="J389" t="s">
        <v>960</v>
      </c>
      <c r="K389" t="s">
        <v>961</v>
      </c>
      <c r="L389">
        <v>1368</v>
      </c>
      <c r="N389">
        <v>1011</v>
      </c>
      <c r="O389" t="s">
        <v>779</v>
      </c>
      <c r="P389" t="s">
        <v>779</v>
      </c>
      <c r="Q389">
        <v>1</v>
      </c>
      <c r="W389">
        <v>0</v>
      </c>
      <c r="X389">
        <v>-1718674368</v>
      </c>
      <c r="Y389">
        <v>0.99</v>
      </c>
      <c r="AA389">
        <v>0</v>
      </c>
      <c r="AB389">
        <v>751.45</v>
      </c>
      <c r="AC389">
        <v>13.5</v>
      </c>
      <c r="AD389">
        <v>0</v>
      </c>
      <c r="AE389">
        <v>0</v>
      </c>
      <c r="AF389">
        <v>111.99</v>
      </c>
      <c r="AG389">
        <v>13.5</v>
      </c>
      <c r="AH389">
        <v>0</v>
      </c>
      <c r="AI389">
        <v>1</v>
      </c>
      <c r="AJ389">
        <v>6.71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0.99</v>
      </c>
      <c r="AU389" t="s">
        <v>6</v>
      </c>
      <c r="AV389">
        <v>0</v>
      </c>
      <c r="AW389">
        <v>2</v>
      </c>
      <c r="AX389">
        <v>16813754</v>
      </c>
      <c r="AY389">
        <v>1</v>
      </c>
      <c r="AZ389">
        <v>0</v>
      </c>
      <c r="BA389">
        <v>367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Y389*Source!I221</f>
        <v>0.54449999999999998</v>
      </c>
      <c r="CY389">
        <f>AB389</f>
        <v>751.45</v>
      </c>
      <c r="CZ389">
        <f>AF389</f>
        <v>111.99</v>
      </c>
      <c r="DA389">
        <f>AJ389</f>
        <v>6.71</v>
      </c>
      <c r="DB389">
        <f t="shared" ref="DB389:DB399" si="61">ROUND(ROUND(AT389*CZ389,2),2)</f>
        <v>110.87</v>
      </c>
      <c r="DC389">
        <f t="shared" ref="DC389:DC399" si="62">ROUND(ROUND(AT389*AG389,2),2)</f>
        <v>13.37</v>
      </c>
    </row>
    <row r="390" spans="1:107" x14ac:dyDescent="0.2">
      <c r="A390">
        <f>ROW(Source!A221)</f>
        <v>221</v>
      </c>
      <c r="B390">
        <v>16812721</v>
      </c>
      <c r="C390">
        <v>16813738</v>
      </c>
      <c r="D390">
        <v>15249073</v>
      </c>
      <c r="E390">
        <v>1</v>
      </c>
      <c r="F390">
        <v>1</v>
      </c>
      <c r="G390">
        <v>1</v>
      </c>
      <c r="H390">
        <v>2</v>
      </c>
      <c r="I390" t="s">
        <v>782</v>
      </c>
      <c r="J390" t="s">
        <v>783</v>
      </c>
      <c r="K390" t="s">
        <v>784</v>
      </c>
      <c r="L390">
        <v>1368</v>
      </c>
      <c r="N390">
        <v>1011</v>
      </c>
      <c r="O390" t="s">
        <v>779</v>
      </c>
      <c r="P390" t="s">
        <v>779</v>
      </c>
      <c r="Q390">
        <v>1</v>
      </c>
      <c r="W390">
        <v>0</v>
      </c>
      <c r="X390">
        <v>1372534845</v>
      </c>
      <c r="Y390">
        <v>0.99</v>
      </c>
      <c r="AA390">
        <v>0</v>
      </c>
      <c r="AB390">
        <v>440.91</v>
      </c>
      <c r="AC390">
        <v>11.6</v>
      </c>
      <c r="AD390">
        <v>0</v>
      </c>
      <c r="AE390">
        <v>0</v>
      </c>
      <c r="AF390">
        <v>65.709999999999994</v>
      </c>
      <c r="AG390">
        <v>11.6</v>
      </c>
      <c r="AH390">
        <v>0</v>
      </c>
      <c r="AI390">
        <v>1</v>
      </c>
      <c r="AJ390">
        <v>6.71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0.99</v>
      </c>
      <c r="AU390" t="s">
        <v>6</v>
      </c>
      <c r="AV390">
        <v>0</v>
      </c>
      <c r="AW390">
        <v>2</v>
      </c>
      <c r="AX390">
        <v>16813755</v>
      </c>
      <c r="AY390">
        <v>1</v>
      </c>
      <c r="AZ390">
        <v>0</v>
      </c>
      <c r="BA390">
        <v>368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Y390*Source!I221</f>
        <v>0.54449999999999998</v>
      </c>
      <c r="CY390">
        <f>AB390</f>
        <v>440.91</v>
      </c>
      <c r="CZ390">
        <f>AF390</f>
        <v>65.709999999999994</v>
      </c>
      <c r="DA390">
        <f>AJ390</f>
        <v>6.71</v>
      </c>
      <c r="DB390">
        <f t="shared" si="61"/>
        <v>65.05</v>
      </c>
      <c r="DC390">
        <f t="shared" si="62"/>
        <v>11.48</v>
      </c>
    </row>
    <row r="391" spans="1:107" x14ac:dyDescent="0.2">
      <c r="A391">
        <f>ROW(Source!A221)</f>
        <v>221</v>
      </c>
      <c r="B391">
        <v>16812721</v>
      </c>
      <c r="C391">
        <v>16813738</v>
      </c>
      <c r="D391">
        <v>15249377</v>
      </c>
      <c r="E391">
        <v>1</v>
      </c>
      <c r="F391">
        <v>1</v>
      </c>
      <c r="G391">
        <v>1</v>
      </c>
      <c r="H391">
        <v>2</v>
      </c>
      <c r="I391" t="s">
        <v>785</v>
      </c>
      <c r="J391" t="s">
        <v>786</v>
      </c>
      <c r="K391" t="s">
        <v>787</v>
      </c>
      <c r="L391">
        <v>1368</v>
      </c>
      <c r="N391">
        <v>1011</v>
      </c>
      <c r="O391" t="s">
        <v>779</v>
      </c>
      <c r="P391" t="s">
        <v>779</v>
      </c>
      <c r="Q391">
        <v>1</v>
      </c>
      <c r="W391">
        <v>0</v>
      </c>
      <c r="X391">
        <v>-353815937</v>
      </c>
      <c r="Y391">
        <v>1.1399999999999999</v>
      </c>
      <c r="AA391">
        <v>0</v>
      </c>
      <c r="AB391">
        <v>54.35</v>
      </c>
      <c r="AC391">
        <v>0</v>
      </c>
      <c r="AD391">
        <v>0</v>
      </c>
      <c r="AE391">
        <v>0</v>
      </c>
      <c r="AF391">
        <v>8.1</v>
      </c>
      <c r="AG391">
        <v>0</v>
      </c>
      <c r="AH391">
        <v>0</v>
      </c>
      <c r="AI391">
        <v>1</v>
      </c>
      <c r="AJ391">
        <v>6.71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1.1399999999999999</v>
      </c>
      <c r="AU391" t="s">
        <v>6</v>
      </c>
      <c r="AV391">
        <v>0</v>
      </c>
      <c r="AW391">
        <v>2</v>
      </c>
      <c r="AX391">
        <v>16813756</v>
      </c>
      <c r="AY391">
        <v>1</v>
      </c>
      <c r="AZ391">
        <v>0</v>
      </c>
      <c r="BA391">
        <v>369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Y391*Source!I221</f>
        <v>0.627</v>
      </c>
      <c r="CY391">
        <f>AB391</f>
        <v>54.35</v>
      </c>
      <c r="CZ391">
        <f>AF391</f>
        <v>8.1</v>
      </c>
      <c r="DA391">
        <f>AJ391</f>
        <v>6.71</v>
      </c>
      <c r="DB391">
        <f t="shared" si="61"/>
        <v>9.23</v>
      </c>
      <c r="DC391">
        <f t="shared" si="62"/>
        <v>0</v>
      </c>
    </row>
    <row r="392" spans="1:107" x14ac:dyDescent="0.2">
      <c r="A392">
        <f>ROW(Source!A221)</f>
        <v>221</v>
      </c>
      <c r="B392">
        <v>16812721</v>
      </c>
      <c r="C392">
        <v>16813738</v>
      </c>
      <c r="D392">
        <v>15167588</v>
      </c>
      <c r="E392">
        <v>1</v>
      </c>
      <c r="F392">
        <v>1</v>
      </c>
      <c r="G392">
        <v>1</v>
      </c>
      <c r="H392">
        <v>3</v>
      </c>
      <c r="I392" t="s">
        <v>1006</v>
      </c>
      <c r="J392" t="s">
        <v>1007</v>
      </c>
      <c r="K392" t="s">
        <v>1008</v>
      </c>
      <c r="L392">
        <v>1346</v>
      </c>
      <c r="N392">
        <v>1009</v>
      </c>
      <c r="O392" t="s">
        <v>277</v>
      </c>
      <c r="P392" t="s">
        <v>277</v>
      </c>
      <c r="Q392">
        <v>1</v>
      </c>
      <c r="W392">
        <v>0</v>
      </c>
      <c r="X392">
        <v>-1088866022</v>
      </c>
      <c r="Y392">
        <v>0.42</v>
      </c>
      <c r="AA392">
        <v>203.98</v>
      </c>
      <c r="AB392">
        <v>0</v>
      </c>
      <c r="AC392">
        <v>0</v>
      </c>
      <c r="AD392">
        <v>0</v>
      </c>
      <c r="AE392">
        <v>30.4</v>
      </c>
      <c r="AF392">
        <v>0</v>
      </c>
      <c r="AG392">
        <v>0</v>
      </c>
      <c r="AH392">
        <v>0</v>
      </c>
      <c r="AI392">
        <v>6.71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6</v>
      </c>
      <c r="AT392">
        <v>0.42</v>
      </c>
      <c r="AU392" t="s">
        <v>6</v>
      </c>
      <c r="AV392">
        <v>0</v>
      </c>
      <c r="AW392">
        <v>2</v>
      </c>
      <c r="AX392">
        <v>16813757</v>
      </c>
      <c r="AY392">
        <v>1</v>
      </c>
      <c r="AZ392">
        <v>0</v>
      </c>
      <c r="BA392">
        <v>370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Y392*Source!I221</f>
        <v>0.23100000000000001</v>
      </c>
      <c r="CY392">
        <f t="shared" ref="CY392:CY399" si="63">AA392</f>
        <v>203.98</v>
      </c>
      <c r="CZ392">
        <f t="shared" ref="CZ392:CZ399" si="64">AE392</f>
        <v>30.4</v>
      </c>
      <c r="DA392">
        <f t="shared" ref="DA392:DA399" si="65">AI392</f>
        <v>6.71</v>
      </c>
      <c r="DB392">
        <f t="shared" si="61"/>
        <v>12.77</v>
      </c>
      <c r="DC392">
        <f t="shared" si="62"/>
        <v>0</v>
      </c>
    </row>
    <row r="393" spans="1:107" x14ac:dyDescent="0.2">
      <c r="A393">
        <f>ROW(Source!A221)</f>
        <v>221</v>
      </c>
      <c r="B393">
        <v>16812721</v>
      </c>
      <c r="C393">
        <v>16813738</v>
      </c>
      <c r="D393">
        <v>15167600</v>
      </c>
      <c r="E393">
        <v>1</v>
      </c>
      <c r="F393">
        <v>1</v>
      </c>
      <c r="G393">
        <v>1</v>
      </c>
      <c r="H393">
        <v>3</v>
      </c>
      <c r="I393" t="s">
        <v>1052</v>
      </c>
      <c r="J393" t="s">
        <v>1053</v>
      </c>
      <c r="K393" t="s">
        <v>1054</v>
      </c>
      <c r="L393">
        <v>1308</v>
      </c>
      <c r="N393">
        <v>1003</v>
      </c>
      <c r="O393" t="s">
        <v>39</v>
      </c>
      <c r="P393" t="s">
        <v>39</v>
      </c>
      <c r="Q393">
        <v>100</v>
      </c>
      <c r="W393">
        <v>0</v>
      </c>
      <c r="X393">
        <v>568244124</v>
      </c>
      <c r="Y393">
        <v>0.1</v>
      </c>
      <c r="AA393">
        <v>805.2</v>
      </c>
      <c r="AB393">
        <v>0</v>
      </c>
      <c r="AC393">
        <v>0</v>
      </c>
      <c r="AD393">
        <v>0</v>
      </c>
      <c r="AE393">
        <v>120</v>
      </c>
      <c r="AF393">
        <v>0</v>
      </c>
      <c r="AG393">
        <v>0</v>
      </c>
      <c r="AH393">
        <v>0</v>
      </c>
      <c r="AI393">
        <v>6.71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6</v>
      </c>
      <c r="AT393">
        <v>0.1</v>
      </c>
      <c r="AU393" t="s">
        <v>6</v>
      </c>
      <c r="AV393">
        <v>0</v>
      </c>
      <c r="AW393">
        <v>2</v>
      </c>
      <c r="AX393">
        <v>16813758</v>
      </c>
      <c r="AY393">
        <v>1</v>
      </c>
      <c r="AZ393">
        <v>0</v>
      </c>
      <c r="BA393">
        <v>371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Y393*Source!I221</f>
        <v>5.5000000000000007E-2</v>
      </c>
      <c r="CY393">
        <f t="shared" si="63"/>
        <v>805.2</v>
      </c>
      <c r="CZ393">
        <f t="shared" si="64"/>
        <v>120</v>
      </c>
      <c r="DA393">
        <f t="shared" si="65"/>
        <v>6.71</v>
      </c>
      <c r="DB393">
        <f t="shared" si="61"/>
        <v>12</v>
      </c>
      <c r="DC393">
        <f t="shared" si="62"/>
        <v>0</v>
      </c>
    </row>
    <row r="394" spans="1:107" x14ac:dyDescent="0.2">
      <c r="A394">
        <f>ROW(Source!A221)</f>
        <v>221</v>
      </c>
      <c r="B394">
        <v>16812721</v>
      </c>
      <c r="C394">
        <v>16813738</v>
      </c>
      <c r="D394">
        <v>15168752</v>
      </c>
      <c r="E394">
        <v>1</v>
      </c>
      <c r="F394">
        <v>1</v>
      </c>
      <c r="G394">
        <v>1</v>
      </c>
      <c r="H394">
        <v>3</v>
      </c>
      <c r="I394" t="s">
        <v>1009</v>
      </c>
      <c r="J394" t="s">
        <v>1010</v>
      </c>
      <c r="K394" t="s">
        <v>1011</v>
      </c>
      <c r="L394">
        <v>1346</v>
      </c>
      <c r="N394">
        <v>1009</v>
      </c>
      <c r="O394" t="s">
        <v>277</v>
      </c>
      <c r="P394" t="s">
        <v>277</v>
      </c>
      <c r="Q394">
        <v>1</v>
      </c>
      <c r="W394">
        <v>0</v>
      </c>
      <c r="X394">
        <v>586013393</v>
      </c>
      <c r="Y394">
        <v>2.1</v>
      </c>
      <c r="AA394">
        <v>70.92</v>
      </c>
      <c r="AB394">
        <v>0</v>
      </c>
      <c r="AC394">
        <v>0</v>
      </c>
      <c r="AD394">
        <v>0</v>
      </c>
      <c r="AE394">
        <v>10.57</v>
      </c>
      <c r="AF394">
        <v>0</v>
      </c>
      <c r="AG394">
        <v>0</v>
      </c>
      <c r="AH394">
        <v>0</v>
      </c>
      <c r="AI394">
        <v>6.71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2.1</v>
      </c>
      <c r="AU394" t="s">
        <v>6</v>
      </c>
      <c r="AV394">
        <v>0</v>
      </c>
      <c r="AW394">
        <v>2</v>
      </c>
      <c r="AX394">
        <v>16813759</v>
      </c>
      <c r="AY394">
        <v>1</v>
      </c>
      <c r="AZ394">
        <v>0</v>
      </c>
      <c r="BA394">
        <v>372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Y394*Source!I221</f>
        <v>1.1550000000000002</v>
      </c>
      <c r="CY394">
        <f t="shared" si="63"/>
        <v>70.92</v>
      </c>
      <c r="CZ394">
        <f t="shared" si="64"/>
        <v>10.57</v>
      </c>
      <c r="DA394">
        <f t="shared" si="65"/>
        <v>6.71</v>
      </c>
      <c r="DB394">
        <f t="shared" si="61"/>
        <v>22.2</v>
      </c>
      <c r="DC394">
        <f t="shared" si="62"/>
        <v>0</v>
      </c>
    </row>
    <row r="395" spans="1:107" x14ac:dyDescent="0.2">
      <c r="A395">
        <f>ROW(Source!A221)</f>
        <v>221</v>
      </c>
      <c r="B395">
        <v>16812721</v>
      </c>
      <c r="C395">
        <v>16813738</v>
      </c>
      <c r="D395">
        <v>15169942</v>
      </c>
      <c r="E395">
        <v>1</v>
      </c>
      <c r="F395">
        <v>1</v>
      </c>
      <c r="G395">
        <v>1</v>
      </c>
      <c r="H395">
        <v>3</v>
      </c>
      <c r="I395" t="s">
        <v>1012</v>
      </c>
      <c r="J395" t="s">
        <v>1013</v>
      </c>
      <c r="K395" t="s">
        <v>1014</v>
      </c>
      <c r="L395">
        <v>1346</v>
      </c>
      <c r="N395">
        <v>1009</v>
      </c>
      <c r="O395" t="s">
        <v>277</v>
      </c>
      <c r="P395" t="s">
        <v>277</v>
      </c>
      <c r="Q395">
        <v>1</v>
      </c>
      <c r="W395">
        <v>0</v>
      </c>
      <c r="X395">
        <v>103900845</v>
      </c>
      <c r="Y395">
        <v>10.4</v>
      </c>
      <c r="AA395">
        <v>60.66</v>
      </c>
      <c r="AB395">
        <v>0</v>
      </c>
      <c r="AC395">
        <v>0</v>
      </c>
      <c r="AD395">
        <v>0</v>
      </c>
      <c r="AE395">
        <v>9.0399999999999991</v>
      </c>
      <c r="AF395">
        <v>0</v>
      </c>
      <c r="AG395">
        <v>0</v>
      </c>
      <c r="AH395">
        <v>0</v>
      </c>
      <c r="AI395">
        <v>6.71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6</v>
      </c>
      <c r="AT395">
        <v>10.4</v>
      </c>
      <c r="AU395" t="s">
        <v>6</v>
      </c>
      <c r="AV395">
        <v>0</v>
      </c>
      <c r="AW395">
        <v>2</v>
      </c>
      <c r="AX395">
        <v>16813760</v>
      </c>
      <c r="AY395">
        <v>1</v>
      </c>
      <c r="AZ395">
        <v>0</v>
      </c>
      <c r="BA395">
        <v>373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Y395*Source!I221</f>
        <v>5.7200000000000006</v>
      </c>
      <c r="CY395">
        <f t="shared" si="63"/>
        <v>60.66</v>
      </c>
      <c r="CZ395">
        <f t="shared" si="64"/>
        <v>9.0399999999999991</v>
      </c>
      <c r="DA395">
        <f t="shared" si="65"/>
        <v>6.71</v>
      </c>
      <c r="DB395">
        <f t="shared" si="61"/>
        <v>94.02</v>
      </c>
      <c r="DC395">
        <f t="shared" si="62"/>
        <v>0</v>
      </c>
    </row>
    <row r="396" spans="1:107" x14ac:dyDescent="0.2">
      <c r="A396">
        <f>ROW(Source!A221)</f>
        <v>221</v>
      </c>
      <c r="B396">
        <v>16812721</v>
      </c>
      <c r="C396">
        <v>16813738</v>
      </c>
      <c r="D396">
        <v>15191488</v>
      </c>
      <c r="E396">
        <v>1</v>
      </c>
      <c r="F396">
        <v>1</v>
      </c>
      <c r="G396">
        <v>1</v>
      </c>
      <c r="H396">
        <v>3</v>
      </c>
      <c r="I396" t="s">
        <v>1081</v>
      </c>
      <c r="J396" t="s">
        <v>1082</v>
      </c>
      <c r="K396" t="s">
        <v>1083</v>
      </c>
      <c r="L396">
        <v>1348</v>
      </c>
      <c r="N396">
        <v>1009</v>
      </c>
      <c r="O396" t="s">
        <v>145</v>
      </c>
      <c r="P396" t="s">
        <v>145</v>
      </c>
      <c r="Q396">
        <v>1000</v>
      </c>
      <c r="W396">
        <v>0</v>
      </c>
      <c r="X396">
        <v>-1598896989</v>
      </c>
      <c r="Y396">
        <v>0.15</v>
      </c>
      <c r="AA396">
        <v>33550</v>
      </c>
      <c r="AB396">
        <v>0</v>
      </c>
      <c r="AC396">
        <v>0</v>
      </c>
      <c r="AD396">
        <v>0</v>
      </c>
      <c r="AE396">
        <v>5000</v>
      </c>
      <c r="AF396">
        <v>0</v>
      </c>
      <c r="AG396">
        <v>0</v>
      </c>
      <c r="AH396">
        <v>0</v>
      </c>
      <c r="AI396">
        <v>6.71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0.15</v>
      </c>
      <c r="AU396" t="s">
        <v>6</v>
      </c>
      <c r="AV396">
        <v>0</v>
      </c>
      <c r="AW396">
        <v>2</v>
      </c>
      <c r="AX396">
        <v>16813761</v>
      </c>
      <c r="AY396">
        <v>1</v>
      </c>
      <c r="AZ396">
        <v>0</v>
      </c>
      <c r="BA396">
        <v>374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Y396*Source!I221</f>
        <v>8.2500000000000004E-2</v>
      </c>
      <c r="CY396">
        <f t="shared" si="63"/>
        <v>33550</v>
      </c>
      <c r="CZ396">
        <f t="shared" si="64"/>
        <v>5000</v>
      </c>
      <c r="DA396">
        <f t="shared" si="65"/>
        <v>6.71</v>
      </c>
      <c r="DB396">
        <f t="shared" si="61"/>
        <v>750</v>
      </c>
      <c r="DC396">
        <f t="shared" si="62"/>
        <v>0</v>
      </c>
    </row>
    <row r="397" spans="1:107" x14ac:dyDescent="0.2">
      <c r="A397">
        <f>ROW(Source!A221)</f>
        <v>221</v>
      </c>
      <c r="B397">
        <v>16812721</v>
      </c>
      <c r="C397">
        <v>16813738</v>
      </c>
      <c r="D397">
        <v>15203834</v>
      </c>
      <c r="E397">
        <v>1</v>
      </c>
      <c r="F397">
        <v>1</v>
      </c>
      <c r="G397">
        <v>1</v>
      </c>
      <c r="H397">
        <v>3</v>
      </c>
      <c r="I397" t="s">
        <v>1024</v>
      </c>
      <c r="J397" t="s">
        <v>1025</v>
      </c>
      <c r="K397" t="s">
        <v>320</v>
      </c>
      <c r="L397">
        <v>1346</v>
      </c>
      <c r="N397">
        <v>1009</v>
      </c>
      <c r="O397" t="s">
        <v>277</v>
      </c>
      <c r="P397" t="s">
        <v>277</v>
      </c>
      <c r="Q397">
        <v>1</v>
      </c>
      <c r="W397">
        <v>0</v>
      </c>
      <c r="X397">
        <v>210558753</v>
      </c>
      <c r="Y397">
        <v>3</v>
      </c>
      <c r="AA397">
        <v>191.91</v>
      </c>
      <c r="AB397">
        <v>0</v>
      </c>
      <c r="AC397">
        <v>0</v>
      </c>
      <c r="AD397">
        <v>0</v>
      </c>
      <c r="AE397">
        <v>28.6</v>
      </c>
      <c r="AF397">
        <v>0</v>
      </c>
      <c r="AG397">
        <v>0</v>
      </c>
      <c r="AH397">
        <v>0</v>
      </c>
      <c r="AI397">
        <v>6.71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0</v>
      </c>
      <c r="AQ397">
        <v>0</v>
      </c>
      <c r="AR397">
        <v>0</v>
      </c>
      <c r="AS397" t="s">
        <v>6</v>
      </c>
      <c r="AT397">
        <v>3</v>
      </c>
      <c r="AU397" t="s">
        <v>6</v>
      </c>
      <c r="AV397">
        <v>0</v>
      </c>
      <c r="AW397">
        <v>2</v>
      </c>
      <c r="AX397">
        <v>16813762</v>
      </c>
      <c r="AY397">
        <v>1</v>
      </c>
      <c r="AZ397">
        <v>0</v>
      </c>
      <c r="BA397">
        <v>375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Y397*Source!I221</f>
        <v>1.6500000000000001</v>
      </c>
      <c r="CY397">
        <f t="shared" si="63"/>
        <v>191.91</v>
      </c>
      <c r="CZ397">
        <f t="shared" si="64"/>
        <v>28.6</v>
      </c>
      <c r="DA397">
        <f t="shared" si="65"/>
        <v>6.71</v>
      </c>
      <c r="DB397">
        <f t="shared" si="61"/>
        <v>85.8</v>
      </c>
      <c r="DC397">
        <f t="shared" si="62"/>
        <v>0</v>
      </c>
    </row>
    <row r="398" spans="1:107" x14ac:dyDescent="0.2">
      <c r="A398">
        <f>ROW(Source!A221)</f>
        <v>221</v>
      </c>
      <c r="B398">
        <v>16812721</v>
      </c>
      <c r="C398">
        <v>16813738</v>
      </c>
      <c r="D398">
        <v>15220402</v>
      </c>
      <c r="E398">
        <v>1</v>
      </c>
      <c r="F398">
        <v>1</v>
      </c>
      <c r="G398">
        <v>1</v>
      </c>
      <c r="H398">
        <v>3</v>
      </c>
      <c r="I398" t="s">
        <v>620</v>
      </c>
      <c r="J398" t="s">
        <v>622</v>
      </c>
      <c r="K398" t="s">
        <v>621</v>
      </c>
      <c r="L398">
        <v>1354</v>
      </c>
      <c r="N398">
        <v>1010</v>
      </c>
      <c r="O398" t="s">
        <v>62</v>
      </c>
      <c r="P398" t="s">
        <v>62</v>
      </c>
      <c r="Q398">
        <v>1</v>
      </c>
      <c r="W398">
        <v>0</v>
      </c>
      <c r="X398">
        <v>1763272094</v>
      </c>
      <c r="Y398">
        <v>100</v>
      </c>
      <c r="AA398">
        <v>5677.67</v>
      </c>
      <c r="AB398">
        <v>0</v>
      </c>
      <c r="AC398">
        <v>0</v>
      </c>
      <c r="AD398">
        <v>0</v>
      </c>
      <c r="AE398">
        <v>846.15</v>
      </c>
      <c r="AF398">
        <v>0</v>
      </c>
      <c r="AG398">
        <v>0</v>
      </c>
      <c r="AH398">
        <v>0</v>
      </c>
      <c r="AI398">
        <v>6.71</v>
      </c>
      <c r="AJ398">
        <v>1</v>
      </c>
      <c r="AK398">
        <v>1</v>
      </c>
      <c r="AL398">
        <v>1</v>
      </c>
      <c r="AN398">
        <v>0</v>
      </c>
      <c r="AO398">
        <v>0</v>
      </c>
      <c r="AP398">
        <v>0</v>
      </c>
      <c r="AQ398">
        <v>0</v>
      </c>
      <c r="AR398">
        <v>0</v>
      </c>
      <c r="AS398" t="s">
        <v>6</v>
      </c>
      <c r="AT398">
        <v>100</v>
      </c>
      <c r="AU398" t="s">
        <v>6</v>
      </c>
      <c r="AV398">
        <v>0</v>
      </c>
      <c r="AW398">
        <v>1</v>
      </c>
      <c r="AX398">
        <v>-1</v>
      </c>
      <c r="AY398">
        <v>0</v>
      </c>
      <c r="AZ398">
        <v>0</v>
      </c>
      <c r="BA398" t="s">
        <v>6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Y398*Source!I221</f>
        <v>55.000000000000007</v>
      </c>
      <c r="CY398">
        <f t="shared" si="63"/>
        <v>5677.67</v>
      </c>
      <c r="CZ398">
        <f t="shared" si="64"/>
        <v>846.15</v>
      </c>
      <c r="DA398">
        <f t="shared" si="65"/>
        <v>6.71</v>
      </c>
      <c r="DB398">
        <f t="shared" si="61"/>
        <v>84615</v>
      </c>
      <c r="DC398">
        <f t="shared" si="62"/>
        <v>0</v>
      </c>
    </row>
    <row r="399" spans="1:107" x14ac:dyDescent="0.2">
      <c r="A399">
        <f>ROW(Source!A221)</f>
        <v>221</v>
      </c>
      <c r="B399">
        <v>16812721</v>
      </c>
      <c r="C399">
        <v>16813738</v>
      </c>
      <c r="D399">
        <v>15164559</v>
      </c>
      <c r="E399">
        <v>17</v>
      </c>
      <c r="F399">
        <v>1</v>
      </c>
      <c r="G399">
        <v>1</v>
      </c>
      <c r="H399">
        <v>3</v>
      </c>
      <c r="I399" t="s">
        <v>989</v>
      </c>
      <c r="J399" t="s">
        <v>6</v>
      </c>
      <c r="K399" t="s">
        <v>990</v>
      </c>
      <c r="L399">
        <v>1374</v>
      </c>
      <c r="N399">
        <v>1013</v>
      </c>
      <c r="O399" t="s">
        <v>991</v>
      </c>
      <c r="P399" t="s">
        <v>991</v>
      </c>
      <c r="Q399">
        <v>1</v>
      </c>
      <c r="W399">
        <v>0</v>
      </c>
      <c r="X399">
        <v>-1731369543</v>
      </c>
      <c r="Y399">
        <v>42.38</v>
      </c>
      <c r="AA399">
        <v>1</v>
      </c>
      <c r="AB399">
        <v>0</v>
      </c>
      <c r="AC399">
        <v>0</v>
      </c>
      <c r="AD399">
        <v>0</v>
      </c>
      <c r="AE399">
        <v>1</v>
      </c>
      <c r="AF399">
        <v>0</v>
      </c>
      <c r="AG399">
        <v>0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6</v>
      </c>
      <c r="AT399">
        <v>42.38</v>
      </c>
      <c r="AU399" t="s">
        <v>6</v>
      </c>
      <c r="AV399">
        <v>0</v>
      </c>
      <c r="AW399">
        <v>2</v>
      </c>
      <c r="AX399">
        <v>16813763</v>
      </c>
      <c r="AY399">
        <v>1</v>
      </c>
      <c r="AZ399">
        <v>0</v>
      </c>
      <c r="BA399">
        <v>376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Y399*Source!I221</f>
        <v>23.309000000000005</v>
      </c>
      <c r="CY399">
        <f t="shared" si="63"/>
        <v>1</v>
      </c>
      <c r="CZ399">
        <f t="shared" si="64"/>
        <v>1</v>
      </c>
      <c r="DA399">
        <f t="shared" si="65"/>
        <v>1</v>
      </c>
      <c r="DB399">
        <f t="shared" si="61"/>
        <v>42.38</v>
      </c>
      <c r="DC399">
        <f t="shared" si="62"/>
        <v>0</v>
      </c>
    </row>
    <row r="400" spans="1:107" x14ac:dyDescent="0.2">
      <c r="A400">
        <f>ROW(Source!A223)</f>
        <v>223</v>
      </c>
      <c r="B400">
        <v>16812721</v>
      </c>
      <c r="C400">
        <v>16813765</v>
      </c>
      <c r="D400">
        <v>15885198</v>
      </c>
      <c r="E400">
        <v>1</v>
      </c>
      <c r="F400">
        <v>1</v>
      </c>
      <c r="G400">
        <v>1</v>
      </c>
      <c r="H400">
        <v>1</v>
      </c>
      <c r="I400" t="s">
        <v>1084</v>
      </c>
      <c r="J400" t="s">
        <v>6</v>
      </c>
      <c r="K400" t="s">
        <v>1085</v>
      </c>
      <c r="L400">
        <v>1191</v>
      </c>
      <c r="N400">
        <v>1013</v>
      </c>
      <c r="O400" t="s">
        <v>773</v>
      </c>
      <c r="P400" t="s">
        <v>773</v>
      </c>
      <c r="Q400">
        <v>1</v>
      </c>
      <c r="W400">
        <v>0</v>
      </c>
      <c r="X400">
        <v>-1166887252</v>
      </c>
      <c r="Y400">
        <v>0.128</v>
      </c>
      <c r="AA400">
        <v>0</v>
      </c>
      <c r="AB400">
        <v>0</v>
      </c>
      <c r="AC400">
        <v>0</v>
      </c>
      <c r="AD400">
        <v>86.69</v>
      </c>
      <c r="AE400">
        <v>0</v>
      </c>
      <c r="AF400">
        <v>0</v>
      </c>
      <c r="AG400">
        <v>0</v>
      </c>
      <c r="AH400">
        <v>12.92</v>
      </c>
      <c r="AI400">
        <v>1</v>
      </c>
      <c r="AJ400">
        <v>1</v>
      </c>
      <c r="AK400">
        <v>1</v>
      </c>
      <c r="AL400">
        <v>6.71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0.16</v>
      </c>
      <c r="AU400" t="s">
        <v>83</v>
      </c>
      <c r="AV400">
        <v>1</v>
      </c>
      <c r="AW400">
        <v>2</v>
      </c>
      <c r="AX400">
        <v>16813768</v>
      </c>
      <c r="AY400">
        <v>1</v>
      </c>
      <c r="AZ400">
        <v>0</v>
      </c>
      <c r="BA400">
        <v>377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Y400*Source!I223</f>
        <v>5.3760000000000003</v>
      </c>
      <c r="CY400">
        <f t="shared" ref="CY400:CY408" si="66">AD400</f>
        <v>86.69</v>
      </c>
      <c r="CZ400">
        <f t="shared" ref="CZ400:CZ408" si="67">AH400</f>
        <v>12.92</v>
      </c>
      <c r="DA400">
        <f t="shared" ref="DA400:DA408" si="68">AL400</f>
        <v>6.71</v>
      </c>
      <c r="DB400">
        <f t="shared" ref="DB400:DB407" si="69">ROUND((ROUND(AT400*CZ400,2)*0.8),2)</f>
        <v>1.66</v>
      </c>
      <c r="DC400">
        <f t="shared" ref="DC400:DC407" si="70">ROUND((ROUND(AT400*AG400,2)*0.8),2)</f>
        <v>0</v>
      </c>
    </row>
    <row r="401" spans="1:107" x14ac:dyDescent="0.2">
      <c r="A401">
        <f>ROW(Source!A223)</f>
        <v>223</v>
      </c>
      <c r="B401">
        <v>16812721</v>
      </c>
      <c r="C401">
        <v>16813765</v>
      </c>
      <c r="D401">
        <v>15884235</v>
      </c>
      <c r="E401">
        <v>1</v>
      </c>
      <c r="F401">
        <v>1</v>
      </c>
      <c r="G401">
        <v>1</v>
      </c>
      <c r="H401">
        <v>1</v>
      </c>
      <c r="I401" t="s">
        <v>1086</v>
      </c>
      <c r="J401" t="s">
        <v>6</v>
      </c>
      <c r="K401" t="s">
        <v>1087</v>
      </c>
      <c r="L401">
        <v>1191</v>
      </c>
      <c r="N401">
        <v>1013</v>
      </c>
      <c r="O401" t="s">
        <v>773</v>
      </c>
      <c r="P401" t="s">
        <v>773</v>
      </c>
      <c r="Q401">
        <v>1</v>
      </c>
      <c r="W401">
        <v>0</v>
      </c>
      <c r="X401">
        <v>1776637054</v>
      </c>
      <c r="Y401">
        <v>0.128</v>
      </c>
      <c r="AA401">
        <v>0</v>
      </c>
      <c r="AB401">
        <v>0</v>
      </c>
      <c r="AC401">
        <v>0</v>
      </c>
      <c r="AD401">
        <v>85.15</v>
      </c>
      <c r="AE401">
        <v>0</v>
      </c>
      <c r="AF401">
        <v>0</v>
      </c>
      <c r="AG401">
        <v>0</v>
      </c>
      <c r="AH401">
        <v>12.69</v>
      </c>
      <c r="AI401">
        <v>1</v>
      </c>
      <c r="AJ401">
        <v>1</v>
      </c>
      <c r="AK401">
        <v>1</v>
      </c>
      <c r="AL401">
        <v>6.71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6</v>
      </c>
      <c r="AT401">
        <v>0.16</v>
      </c>
      <c r="AU401" t="s">
        <v>83</v>
      </c>
      <c r="AV401">
        <v>1</v>
      </c>
      <c r="AW401">
        <v>2</v>
      </c>
      <c r="AX401">
        <v>16813769</v>
      </c>
      <c r="AY401">
        <v>1</v>
      </c>
      <c r="AZ401">
        <v>0</v>
      </c>
      <c r="BA401">
        <v>378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Y401*Source!I223</f>
        <v>5.3760000000000003</v>
      </c>
      <c r="CY401">
        <f t="shared" si="66"/>
        <v>85.15</v>
      </c>
      <c r="CZ401">
        <f t="shared" si="67"/>
        <v>12.69</v>
      </c>
      <c r="DA401">
        <f t="shared" si="68"/>
        <v>6.71</v>
      </c>
      <c r="DB401">
        <f t="shared" si="69"/>
        <v>1.62</v>
      </c>
      <c r="DC401">
        <f t="shared" si="70"/>
        <v>0</v>
      </c>
    </row>
    <row r="402" spans="1:107" x14ac:dyDescent="0.2">
      <c r="A402">
        <f>ROW(Source!A224)</f>
        <v>224</v>
      </c>
      <c r="B402">
        <v>16812721</v>
      </c>
      <c r="C402">
        <v>16813770</v>
      </c>
      <c r="D402">
        <v>15885198</v>
      </c>
      <c r="E402">
        <v>1</v>
      </c>
      <c r="F402">
        <v>1</v>
      </c>
      <c r="G402">
        <v>1</v>
      </c>
      <c r="H402">
        <v>1</v>
      </c>
      <c r="I402" t="s">
        <v>1084</v>
      </c>
      <c r="J402" t="s">
        <v>6</v>
      </c>
      <c r="K402" t="s">
        <v>1085</v>
      </c>
      <c r="L402">
        <v>1191</v>
      </c>
      <c r="N402">
        <v>1013</v>
      </c>
      <c r="O402" t="s">
        <v>773</v>
      </c>
      <c r="P402" t="s">
        <v>773</v>
      </c>
      <c r="Q402">
        <v>1</v>
      </c>
      <c r="W402">
        <v>0</v>
      </c>
      <c r="X402">
        <v>-1166887252</v>
      </c>
      <c r="Y402">
        <v>5.1840000000000011</v>
      </c>
      <c r="AA402">
        <v>0</v>
      </c>
      <c r="AB402">
        <v>0</v>
      </c>
      <c r="AC402">
        <v>0</v>
      </c>
      <c r="AD402">
        <v>86.69</v>
      </c>
      <c r="AE402">
        <v>0</v>
      </c>
      <c r="AF402">
        <v>0</v>
      </c>
      <c r="AG402">
        <v>0</v>
      </c>
      <c r="AH402">
        <v>12.92</v>
      </c>
      <c r="AI402">
        <v>1</v>
      </c>
      <c r="AJ402">
        <v>1</v>
      </c>
      <c r="AK402">
        <v>1</v>
      </c>
      <c r="AL402">
        <v>6.71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6.48</v>
      </c>
      <c r="AU402" t="s">
        <v>83</v>
      </c>
      <c r="AV402">
        <v>1</v>
      </c>
      <c r="AW402">
        <v>2</v>
      </c>
      <c r="AX402">
        <v>16813773</v>
      </c>
      <c r="AY402">
        <v>1</v>
      </c>
      <c r="AZ402">
        <v>0</v>
      </c>
      <c r="BA402">
        <v>379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Y402*Source!I224</f>
        <v>4.1472000000000007</v>
      </c>
      <c r="CY402">
        <f t="shared" si="66"/>
        <v>86.69</v>
      </c>
      <c r="CZ402">
        <f t="shared" si="67"/>
        <v>12.92</v>
      </c>
      <c r="DA402">
        <f t="shared" si="68"/>
        <v>6.71</v>
      </c>
      <c r="DB402">
        <f t="shared" si="69"/>
        <v>66.98</v>
      </c>
      <c r="DC402">
        <f t="shared" si="70"/>
        <v>0</v>
      </c>
    </row>
    <row r="403" spans="1:107" x14ac:dyDescent="0.2">
      <c r="A403">
        <f>ROW(Source!A224)</f>
        <v>224</v>
      </c>
      <c r="B403">
        <v>16812721</v>
      </c>
      <c r="C403">
        <v>16813770</v>
      </c>
      <c r="D403">
        <v>15884235</v>
      </c>
      <c r="E403">
        <v>1</v>
      </c>
      <c r="F403">
        <v>1</v>
      </c>
      <c r="G403">
        <v>1</v>
      </c>
      <c r="H403">
        <v>1</v>
      </c>
      <c r="I403" t="s">
        <v>1086</v>
      </c>
      <c r="J403" t="s">
        <v>6</v>
      </c>
      <c r="K403" t="s">
        <v>1087</v>
      </c>
      <c r="L403">
        <v>1191</v>
      </c>
      <c r="N403">
        <v>1013</v>
      </c>
      <c r="O403" t="s">
        <v>773</v>
      </c>
      <c r="P403" t="s">
        <v>773</v>
      </c>
      <c r="Q403">
        <v>1</v>
      </c>
      <c r="W403">
        <v>0</v>
      </c>
      <c r="X403">
        <v>1776637054</v>
      </c>
      <c r="Y403">
        <v>5.1840000000000011</v>
      </c>
      <c r="AA403">
        <v>0</v>
      </c>
      <c r="AB403">
        <v>0</v>
      </c>
      <c r="AC403">
        <v>0</v>
      </c>
      <c r="AD403">
        <v>85.15</v>
      </c>
      <c r="AE403">
        <v>0</v>
      </c>
      <c r="AF403">
        <v>0</v>
      </c>
      <c r="AG403">
        <v>0</v>
      </c>
      <c r="AH403">
        <v>12.69</v>
      </c>
      <c r="AI403">
        <v>1</v>
      </c>
      <c r="AJ403">
        <v>1</v>
      </c>
      <c r="AK403">
        <v>1</v>
      </c>
      <c r="AL403">
        <v>6.71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6.48</v>
      </c>
      <c r="AU403" t="s">
        <v>83</v>
      </c>
      <c r="AV403">
        <v>1</v>
      </c>
      <c r="AW403">
        <v>2</v>
      </c>
      <c r="AX403">
        <v>16813774</v>
      </c>
      <c r="AY403">
        <v>1</v>
      </c>
      <c r="AZ403">
        <v>0</v>
      </c>
      <c r="BA403">
        <v>380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Y403*Source!I224</f>
        <v>4.1472000000000007</v>
      </c>
      <c r="CY403">
        <f t="shared" si="66"/>
        <v>85.15</v>
      </c>
      <c r="CZ403">
        <f t="shared" si="67"/>
        <v>12.69</v>
      </c>
      <c r="DA403">
        <f t="shared" si="68"/>
        <v>6.71</v>
      </c>
      <c r="DB403">
        <f t="shared" si="69"/>
        <v>65.78</v>
      </c>
      <c r="DC403">
        <f t="shared" si="70"/>
        <v>0</v>
      </c>
    </row>
    <row r="404" spans="1:107" x14ac:dyDescent="0.2">
      <c r="A404">
        <f>ROW(Source!A225)</f>
        <v>225</v>
      </c>
      <c r="B404">
        <v>16812721</v>
      </c>
      <c r="C404">
        <v>16813775</v>
      </c>
      <c r="D404">
        <v>15885198</v>
      </c>
      <c r="E404">
        <v>1</v>
      </c>
      <c r="F404">
        <v>1</v>
      </c>
      <c r="G404">
        <v>1</v>
      </c>
      <c r="H404">
        <v>1</v>
      </c>
      <c r="I404" t="s">
        <v>1084</v>
      </c>
      <c r="J404" t="s">
        <v>6</v>
      </c>
      <c r="K404" t="s">
        <v>1085</v>
      </c>
      <c r="L404">
        <v>1191</v>
      </c>
      <c r="N404">
        <v>1013</v>
      </c>
      <c r="O404" t="s">
        <v>773</v>
      </c>
      <c r="P404" t="s">
        <v>773</v>
      </c>
      <c r="Q404">
        <v>1</v>
      </c>
      <c r="W404">
        <v>0</v>
      </c>
      <c r="X404">
        <v>-1166887252</v>
      </c>
      <c r="Y404">
        <v>0.48799999999999999</v>
      </c>
      <c r="AA404">
        <v>0</v>
      </c>
      <c r="AB404">
        <v>0</v>
      </c>
      <c r="AC404">
        <v>0</v>
      </c>
      <c r="AD404">
        <v>86.69</v>
      </c>
      <c r="AE404">
        <v>0</v>
      </c>
      <c r="AF404">
        <v>0</v>
      </c>
      <c r="AG404">
        <v>0</v>
      </c>
      <c r="AH404">
        <v>12.92</v>
      </c>
      <c r="AI404">
        <v>1</v>
      </c>
      <c r="AJ404">
        <v>1</v>
      </c>
      <c r="AK404">
        <v>1</v>
      </c>
      <c r="AL404">
        <v>6.71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0.61</v>
      </c>
      <c r="AU404" t="s">
        <v>83</v>
      </c>
      <c r="AV404">
        <v>1</v>
      </c>
      <c r="AW404">
        <v>2</v>
      </c>
      <c r="AX404">
        <v>16813778</v>
      </c>
      <c r="AY404">
        <v>1</v>
      </c>
      <c r="AZ404">
        <v>0</v>
      </c>
      <c r="BA404">
        <v>381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Y404*Source!I225</f>
        <v>1.952</v>
      </c>
      <c r="CY404">
        <f t="shared" si="66"/>
        <v>86.69</v>
      </c>
      <c r="CZ404">
        <f t="shared" si="67"/>
        <v>12.92</v>
      </c>
      <c r="DA404">
        <f t="shared" si="68"/>
        <v>6.71</v>
      </c>
      <c r="DB404">
        <f t="shared" si="69"/>
        <v>6.3</v>
      </c>
      <c r="DC404">
        <f t="shared" si="70"/>
        <v>0</v>
      </c>
    </row>
    <row r="405" spans="1:107" x14ac:dyDescent="0.2">
      <c r="A405">
        <f>ROW(Source!A225)</f>
        <v>225</v>
      </c>
      <c r="B405">
        <v>16812721</v>
      </c>
      <c r="C405">
        <v>16813775</v>
      </c>
      <c r="D405">
        <v>15884235</v>
      </c>
      <c r="E405">
        <v>1</v>
      </c>
      <c r="F405">
        <v>1</v>
      </c>
      <c r="G405">
        <v>1</v>
      </c>
      <c r="H405">
        <v>1</v>
      </c>
      <c r="I405" t="s">
        <v>1086</v>
      </c>
      <c r="J405" t="s">
        <v>6</v>
      </c>
      <c r="K405" t="s">
        <v>1087</v>
      </c>
      <c r="L405">
        <v>1191</v>
      </c>
      <c r="N405">
        <v>1013</v>
      </c>
      <c r="O405" t="s">
        <v>773</v>
      </c>
      <c r="P405" t="s">
        <v>773</v>
      </c>
      <c r="Q405">
        <v>1</v>
      </c>
      <c r="W405">
        <v>0</v>
      </c>
      <c r="X405">
        <v>1776637054</v>
      </c>
      <c r="Y405">
        <v>0.48799999999999999</v>
      </c>
      <c r="AA405">
        <v>0</v>
      </c>
      <c r="AB405">
        <v>0</v>
      </c>
      <c r="AC405">
        <v>0</v>
      </c>
      <c r="AD405">
        <v>85.15</v>
      </c>
      <c r="AE405">
        <v>0</v>
      </c>
      <c r="AF405">
        <v>0</v>
      </c>
      <c r="AG405">
        <v>0</v>
      </c>
      <c r="AH405">
        <v>12.69</v>
      </c>
      <c r="AI405">
        <v>1</v>
      </c>
      <c r="AJ405">
        <v>1</v>
      </c>
      <c r="AK405">
        <v>1</v>
      </c>
      <c r="AL405">
        <v>6.71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0.61</v>
      </c>
      <c r="AU405" t="s">
        <v>83</v>
      </c>
      <c r="AV405">
        <v>1</v>
      </c>
      <c r="AW405">
        <v>2</v>
      </c>
      <c r="AX405">
        <v>16813779</v>
      </c>
      <c r="AY405">
        <v>1</v>
      </c>
      <c r="AZ405">
        <v>0</v>
      </c>
      <c r="BA405">
        <v>382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Y405*Source!I225</f>
        <v>1.952</v>
      </c>
      <c r="CY405">
        <f t="shared" si="66"/>
        <v>85.15</v>
      </c>
      <c r="CZ405">
        <f t="shared" si="67"/>
        <v>12.69</v>
      </c>
      <c r="DA405">
        <f t="shared" si="68"/>
        <v>6.71</v>
      </c>
      <c r="DB405">
        <f t="shared" si="69"/>
        <v>6.19</v>
      </c>
      <c r="DC405">
        <f t="shared" si="70"/>
        <v>0</v>
      </c>
    </row>
    <row r="406" spans="1:107" x14ac:dyDescent="0.2">
      <c r="A406">
        <f>ROW(Source!A226)</f>
        <v>226</v>
      </c>
      <c r="B406">
        <v>16812721</v>
      </c>
      <c r="C406">
        <v>16813780</v>
      </c>
      <c r="D406">
        <v>15884231</v>
      </c>
      <c r="E406">
        <v>1</v>
      </c>
      <c r="F406">
        <v>1</v>
      </c>
      <c r="G406">
        <v>1</v>
      </c>
      <c r="H406">
        <v>1</v>
      </c>
      <c r="I406" t="s">
        <v>1088</v>
      </c>
      <c r="J406" t="s">
        <v>6</v>
      </c>
      <c r="K406" t="s">
        <v>1089</v>
      </c>
      <c r="L406">
        <v>1191</v>
      </c>
      <c r="N406">
        <v>1013</v>
      </c>
      <c r="O406" t="s">
        <v>773</v>
      </c>
      <c r="P406" t="s">
        <v>773</v>
      </c>
      <c r="Q406">
        <v>1</v>
      </c>
      <c r="W406">
        <v>0</v>
      </c>
      <c r="X406">
        <v>-1309109184</v>
      </c>
      <c r="Y406">
        <v>0.90399999999999991</v>
      </c>
      <c r="AA406">
        <v>0</v>
      </c>
      <c r="AB406">
        <v>0</v>
      </c>
      <c r="AC406">
        <v>0</v>
      </c>
      <c r="AD406">
        <v>61.53</v>
      </c>
      <c r="AE406">
        <v>0</v>
      </c>
      <c r="AF406">
        <v>0</v>
      </c>
      <c r="AG406">
        <v>0</v>
      </c>
      <c r="AH406">
        <v>9.17</v>
      </c>
      <c r="AI406">
        <v>1</v>
      </c>
      <c r="AJ406">
        <v>1</v>
      </c>
      <c r="AK406">
        <v>1</v>
      </c>
      <c r="AL406">
        <v>6.71</v>
      </c>
      <c r="AN406">
        <v>0</v>
      </c>
      <c r="AO406">
        <v>1</v>
      </c>
      <c r="AP406">
        <v>1</v>
      </c>
      <c r="AQ406">
        <v>0</v>
      </c>
      <c r="AR406">
        <v>0</v>
      </c>
      <c r="AS406" t="s">
        <v>6</v>
      </c>
      <c r="AT406">
        <v>1.1299999999999999</v>
      </c>
      <c r="AU406" t="s">
        <v>83</v>
      </c>
      <c r="AV406">
        <v>1</v>
      </c>
      <c r="AW406">
        <v>2</v>
      </c>
      <c r="AX406">
        <v>16813783</v>
      </c>
      <c r="AY406">
        <v>1</v>
      </c>
      <c r="AZ406">
        <v>0</v>
      </c>
      <c r="BA406">
        <v>383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Y406*Source!I226</f>
        <v>35.256</v>
      </c>
      <c r="CY406">
        <f t="shared" si="66"/>
        <v>61.53</v>
      </c>
      <c r="CZ406">
        <f t="shared" si="67"/>
        <v>9.17</v>
      </c>
      <c r="DA406">
        <f t="shared" si="68"/>
        <v>6.71</v>
      </c>
      <c r="DB406">
        <f t="shared" si="69"/>
        <v>8.2899999999999991</v>
      </c>
      <c r="DC406">
        <f t="shared" si="70"/>
        <v>0</v>
      </c>
    </row>
    <row r="407" spans="1:107" x14ac:dyDescent="0.2">
      <c r="A407">
        <f>ROW(Source!A226)</f>
        <v>226</v>
      </c>
      <c r="B407">
        <v>16812721</v>
      </c>
      <c r="C407">
        <v>16813780</v>
      </c>
      <c r="D407">
        <v>15884285</v>
      </c>
      <c r="E407">
        <v>1</v>
      </c>
      <c r="F407">
        <v>1</v>
      </c>
      <c r="G407">
        <v>1</v>
      </c>
      <c r="H407">
        <v>1</v>
      </c>
      <c r="I407" t="s">
        <v>1090</v>
      </c>
      <c r="J407" t="s">
        <v>6</v>
      </c>
      <c r="K407" t="s">
        <v>1091</v>
      </c>
      <c r="L407">
        <v>1191</v>
      </c>
      <c r="N407">
        <v>1013</v>
      </c>
      <c r="O407" t="s">
        <v>773</v>
      </c>
      <c r="P407" t="s">
        <v>773</v>
      </c>
      <c r="Q407">
        <v>1</v>
      </c>
      <c r="W407">
        <v>0</v>
      </c>
      <c r="X407">
        <v>1818203118</v>
      </c>
      <c r="Y407">
        <v>1.36</v>
      </c>
      <c r="AA407">
        <v>0</v>
      </c>
      <c r="AB407">
        <v>0</v>
      </c>
      <c r="AC407">
        <v>0</v>
      </c>
      <c r="AD407">
        <v>94.54</v>
      </c>
      <c r="AE407">
        <v>0</v>
      </c>
      <c r="AF407">
        <v>0</v>
      </c>
      <c r="AG407">
        <v>0</v>
      </c>
      <c r="AH407">
        <v>14.09</v>
      </c>
      <c r="AI407">
        <v>1</v>
      </c>
      <c r="AJ407">
        <v>1</v>
      </c>
      <c r="AK407">
        <v>1</v>
      </c>
      <c r="AL407">
        <v>6.71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1.7</v>
      </c>
      <c r="AU407" t="s">
        <v>83</v>
      </c>
      <c r="AV407">
        <v>1</v>
      </c>
      <c r="AW407">
        <v>2</v>
      </c>
      <c r="AX407">
        <v>16813784</v>
      </c>
      <c r="AY407">
        <v>1</v>
      </c>
      <c r="AZ407">
        <v>0</v>
      </c>
      <c r="BA407">
        <v>384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Y407*Source!I226</f>
        <v>53.040000000000006</v>
      </c>
      <c r="CY407">
        <f t="shared" si="66"/>
        <v>94.54</v>
      </c>
      <c r="CZ407">
        <f t="shared" si="67"/>
        <v>14.09</v>
      </c>
      <c r="DA407">
        <f t="shared" si="68"/>
        <v>6.71</v>
      </c>
      <c r="DB407">
        <f t="shared" si="69"/>
        <v>19.16</v>
      </c>
      <c r="DC407">
        <f t="shared" si="70"/>
        <v>0</v>
      </c>
    </row>
    <row r="408" spans="1:107" x14ac:dyDescent="0.2">
      <c r="A408">
        <f>ROW(Source!A264)</f>
        <v>264</v>
      </c>
      <c r="B408">
        <v>16812721</v>
      </c>
      <c r="C408">
        <v>16813785</v>
      </c>
      <c r="D408">
        <v>15436556</v>
      </c>
      <c r="E408">
        <v>1</v>
      </c>
      <c r="F408">
        <v>1</v>
      </c>
      <c r="G408">
        <v>1</v>
      </c>
      <c r="H408">
        <v>1</v>
      </c>
      <c r="I408" t="s">
        <v>833</v>
      </c>
      <c r="J408" t="s">
        <v>6</v>
      </c>
      <c r="K408" t="s">
        <v>834</v>
      </c>
      <c r="L408">
        <v>1191</v>
      </c>
      <c r="N408">
        <v>1013</v>
      </c>
      <c r="O408" t="s">
        <v>773</v>
      </c>
      <c r="P408" t="s">
        <v>773</v>
      </c>
      <c r="Q408">
        <v>1</v>
      </c>
      <c r="W408">
        <v>0</v>
      </c>
      <c r="X408">
        <v>1069510174</v>
      </c>
      <c r="Y408">
        <v>0.252</v>
      </c>
      <c r="AA408">
        <v>0</v>
      </c>
      <c r="AB408">
        <v>0</v>
      </c>
      <c r="AC408">
        <v>0</v>
      </c>
      <c r="AD408">
        <v>64.55</v>
      </c>
      <c r="AE408">
        <v>0</v>
      </c>
      <c r="AF408">
        <v>0</v>
      </c>
      <c r="AG408">
        <v>0</v>
      </c>
      <c r="AH408">
        <v>9.6199999999999992</v>
      </c>
      <c r="AI408">
        <v>1</v>
      </c>
      <c r="AJ408">
        <v>1</v>
      </c>
      <c r="AK408">
        <v>1</v>
      </c>
      <c r="AL408">
        <v>6.71</v>
      </c>
      <c r="AN408">
        <v>0</v>
      </c>
      <c r="AO408">
        <v>1</v>
      </c>
      <c r="AP408">
        <v>1</v>
      </c>
      <c r="AQ408">
        <v>0</v>
      </c>
      <c r="AR408">
        <v>0</v>
      </c>
      <c r="AS408" t="s">
        <v>6</v>
      </c>
      <c r="AT408">
        <v>0.84</v>
      </c>
      <c r="AU408" t="s">
        <v>471</v>
      </c>
      <c r="AV408">
        <v>1</v>
      </c>
      <c r="AW408">
        <v>2</v>
      </c>
      <c r="AX408">
        <v>16813793</v>
      </c>
      <c r="AY408">
        <v>1</v>
      </c>
      <c r="AZ408">
        <v>0</v>
      </c>
      <c r="BA408">
        <v>385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Y408*Source!I264</f>
        <v>3.528</v>
      </c>
      <c r="CY408">
        <f t="shared" si="66"/>
        <v>64.55</v>
      </c>
      <c r="CZ408">
        <f t="shared" si="67"/>
        <v>9.6199999999999992</v>
      </c>
      <c r="DA408">
        <f t="shared" si="68"/>
        <v>6.71</v>
      </c>
      <c r="DB408">
        <f>ROUND((ROUND(AT408*CZ408,2)*0.3),2)</f>
        <v>2.42</v>
      </c>
      <c r="DC408">
        <f>ROUND((ROUND(AT408*AG408,2)*0.3),2)</f>
        <v>0</v>
      </c>
    </row>
    <row r="409" spans="1:107" x14ac:dyDescent="0.2">
      <c r="A409">
        <f>ROW(Source!A264)</f>
        <v>264</v>
      </c>
      <c r="B409">
        <v>16812721</v>
      </c>
      <c r="C409">
        <v>16813785</v>
      </c>
      <c r="D409">
        <v>15165918</v>
      </c>
      <c r="E409">
        <v>1</v>
      </c>
      <c r="F409">
        <v>1</v>
      </c>
      <c r="G409">
        <v>1</v>
      </c>
      <c r="H409">
        <v>3</v>
      </c>
      <c r="I409" t="s">
        <v>1092</v>
      </c>
      <c r="J409" t="s">
        <v>1093</v>
      </c>
      <c r="K409" t="s">
        <v>1094</v>
      </c>
      <c r="L409">
        <v>1346</v>
      </c>
      <c r="N409">
        <v>1009</v>
      </c>
      <c r="O409" t="s">
        <v>277</v>
      </c>
      <c r="P409" t="s">
        <v>277</v>
      </c>
      <c r="Q409">
        <v>1</v>
      </c>
      <c r="W409">
        <v>0</v>
      </c>
      <c r="X409">
        <v>1559187994</v>
      </c>
      <c r="Y409">
        <v>0</v>
      </c>
      <c r="AA409">
        <v>186.14</v>
      </c>
      <c r="AB409">
        <v>0</v>
      </c>
      <c r="AC409">
        <v>0</v>
      </c>
      <c r="AD409">
        <v>0</v>
      </c>
      <c r="AE409">
        <v>27.74</v>
      </c>
      <c r="AF409">
        <v>0</v>
      </c>
      <c r="AG409">
        <v>0</v>
      </c>
      <c r="AH409">
        <v>0</v>
      </c>
      <c r="AI409">
        <v>6.71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2.0000000000000001E-4</v>
      </c>
      <c r="AU409" t="s">
        <v>31</v>
      </c>
      <c r="AV409">
        <v>0</v>
      </c>
      <c r="AW409">
        <v>2</v>
      </c>
      <c r="AX409">
        <v>16813794</v>
      </c>
      <c r="AY409">
        <v>1</v>
      </c>
      <c r="AZ409">
        <v>0</v>
      </c>
      <c r="BA409">
        <v>386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Y409*Source!I264</f>
        <v>0</v>
      </c>
      <c r="CY409">
        <f t="shared" ref="CY409:CY414" si="71">AA409</f>
        <v>186.14</v>
      </c>
      <c r="CZ409">
        <f t="shared" ref="CZ409:CZ414" si="72">AE409</f>
        <v>27.74</v>
      </c>
      <c r="DA409">
        <f t="shared" ref="DA409:DA414" si="73">AI409</f>
        <v>6.71</v>
      </c>
      <c r="DB409">
        <f t="shared" ref="DB409:DB414" si="74">ROUND((ROUND(AT409*CZ409,2)*0),2)</f>
        <v>0</v>
      </c>
      <c r="DC409">
        <f t="shared" ref="DC409:DC414" si="75">ROUND((ROUND(AT409*AG409,2)*0),2)</f>
        <v>0</v>
      </c>
    </row>
    <row r="410" spans="1:107" x14ac:dyDescent="0.2">
      <c r="A410">
        <f>ROW(Source!A264)</f>
        <v>264</v>
      </c>
      <c r="B410">
        <v>16812721</v>
      </c>
      <c r="C410">
        <v>16813785</v>
      </c>
      <c r="D410">
        <v>15170072</v>
      </c>
      <c r="E410">
        <v>1</v>
      </c>
      <c r="F410">
        <v>1</v>
      </c>
      <c r="G410">
        <v>1</v>
      </c>
      <c r="H410">
        <v>3</v>
      </c>
      <c r="I410" t="s">
        <v>1095</v>
      </c>
      <c r="J410" t="s">
        <v>1096</v>
      </c>
      <c r="K410" t="s">
        <v>1097</v>
      </c>
      <c r="L410">
        <v>1355</v>
      </c>
      <c r="N410">
        <v>1010</v>
      </c>
      <c r="O410" t="s">
        <v>188</v>
      </c>
      <c r="P410" t="s">
        <v>188</v>
      </c>
      <c r="Q410">
        <v>100</v>
      </c>
      <c r="W410">
        <v>0</v>
      </c>
      <c r="X410">
        <v>-66531260</v>
      </c>
      <c r="Y410">
        <v>0</v>
      </c>
      <c r="AA410">
        <v>556.92999999999995</v>
      </c>
      <c r="AB410">
        <v>0</v>
      </c>
      <c r="AC410">
        <v>0</v>
      </c>
      <c r="AD410">
        <v>0</v>
      </c>
      <c r="AE410">
        <v>83</v>
      </c>
      <c r="AF410">
        <v>0</v>
      </c>
      <c r="AG410">
        <v>0</v>
      </c>
      <c r="AH410">
        <v>0</v>
      </c>
      <c r="AI410">
        <v>6.71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6</v>
      </c>
      <c r="AT410">
        <v>0.01</v>
      </c>
      <c r="AU410" t="s">
        <v>31</v>
      </c>
      <c r="AV410">
        <v>0</v>
      </c>
      <c r="AW410">
        <v>2</v>
      </c>
      <c r="AX410">
        <v>16813795</v>
      </c>
      <c r="AY410">
        <v>1</v>
      </c>
      <c r="AZ410">
        <v>0</v>
      </c>
      <c r="BA410">
        <v>387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Y410*Source!I264</f>
        <v>0</v>
      </c>
      <c r="CY410">
        <f t="shared" si="71"/>
        <v>556.92999999999995</v>
      </c>
      <c r="CZ410">
        <f t="shared" si="72"/>
        <v>83</v>
      </c>
      <c r="DA410">
        <f t="shared" si="73"/>
        <v>6.71</v>
      </c>
      <c r="DB410">
        <f t="shared" si="74"/>
        <v>0</v>
      </c>
      <c r="DC410">
        <f t="shared" si="75"/>
        <v>0</v>
      </c>
    </row>
    <row r="411" spans="1:107" x14ac:dyDescent="0.2">
      <c r="A411">
        <f>ROW(Source!A264)</f>
        <v>264</v>
      </c>
      <c r="B411">
        <v>16812721</v>
      </c>
      <c r="C411">
        <v>16813785</v>
      </c>
      <c r="D411">
        <v>15171982</v>
      </c>
      <c r="E411">
        <v>1</v>
      </c>
      <c r="F411">
        <v>1</v>
      </c>
      <c r="G411">
        <v>1</v>
      </c>
      <c r="H411">
        <v>3</v>
      </c>
      <c r="I411" t="s">
        <v>804</v>
      </c>
      <c r="J411" t="s">
        <v>805</v>
      </c>
      <c r="K411" t="s">
        <v>806</v>
      </c>
      <c r="L411">
        <v>1348</v>
      </c>
      <c r="N411">
        <v>1009</v>
      </c>
      <c r="O411" t="s">
        <v>145</v>
      </c>
      <c r="P411" t="s">
        <v>145</v>
      </c>
      <c r="Q411">
        <v>1000</v>
      </c>
      <c r="W411">
        <v>0</v>
      </c>
      <c r="X411">
        <v>-1421715385</v>
      </c>
      <c r="Y411">
        <v>0</v>
      </c>
      <c r="AA411">
        <v>4898.17</v>
      </c>
      <c r="AB411">
        <v>0</v>
      </c>
      <c r="AC411">
        <v>0</v>
      </c>
      <c r="AD411">
        <v>0</v>
      </c>
      <c r="AE411">
        <v>729.98</v>
      </c>
      <c r="AF411">
        <v>0</v>
      </c>
      <c r="AG411">
        <v>0</v>
      </c>
      <c r="AH411">
        <v>0</v>
      </c>
      <c r="AI411">
        <v>6.71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1.0000000000000001E-5</v>
      </c>
      <c r="AU411" t="s">
        <v>31</v>
      </c>
      <c r="AV411">
        <v>0</v>
      </c>
      <c r="AW411">
        <v>2</v>
      </c>
      <c r="AX411">
        <v>16813796</v>
      </c>
      <c r="AY411">
        <v>1</v>
      </c>
      <c r="AZ411">
        <v>0</v>
      </c>
      <c r="BA411">
        <v>388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Y411*Source!I264</f>
        <v>0</v>
      </c>
      <c r="CY411">
        <f t="shared" si="71"/>
        <v>4898.17</v>
      </c>
      <c r="CZ411">
        <f t="shared" si="72"/>
        <v>729.98</v>
      </c>
      <c r="DA411">
        <f t="shared" si="73"/>
        <v>6.71</v>
      </c>
      <c r="DB411">
        <f t="shared" si="74"/>
        <v>0</v>
      </c>
      <c r="DC411">
        <f t="shared" si="75"/>
        <v>0</v>
      </c>
    </row>
    <row r="412" spans="1:107" x14ac:dyDescent="0.2">
      <c r="A412">
        <f>ROW(Source!A264)</f>
        <v>264</v>
      </c>
      <c r="B412">
        <v>16812721</v>
      </c>
      <c r="C412">
        <v>16813785</v>
      </c>
      <c r="D412">
        <v>15195043</v>
      </c>
      <c r="E412">
        <v>1</v>
      </c>
      <c r="F412">
        <v>1</v>
      </c>
      <c r="G412">
        <v>1</v>
      </c>
      <c r="H412">
        <v>3</v>
      </c>
      <c r="I412" t="s">
        <v>1098</v>
      </c>
      <c r="J412" t="s">
        <v>1099</v>
      </c>
      <c r="K412" t="s">
        <v>1100</v>
      </c>
      <c r="L412">
        <v>1346</v>
      </c>
      <c r="N412">
        <v>1009</v>
      </c>
      <c r="O412" t="s">
        <v>277</v>
      </c>
      <c r="P412" t="s">
        <v>277</v>
      </c>
      <c r="Q412">
        <v>1</v>
      </c>
      <c r="W412">
        <v>0</v>
      </c>
      <c r="X412">
        <v>-1726842289</v>
      </c>
      <c r="Y412">
        <v>0</v>
      </c>
      <c r="AA412">
        <v>441.18</v>
      </c>
      <c r="AB412">
        <v>0</v>
      </c>
      <c r="AC412">
        <v>0</v>
      </c>
      <c r="AD412">
        <v>0</v>
      </c>
      <c r="AE412">
        <v>65.75</v>
      </c>
      <c r="AF412">
        <v>0</v>
      </c>
      <c r="AG412">
        <v>0</v>
      </c>
      <c r="AH412">
        <v>0</v>
      </c>
      <c r="AI412">
        <v>6.71</v>
      </c>
      <c r="AJ412">
        <v>1</v>
      </c>
      <c r="AK412">
        <v>1</v>
      </c>
      <c r="AL412">
        <v>1</v>
      </c>
      <c r="AN412">
        <v>0</v>
      </c>
      <c r="AO412">
        <v>1</v>
      </c>
      <c r="AP412">
        <v>1</v>
      </c>
      <c r="AQ412">
        <v>0</v>
      </c>
      <c r="AR412">
        <v>0</v>
      </c>
      <c r="AS412" t="s">
        <v>6</v>
      </c>
      <c r="AT412">
        <v>2E-3</v>
      </c>
      <c r="AU412" t="s">
        <v>31</v>
      </c>
      <c r="AV412">
        <v>0</v>
      </c>
      <c r="AW412">
        <v>2</v>
      </c>
      <c r="AX412">
        <v>16813797</v>
      </c>
      <c r="AY412">
        <v>1</v>
      </c>
      <c r="AZ412">
        <v>0</v>
      </c>
      <c r="BA412">
        <v>389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Y412*Source!I264</f>
        <v>0</v>
      </c>
      <c r="CY412">
        <f t="shared" si="71"/>
        <v>441.18</v>
      </c>
      <c r="CZ412">
        <f t="shared" si="72"/>
        <v>65.75</v>
      </c>
      <c r="DA412">
        <f t="shared" si="73"/>
        <v>6.71</v>
      </c>
      <c r="DB412">
        <f t="shared" si="74"/>
        <v>0</v>
      </c>
      <c r="DC412">
        <f t="shared" si="75"/>
        <v>0</v>
      </c>
    </row>
    <row r="413" spans="1:107" x14ac:dyDescent="0.2">
      <c r="A413">
        <f>ROW(Source!A264)</f>
        <v>264</v>
      </c>
      <c r="B413">
        <v>16812721</v>
      </c>
      <c r="C413">
        <v>16813785</v>
      </c>
      <c r="D413">
        <v>15202502</v>
      </c>
      <c r="E413">
        <v>1</v>
      </c>
      <c r="F413">
        <v>1</v>
      </c>
      <c r="G413">
        <v>1</v>
      </c>
      <c r="H413">
        <v>3</v>
      </c>
      <c r="I413" t="s">
        <v>1101</v>
      </c>
      <c r="J413" t="s">
        <v>1102</v>
      </c>
      <c r="K413" t="s">
        <v>1103</v>
      </c>
      <c r="L413">
        <v>1346</v>
      </c>
      <c r="N413">
        <v>1009</v>
      </c>
      <c r="O413" t="s">
        <v>277</v>
      </c>
      <c r="P413" t="s">
        <v>277</v>
      </c>
      <c r="Q413">
        <v>1</v>
      </c>
      <c r="W413">
        <v>0</v>
      </c>
      <c r="X413">
        <v>497371595</v>
      </c>
      <c r="Y413">
        <v>0</v>
      </c>
      <c r="AA413">
        <v>194.12</v>
      </c>
      <c r="AB413">
        <v>0</v>
      </c>
      <c r="AC413">
        <v>0</v>
      </c>
      <c r="AD413">
        <v>0</v>
      </c>
      <c r="AE413">
        <v>28.93</v>
      </c>
      <c r="AF413">
        <v>0</v>
      </c>
      <c r="AG413">
        <v>0</v>
      </c>
      <c r="AH413">
        <v>0</v>
      </c>
      <c r="AI413">
        <v>6.71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5.0000000000000001E-3</v>
      </c>
      <c r="AU413" t="s">
        <v>31</v>
      </c>
      <c r="AV413">
        <v>0</v>
      </c>
      <c r="AW413">
        <v>2</v>
      </c>
      <c r="AX413">
        <v>16813798</v>
      </c>
      <c r="AY413">
        <v>1</v>
      </c>
      <c r="AZ413">
        <v>0</v>
      </c>
      <c r="BA413">
        <v>390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Y413*Source!I264</f>
        <v>0</v>
      </c>
      <c r="CY413">
        <f t="shared" si="71"/>
        <v>194.12</v>
      </c>
      <c r="CZ413">
        <f t="shared" si="72"/>
        <v>28.93</v>
      </c>
      <c r="DA413">
        <f t="shared" si="73"/>
        <v>6.71</v>
      </c>
      <c r="DB413">
        <f t="shared" si="74"/>
        <v>0</v>
      </c>
      <c r="DC413">
        <f t="shared" si="75"/>
        <v>0</v>
      </c>
    </row>
    <row r="414" spans="1:107" x14ac:dyDescent="0.2">
      <c r="A414">
        <f>ROW(Source!A264)</f>
        <v>264</v>
      </c>
      <c r="B414">
        <v>16812721</v>
      </c>
      <c r="C414">
        <v>16813785</v>
      </c>
      <c r="D414">
        <v>15164559</v>
      </c>
      <c r="E414">
        <v>17</v>
      </c>
      <c r="F414">
        <v>1</v>
      </c>
      <c r="G414">
        <v>1</v>
      </c>
      <c r="H414">
        <v>3</v>
      </c>
      <c r="I414" t="s">
        <v>989</v>
      </c>
      <c r="J414" t="s">
        <v>6</v>
      </c>
      <c r="K414" t="s">
        <v>990</v>
      </c>
      <c r="L414">
        <v>1374</v>
      </c>
      <c r="N414">
        <v>1013</v>
      </c>
      <c r="O414" t="s">
        <v>991</v>
      </c>
      <c r="P414" t="s">
        <v>991</v>
      </c>
      <c r="Q414">
        <v>1</v>
      </c>
      <c r="W414">
        <v>0</v>
      </c>
      <c r="X414">
        <v>-1731369543</v>
      </c>
      <c r="Y414">
        <v>0</v>
      </c>
      <c r="AA414">
        <v>1</v>
      </c>
      <c r="AB414">
        <v>0</v>
      </c>
      <c r="AC414">
        <v>0</v>
      </c>
      <c r="AD414">
        <v>0</v>
      </c>
      <c r="AE414">
        <v>1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6</v>
      </c>
      <c r="AT414">
        <v>0.16</v>
      </c>
      <c r="AU414" t="s">
        <v>31</v>
      </c>
      <c r="AV414">
        <v>0</v>
      </c>
      <c r="AW414">
        <v>2</v>
      </c>
      <c r="AX414">
        <v>16813799</v>
      </c>
      <c r="AY414">
        <v>1</v>
      </c>
      <c r="AZ414">
        <v>0</v>
      </c>
      <c r="BA414">
        <v>391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Y414*Source!I264</f>
        <v>0</v>
      </c>
      <c r="CY414">
        <f t="shared" si="71"/>
        <v>1</v>
      </c>
      <c r="CZ414">
        <f t="shared" si="72"/>
        <v>1</v>
      </c>
      <c r="DA414">
        <f t="shared" si="73"/>
        <v>1</v>
      </c>
      <c r="DB414">
        <f t="shared" si="74"/>
        <v>0</v>
      </c>
      <c r="DC414">
        <f t="shared" si="75"/>
        <v>0</v>
      </c>
    </row>
    <row r="415" spans="1:107" x14ac:dyDescent="0.2">
      <c r="A415">
        <f>ROW(Source!A265)</f>
        <v>265</v>
      </c>
      <c r="B415">
        <v>16812721</v>
      </c>
      <c r="C415">
        <v>16813800</v>
      </c>
      <c r="D415">
        <v>15436556</v>
      </c>
      <c r="E415">
        <v>1</v>
      </c>
      <c r="F415">
        <v>1</v>
      </c>
      <c r="G415">
        <v>1</v>
      </c>
      <c r="H415">
        <v>1</v>
      </c>
      <c r="I415" t="s">
        <v>833</v>
      </c>
      <c r="J415" t="s">
        <v>6</v>
      </c>
      <c r="K415" t="s">
        <v>834</v>
      </c>
      <c r="L415">
        <v>1191</v>
      </c>
      <c r="N415">
        <v>1013</v>
      </c>
      <c r="O415" t="s">
        <v>773</v>
      </c>
      <c r="P415" t="s">
        <v>773</v>
      </c>
      <c r="Q415">
        <v>1</v>
      </c>
      <c r="W415">
        <v>0</v>
      </c>
      <c r="X415">
        <v>1069510174</v>
      </c>
      <c r="Y415">
        <v>0.84</v>
      </c>
      <c r="AA415">
        <v>0</v>
      </c>
      <c r="AB415">
        <v>0</v>
      </c>
      <c r="AC415">
        <v>0</v>
      </c>
      <c r="AD415">
        <v>64.55</v>
      </c>
      <c r="AE415">
        <v>0</v>
      </c>
      <c r="AF415">
        <v>0</v>
      </c>
      <c r="AG415">
        <v>0</v>
      </c>
      <c r="AH415">
        <v>9.6199999999999992</v>
      </c>
      <c r="AI415">
        <v>1</v>
      </c>
      <c r="AJ415">
        <v>1</v>
      </c>
      <c r="AK415">
        <v>1</v>
      </c>
      <c r="AL415">
        <v>6.71</v>
      </c>
      <c r="AN415">
        <v>0</v>
      </c>
      <c r="AO415">
        <v>1</v>
      </c>
      <c r="AP415">
        <v>0</v>
      </c>
      <c r="AQ415">
        <v>0</v>
      </c>
      <c r="AR415">
        <v>0</v>
      </c>
      <c r="AS415" t="s">
        <v>6</v>
      </c>
      <c r="AT415">
        <v>0.84</v>
      </c>
      <c r="AU415" t="s">
        <v>6</v>
      </c>
      <c r="AV415">
        <v>1</v>
      </c>
      <c r="AW415">
        <v>2</v>
      </c>
      <c r="AX415">
        <v>16813809</v>
      </c>
      <c r="AY415">
        <v>1</v>
      </c>
      <c r="AZ415">
        <v>0</v>
      </c>
      <c r="BA415">
        <v>392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Y415*Source!I265</f>
        <v>13.44</v>
      </c>
      <c r="CY415">
        <f>AD415</f>
        <v>64.55</v>
      </c>
      <c r="CZ415">
        <f>AH415</f>
        <v>9.6199999999999992</v>
      </c>
      <c r="DA415">
        <f>AL415</f>
        <v>6.71</v>
      </c>
      <c r="DB415">
        <f t="shared" ref="DB415:DB446" si="76">ROUND(ROUND(AT415*CZ415,2),2)</f>
        <v>8.08</v>
      </c>
      <c r="DC415">
        <f t="shared" ref="DC415:DC446" si="77">ROUND(ROUND(AT415*AG415,2),2)</f>
        <v>0</v>
      </c>
    </row>
    <row r="416" spans="1:107" x14ac:dyDescent="0.2">
      <c r="A416">
        <f>ROW(Source!A265)</f>
        <v>265</v>
      </c>
      <c r="B416">
        <v>16812721</v>
      </c>
      <c r="C416">
        <v>16813800</v>
      </c>
      <c r="D416">
        <v>15165918</v>
      </c>
      <c r="E416">
        <v>1</v>
      </c>
      <c r="F416">
        <v>1</v>
      </c>
      <c r="G416">
        <v>1</v>
      </c>
      <c r="H416">
        <v>3</v>
      </c>
      <c r="I416" t="s">
        <v>1092</v>
      </c>
      <c r="J416" t="s">
        <v>1093</v>
      </c>
      <c r="K416" t="s">
        <v>1094</v>
      </c>
      <c r="L416">
        <v>1346</v>
      </c>
      <c r="N416">
        <v>1009</v>
      </c>
      <c r="O416" t="s">
        <v>277</v>
      </c>
      <c r="P416" t="s">
        <v>277</v>
      </c>
      <c r="Q416">
        <v>1</v>
      </c>
      <c r="W416">
        <v>0</v>
      </c>
      <c r="X416">
        <v>1559187994</v>
      </c>
      <c r="Y416">
        <v>2.0000000000000001E-4</v>
      </c>
      <c r="AA416">
        <v>186.14</v>
      </c>
      <c r="AB416">
        <v>0</v>
      </c>
      <c r="AC416">
        <v>0</v>
      </c>
      <c r="AD416">
        <v>0</v>
      </c>
      <c r="AE416">
        <v>27.74</v>
      </c>
      <c r="AF416">
        <v>0</v>
      </c>
      <c r="AG416">
        <v>0</v>
      </c>
      <c r="AH416">
        <v>0</v>
      </c>
      <c r="AI416">
        <v>6.71</v>
      </c>
      <c r="AJ416">
        <v>1</v>
      </c>
      <c r="AK416">
        <v>1</v>
      </c>
      <c r="AL416">
        <v>1</v>
      </c>
      <c r="AN416">
        <v>0</v>
      </c>
      <c r="AO416">
        <v>1</v>
      </c>
      <c r="AP416">
        <v>0</v>
      </c>
      <c r="AQ416">
        <v>0</v>
      </c>
      <c r="AR416">
        <v>0</v>
      </c>
      <c r="AS416" t="s">
        <v>6</v>
      </c>
      <c r="AT416">
        <v>2.0000000000000001E-4</v>
      </c>
      <c r="AU416" t="s">
        <v>6</v>
      </c>
      <c r="AV416">
        <v>0</v>
      </c>
      <c r="AW416">
        <v>2</v>
      </c>
      <c r="AX416">
        <v>16813810</v>
      </c>
      <c r="AY416">
        <v>1</v>
      </c>
      <c r="AZ416">
        <v>0</v>
      </c>
      <c r="BA416">
        <v>393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Y416*Source!I265</f>
        <v>3.2000000000000002E-3</v>
      </c>
      <c r="CY416">
        <f t="shared" ref="CY416:CY422" si="78">AA416</f>
        <v>186.14</v>
      </c>
      <c r="CZ416">
        <f t="shared" ref="CZ416:CZ422" si="79">AE416</f>
        <v>27.74</v>
      </c>
      <c r="DA416">
        <f t="shared" ref="DA416:DA422" si="80">AI416</f>
        <v>6.71</v>
      </c>
      <c r="DB416">
        <f t="shared" si="76"/>
        <v>0.01</v>
      </c>
      <c r="DC416">
        <f t="shared" si="77"/>
        <v>0</v>
      </c>
    </row>
    <row r="417" spans="1:107" x14ac:dyDescent="0.2">
      <c r="A417">
        <f>ROW(Source!A265)</f>
        <v>265</v>
      </c>
      <c r="B417">
        <v>16812721</v>
      </c>
      <c r="C417">
        <v>16813800</v>
      </c>
      <c r="D417">
        <v>15170072</v>
      </c>
      <c r="E417">
        <v>1</v>
      </c>
      <c r="F417">
        <v>1</v>
      </c>
      <c r="G417">
        <v>1</v>
      </c>
      <c r="H417">
        <v>3</v>
      </c>
      <c r="I417" t="s">
        <v>1095</v>
      </c>
      <c r="J417" t="s">
        <v>1096</v>
      </c>
      <c r="K417" t="s">
        <v>1097</v>
      </c>
      <c r="L417">
        <v>1355</v>
      </c>
      <c r="N417">
        <v>1010</v>
      </c>
      <c r="O417" t="s">
        <v>188</v>
      </c>
      <c r="P417" t="s">
        <v>188</v>
      </c>
      <c r="Q417">
        <v>100</v>
      </c>
      <c r="W417">
        <v>0</v>
      </c>
      <c r="X417">
        <v>-66531260</v>
      </c>
      <c r="Y417">
        <v>0.01</v>
      </c>
      <c r="AA417">
        <v>556.92999999999995</v>
      </c>
      <c r="AB417">
        <v>0</v>
      </c>
      <c r="AC417">
        <v>0</v>
      </c>
      <c r="AD417">
        <v>0</v>
      </c>
      <c r="AE417">
        <v>83</v>
      </c>
      <c r="AF417">
        <v>0</v>
      </c>
      <c r="AG417">
        <v>0</v>
      </c>
      <c r="AH417">
        <v>0</v>
      </c>
      <c r="AI417">
        <v>6.71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0</v>
      </c>
      <c r="AQ417">
        <v>0</v>
      </c>
      <c r="AR417">
        <v>0</v>
      </c>
      <c r="AS417" t="s">
        <v>6</v>
      </c>
      <c r="AT417">
        <v>0.01</v>
      </c>
      <c r="AU417" t="s">
        <v>6</v>
      </c>
      <c r="AV417">
        <v>0</v>
      </c>
      <c r="AW417">
        <v>2</v>
      </c>
      <c r="AX417">
        <v>16813811</v>
      </c>
      <c r="AY417">
        <v>1</v>
      </c>
      <c r="AZ417">
        <v>0</v>
      </c>
      <c r="BA417">
        <v>394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Y417*Source!I265</f>
        <v>0.16</v>
      </c>
      <c r="CY417">
        <f t="shared" si="78"/>
        <v>556.92999999999995</v>
      </c>
      <c r="CZ417">
        <f t="shared" si="79"/>
        <v>83</v>
      </c>
      <c r="DA417">
        <f t="shared" si="80"/>
        <v>6.71</v>
      </c>
      <c r="DB417">
        <f t="shared" si="76"/>
        <v>0.83</v>
      </c>
      <c r="DC417">
        <f t="shared" si="77"/>
        <v>0</v>
      </c>
    </row>
    <row r="418" spans="1:107" x14ac:dyDescent="0.2">
      <c r="A418">
        <f>ROW(Source!A265)</f>
        <v>265</v>
      </c>
      <c r="B418">
        <v>16812721</v>
      </c>
      <c r="C418">
        <v>16813800</v>
      </c>
      <c r="D418">
        <v>15171982</v>
      </c>
      <c r="E418">
        <v>1</v>
      </c>
      <c r="F418">
        <v>1</v>
      </c>
      <c r="G418">
        <v>1</v>
      </c>
      <c r="H418">
        <v>3</v>
      </c>
      <c r="I418" t="s">
        <v>804</v>
      </c>
      <c r="J418" t="s">
        <v>805</v>
      </c>
      <c r="K418" t="s">
        <v>806</v>
      </c>
      <c r="L418">
        <v>1348</v>
      </c>
      <c r="N418">
        <v>1009</v>
      </c>
      <c r="O418" t="s">
        <v>145</v>
      </c>
      <c r="P418" t="s">
        <v>145</v>
      </c>
      <c r="Q418">
        <v>1000</v>
      </c>
      <c r="W418">
        <v>0</v>
      </c>
      <c r="X418">
        <v>-1421715385</v>
      </c>
      <c r="Y418">
        <v>1.0000000000000001E-5</v>
      </c>
      <c r="AA418">
        <v>4898.17</v>
      </c>
      <c r="AB418">
        <v>0</v>
      </c>
      <c r="AC418">
        <v>0</v>
      </c>
      <c r="AD418">
        <v>0</v>
      </c>
      <c r="AE418">
        <v>729.98</v>
      </c>
      <c r="AF418">
        <v>0</v>
      </c>
      <c r="AG418">
        <v>0</v>
      </c>
      <c r="AH418">
        <v>0</v>
      </c>
      <c r="AI418">
        <v>6.71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1.0000000000000001E-5</v>
      </c>
      <c r="AU418" t="s">
        <v>6</v>
      </c>
      <c r="AV418">
        <v>0</v>
      </c>
      <c r="AW418">
        <v>2</v>
      </c>
      <c r="AX418">
        <v>16813812</v>
      </c>
      <c r="AY418">
        <v>1</v>
      </c>
      <c r="AZ418">
        <v>0</v>
      </c>
      <c r="BA418">
        <v>395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Y418*Source!I265</f>
        <v>1.6000000000000001E-4</v>
      </c>
      <c r="CY418">
        <f t="shared" si="78"/>
        <v>4898.17</v>
      </c>
      <c r="CZ418">
        <f t="shared" si="79"/>
        <v>729.98</v>
      </c>
      <c r="DA418">
        <f t="shared" si="80"/>
        <v>6.71</v>
      </c>
      <c r="DB418">
        <f t="shared" si="76"/>
        <v>0.01</v>
      </c>
      <c r="DC418">
        <f t="shared" si="77"/>
        <v>0</v>
      </c>
    </row>
    <row r="419" spans="1:107" x14ac:dyDescent="0.2">
      <c r="A419">
        <f>ROW(Source!A265)</f>
        <v>265</v>
      </c>
      <c r="B419">
        <v>16812721</v>
      </c>
      <c r="C419">
        <v>16813800</v>
      </c>
      <c r="D419">
        <v>15195043</v>
      </c>
      <c r="E419">
        <v>1</v>
      </c>
      <c r="F419">
        <v>1</v>
      </c>
      <c r="G419">
        <v>1</v>
      </c>
      <c r="H419">
        <v>3</v>
      </c>
      <c r="I419" t="s">
        <v>1098</v>
      </c>
      <c r="J419" t="s">
        <v>1099</v>
      </c>
      <c r="K419" t="s">
        <v>1100</v>
      </c>
      <c r="L419">
        <v>1346</v>
      </c>
      <c r="N419">
        <v>1009</v>
      </c>
      <c r="O419" t="s">
        <v>277</v>
      </c>
      <c r="P419" t="s">
        <v>277</v>
      </c>
      <c r="Q419">
        <v>1</v>
      </c>
      <c r="W419">
        <v>0</v>
      </c>
      <c r="X419">
        <v>-1726842289</v>
      </c>
      <c r="Y419">
        <v>2E-3</v>
      </c>
      <c r="AA419">
        <v>441.18</v>
      </c>
      <c r="AB419">
        <v>0</v>
      </c>
      <c r="AC419">
        <v>0</v>
      </c>
      <c r="AD419">
        <v>0</v>
      </c>
      <c r="AE419">
        <v>65.75</v>
      </c>
      <c r="AF419">
        <v>0</v>
      </c>
      <c r="AG419">
        <v>0</v>
      </c>
      <c r="AH419">
        <v>0</v>
      </c>
      <c r="AI419">
        <v>6.71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0</v>
      </c>
      <c r="AQ419">
        <v>0</v>
      </c>
      <c r="AR419">
        <v>0</v>
      </c>
      <c r="AS419" t="s">
        <v>6</v>
      </c>
      <c r="AT419">
        <v>2E-3</v>
      </c>
      <c r="AU419" t="s">
        <v>6</v>
      </c>
      <c r="AV419">
        <v>0</v>
      </c>
      <c r="AW419">
        <v>2</v>
      </c>
      <c r="AX419">
        <v>16813813</v>
      </c>
      <c r="AY419">
        <v>1</v>
      </c>
      <c r="AZ419">
        <v>0</v>
      </c>
      <c r="BA419">
        <v>396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Y419*Source!I265</f>
        <v>3.2000000000000001E-2</v>
      </c>
      <c r="CY419">
        <f t="shared" si="78"/>
        <v>441.18</v>
      </c>
      <c r="CZ419">
        <f t="shared" si="79"/>
        <v>65.75</v>
      </c>
      <c r="DA419">
        <f t="shared" si="80"/>
        <v>6.71</v>
      </c>
      <c r="DB419">
        <f t="shared" si="76"/>
        <v>0.13</v>
      </c>
      <c r="DC419">
        <f t="shared" si="77"/>
        <v>0</v>
      </c>
    </row>
    <row r="420" spans="1:107" x14ac:dyDescent="0.2">
      <c r="A420">
        <f>ROW(Source!A265)</f>
        <v>265</v>
      </c>
      <c r="B420">
        <v>16812721</v>
      </c>
      <c r="C420">
        <v>16813800</v>
      </c>
      <c r="D420">
        <v>15202502</v>
      </c>
      <c r="E420">
        <v>1</v>
      </c>
      <c r="F420">
        <v>1</v>
      </c>
      <c r="G420">
        <v>1</v>
      </c>
      <c r="H420">
        <v>3</v>
      </c>
      <c r="I420" t="s">
        <v>1101</v>
      </c>
      <c r="J420" t="s">
        <v>1102</v>
      </c>
      <c r="K420" t="s">
        <v>1103</v>
      </c>
      <c r="L420">
        <v>1346</v>
      </c>
      <c r="N420">
        <v>1009</v>
      </c>
      <c r="O420" t="s">
        <v>277</v>
      </c>
      <c r="P420" t="s">
        <v>277</v>
      </c>
      <c r="Q420">
        <v>1</v>
      </c>
      <c r="W420">
        <v>0</v>
      </c>
      <c r="X420">
        <v>497371595</v>
      </c>
      <c r="Y420">
        <v>5.0000000000000001E-3</v>
      </c>
      <c r="AA420">
        <v>194.12</v>
      </c>
      <c r="AB420">
        <v>0</v>
      </c>
      <c r="AC420">
        <v>0</v>
      </c>
      <c r="AD420">
        <v>0</v>
      </c>
      <c r="AE420">
        <v>28.93</v>
      </c>
      <c r="AF420">
        <v>0</v>
      </c>
      <c r="AG420">
        <v>0</v>
      </c>
      <c r="AH420">
        <v>0</v>
      </c>
      <c r="AI420">
        <v>6.71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6</v>
      </c>
      <c r="AT420">
        <v>5.0000000000000001E-3</v>
      </c>
      <c r="AU420" t="s">
        <v>6</v>
      </c>
      <c r="AV420">
        <v>0</v>
      </c>
      <c r="AW420">
        <v>2</v>
      </c>
      <c r="AX420">
        <v>16813814</v>
      </c>
      <c r="AY420">
        <v>1</v>
      </c>
      <c r="AZ420">
        <v>0</v>
      </c>
      <c r="BA420">
        <v>397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Y420*Source!I265</f>
        <v>0.08</v>
      </c>
      <c r="CY420">
        <f t="shared" si="78"/>
        <v>194.12</v>
      </c>
      <c r="CZ420">
        <f t="shared" si="79"/>
        <v>28.93</v>
      </c>
      <c r="DA420">
        <f t="shared" si="80"/>
        <v>6.71</v>
      </c>
      <c r="DB420">
        <f t="shared" si="76"/>
        <v>0.14000000000000001</v>
      </c>
      <c r="DC420">
        <f t="shared" si="77"/>
        <v>0</v>
      </c>
    </row>
    <row r="421" spans="1:107" x14ac:dyDescent="0.2">
      <c r="A421">
        <f>ROW(Source!A265)</f>
        <v>265</v>
      </c>
      <c r="B421">
        <v>16812721</v>
      </c>
      <c r="C421">
        <v>16813800</v>
      </c>
      <c r="D421">
        <v>15237679</v>
      </c>
      <c r="E421">
        <v>1</v>
      </c>
      <c r="F421">
        <v>1</v>
      </c>
      <c r="G421">
        <v>1</v>
      </c>
      <c r="H421">
        <v>3</v>
      </c>
      <c r="I421" t="s">
        <v>659</v>
      </c>
      <c r="J421" t="s">
        <v>661</v>
      </c>
      <c r="K421" t="s">
        <v>660</v>
      </c>
      <c r="L421">
        <v>1358</v>
      </c>
      <c r="N421">
        <v>1010</v>
      </c>
      <c r="O421" t="s">
        <v>516</v>
      </c>
      <c r="P421" t="s">
        <v>516</v>
      </c>
      <c r="Q421">
        <v>10</v>
      </c>
      <c r="W421">
        <v>0</v>
      </c>
      <c r="X421">
        <v>-1633447119</v>
      </c>
      <c r="Y421">
        <v>0.1</v>
      </c>
      <c r="AA421">
        <v>1927.65</v>
      </c>
      <c r="AB421">
        <v>0</v>
      </c>
      <c r="AC421">
        <v>0</v>
      </c>
      <c r="AD421">
        <v>0</v>
      </c>
      <c r="AE421">
        <v>287.27999999999997</v>
      </c>
      <c r="AF421">
        <v>0</v>
      </c>
      <c r="AG421">
        <v>0</v>
      </c>
      <c r="AH421">
        <v>0</v>
      </c>
      <c r="AI421">
        <v>6.71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6</v>
      </c>
      <c r="AT421">
        <v>0.1</v>
      </c>
      <c r="AU421" t="s">
        <v>6</v>
      </c>
      <c r="AV421">
        <v>0</v>
      </c>
      <c r="AW421">
        <v>1</v>
      </c>
      <c r="AX421">
        <v>-1</v>
      </c>
      <c r="AY421">
        <v>0</v>
      </c>
      <c r="AZ421">
        <v>0</v>
      </c>
      <c r="BA421" t="s">
        <v>6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Y421*Source!I265</f>
        <v>1.6</v>
      </c>
      <c r="CY421">
        <f t="shared" si="78"/>
        <v>1927.65</v>
      </c>
      <c r="CZ421">
        <f t="shared" si="79"/>
        <v>287.27999999999997</v>
      </c>
      <c r="DA421">
        <f t="shared" si="80"/>
        <v>6.71</v>
      </c>
      <c r="DB421">
        <f t="shared" si="76"/>
        <v>28.73</v>
      </c>
      <c r="DC421">
        <f t="shared" si="77"/>
        <v>0</v>
      </c>
    </row>
    <row r="422" spans="1:107" x14ac:dyDescent="0.2">
      <c r="A422">
        <f>ROW(Source!A265)</f>
        <v>265</v>
      </c>
      <c r="B422">
        <v>16812721</v>
      </c>
      <c r="C422">
        <v>16813800</v>
      </c>
      <c r="D422">
        <v>15164559</v>
      </c>
      <c r="E422">
        <v>17</v>
      </c>
      <c r="F422">
        <v>1</v>
      </c>
      <c r="G422">
        <v>1</v>
      </c>
      <c r="H422">
        <v>3</v>
      </c>
      <c r="I422" t="s">
        <v>989</v>
      </c>
      <c r="J422" t="s">
        <v>6</v>
      </c>
      <c r="K422" t="s">
        <v>990</v>
      </c>
      <c r="L422">
        <v>1374</v>
      </c>
      <c r="N422">
        <v>1013</v>
      </c>
      <c r="O422" t="s">
        <v>991</v>
      </c>
      <c r="P422" t="s">
        <v>991</v>
      </c>
      <c r="Q422">
        <v>1</v>
      </c>
      <c r="W422">
        <v>0</v>
      </c>
      <c r="X422">
        <v>-1731369543</v>
      </c>
      <c r="Y422">
        <v>0.16</v>
      </c>
      <c r="AA422">
        <v>1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6</v>
      </c>
      <c r="AT422">
        <v>0.16</v>
      </c>
      <c r="AU422" t="s">
        <v>6</v>
      </c>
      <c r="AV422">
        <v>0</v>
      </c>
      <c r="AW422">
        <v>2</v>
      </c>
      <c r="AX422">
        <v>16813815</v>
      </c>
      <c r="AY422">
        <v>1</v>
      </c>
      <c r="AZ422">
        <v>0</v>
      </c>
      <c r="BA422">
        <v>398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Y422*Source!I265</f>
        <v>2.56</v>
      </c>
      <c r="CY422">
        <f t="shared" si="78"/>
        <v>1</v>
      </c>
      <c r="CZ422">
        <f t="shared" si="79"/>
        <v>1</v>
      </c>
      <c r="DA422">
        <f t="shared" si="80"/>
        <v>1</v>
      </c>
      <c r="DB422">
        <f t="shared" si="76"/>
        <v>0.16</v>
      </c>
      <c r="DC422">
        <f t="shared" si="77"/>
        <v>0</v>
      </c>
    </row>
    <row r="423" spans="1:107" x14ac:dyDescent="0.2">
      <c r="A423">
        <f>ROW(Source!A267)</f>
        <v>267</v>
      </c>
      <c r="B423">
        <v>16812721</v>
      </c>
      <c r="C423">
        <v>16813817</v>
      </c>
      <c r="D423">
        <v>15446300</v>
      </c>
      <c r="E423">
        <v>1</v>
      </c>
      <c r="F423">
        <v>1</v>
      </c>
      <c r="G423">
        <v>1</v>
      </c>
      <c r="H423">
        <v>1</v>
      </c>
      <c r="I423" t="s">
        <v>780</v>
      </c>
      <c r="J423" t="s">
        <v>6</v>
      </c>
      <c r="K423" t="s">
        <v>781</v>
      </c>
      <c r="L423">
        <v>1191</v>
      </c>
      <c r="N423">
        <v>1013</v>
      </c>
      <c r="O423" t="s">
        <v>773</v>
      </c>
      <c r="P423" t="s">
        <v>773</v>
      </c>
      <c r="Q423">
        <v>1</v>
      </c>
      <c r="W423">
        <v>0</v>
      </c>
      <c r="X423">
        <v>912892513</v>
      </c>
      <c r="Y423">
        <v>5.4</v>
      </c>
      <c r="AA423">
        <v>0</v>
      </c>
      <c r="AB423">
        <v>0</v>
      </c>
      <c r="AC423">
        <v>0</v>
      </c>
      <c r="AD423">
        <v>66.56</v>
      </c>
      <c r="AE423">
        <v>0</v>
      </c>
      <c r="AF423">
        <v>0</v>
      </c>
      <c r="AG423">
        <v>0</v>
      </c>
      <c r="AH423">
        <v>9.92</v>
      </c>
      <c r="AI423">
        <v>1</v>
      </c>
      <c r="AJ423">
        <v>1</v>
      </c>
      <c r="AK423">
        <v>1</v>
      </c>
      <c r="AL423">
        <v>6.71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6</v>
      </c>
      <c r="AT423">
        <v>5.4</v>
      </c>
      <c r="AU423" t="s">
        <v>6</v>
      </c>
      <c r="AV423">
        <v>1</v>
      </c>
      <c r="AW423">
        <v>2</v>
      </c>
      <c r="AX423">
        <v>16813824</v>
      </c>
      <c r="AY423">
        <v>1</v>
      </c>
      <c r="AZ423">
        <v>0</v>
      </c>
      <c r="BA423">
        <v>399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Y423*Source!I267</f>
        <v>4.32</v>
      </c>
      <c r="CY423">
        <f>AD423</f>
        <v>66.56</v>
      </c>
      <c r="CZ423">
        <f>AH423</f>
        <v>9.92</v>
      </c>
      <c r="DA423">
        <f>AL423</f>
        <v>6.71</v>
      </c>
      <c r="DB423">
        <f t="shared" si="76"/>
        <v>53.57</v>
      </c>
      <c r="DC423">
        <f t="shared" si="77"/>
        <v>0</v>
      </c>
    </row>
    <row r="424" spans="1:107" x14ac:dyDescent="0.2">
      <c r="A424">
        <f>ROW(Source!A267)</f>
        <v>267</v>
      </c>
      <c r="B424">
        <v>16812721</v>
      </c>
      <c r="C424">
        <v>16813817</v>
      </c>
      <c r="D424">
        <v>15165918</v>
      </c>
      <c r="E424">
        <v>1</v>
      </c>
      <c r="F424">
        <v>1</v>
      </c>
      <c r="G424">
        <v>1</v>
      </c>
      <c r="H424">
        <v>3</v>
      </c>
      <c r="I424" t="s">
        <v>1092</v>
      </c>
      <c r="J424" t="s">
        <v>1093</v>
      </c>
      <c r="K424" t="s">
        <v>1094</v>
      </c>
      <c r="L424">
        <v>1346</v>
      </c>
      <c r="N424">
        <v>1009</v>
      </c>
      <c r="O424" t="s">
        <v>277</v>
      </c>
      <c r="P424" t="s">
        <v>277</v>
      </c>
      <c r="Q424">
        <v>1</v>
      </c>
      <c r="W424">
        <v>0</v>
      </c>
      <c r="X424">
        <v>1559187994</v>
      </c>
      <c r="Y424">
        <v>1.2E-2</v>
      </c>
      <c r="AA424">
        <v>186.14</v>
      </c>
      <c r="AB424">
        <v>0</v>
      </c>
      <c r="AC424">
        <v>0</v>
      </c>
      <c r="AD424">
        <v>0</v>
      </c>
      <c r="AE424">
        <v>27.74</v>
      </c>
      <c r="AF424">
        <v>0</v>
      </c>
      <c r="AG424">
        <v>0</v>
      </c>
      <c r="AH424">
        <v>0</v>
      </c>
      <c r="AI424">
        <v>6.71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6</v>
      </c>
      <c r="AT424">
        <v>1.2E-2</v>
      </c>
      <c r="AU424" t="s">
        <v>6</v>
      </c>
      <c r="AV424">
        <v>0</v>
      </c>
      <c r="AW424">
        <v>2</v>
      </c>
      <c r="AX424">
        <v>16813825</v>
      </c>
      <c r="AY424">
        <v>1</v>
      </c>
      <c r="AZ424">
        <v>0</v>
      </c>
      <c r="BA424">
        <v>400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Y424*Source!I267</f>
        <v>9.6000000000000009E-3</v>
      </c>
      <c r="CY424">
        <f>AA424</f>
        <v>186.14</v>
      </c>
      <c r="CZ424">
        <f>AE424</f>
        <v>27.74</v>
      </c>
      <c r="DA424">
        <f>AI424</f>
        <v>6.71</v>
      </c>
      <c r="DB424">
        <f t="shared" si="76"/>
        <v>0.33</v>
      </c>
      <c r="DC424">
        <f t="shared" si="77"/>
        <v>0</v>
      </c>
    </row>
    <row r="425" spans="1:107" x14ac:dyDescent="0.2">
      <c r="A425">
        <f>ROW(Source!A267)</f>
        <v>267</v>
      </c>
      <c r="B425">
        <v>16812721</v>
      </c>
      <c r="C425">
        <v>16813817</v>
      </c>
      <c r="D425">
        <v>15170072</v>
      </c>
      <c r="E425">
        <v>1</v>
      </c>
      <c r="F425">
        <v>1</v>
      </c>
      <c r="G425">
        <v>1</v>
      </c>
      <c r="H425">
        <v>3</v>
      </c>
      <c r="I425" t="s">
        <v>1095</v>
      </c>
      <c r="J425" t="s">
        <v>1096</v>
      </c>
      <c r="K425" t="s">
        <v>1097</v>
      </c>
      <c r="L425">
        <v>1355</v>
      </c>
      <c r="N425">
        <v>1010</v>
      </c>
      <c r="O425" t="s">
        <v>188</v>
      </c>
      <c r="P425" t="s">
        <v>188</v>
      </c>
      <c r="Q425">
        <v>100</v>
      </c>
      <c r="W425">
        <v>0</v>
      </c>
      <c r="X425">
        <v>-66531260</v>
      </c>
      <c r="Y425">
        <v>0.04</v>
      </c>
      <c r="AA425">
        <v>556.92999999999995</v>
      </c>
      <c r="AB425">
        <v>0</v>
      </c>
      <c r="AC425">
        <v>0</v>
      </c>
      <c r="AD425">
        <v>0</v>
      </c>
      <c r="AE425">
        <v>83</v>
      </c>
      <c r="AF425">
        <v>0</v>
      </c>
      <c r="AG425">
        <v>0</v>
      </c>
      <c r="AH425">
        <v>0</v>
      </c>
      <c r="AI425">
        <v>6.71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0.04</v>
      </c>
      <c r="AU425" t="s">
        <v>6</v>
      </c>
      <c r="AV425">
        <v>0</v>
      </c>
      <c r="AW425">
        <v>2</v>
      </c>
      <c r="AX425">
        <v>16813826</v>
      </c>
      <c r="AY425">
        <v>1</v>
      </c>
      <c r="AZ425">
        <v>0</v>
      </c>
      <c r="BA425">
        <v>401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Y425*Source!I267</f>
        <v>3.2000000000000001E-2</v>
      </c>
      <c r="CY425">
        <f>AA425</f>
        <v>556.92999999999995</v>
      </c>
      <c r="CZ425">
        <f>AE425</f>
        <v>83</v>
      </c>
      <c r="DA425">
        <f>AI425</f>
        <v>6.71</v>
      </c>
      <c r="DB425">
        <f t="shared" si="76"/>
        <v>3.32</v>
      </c>
      <c r="DC425">
        <f t="shared" si="77"/>
        <v>0</v>
      </c>
    </row>
    <row r="426" spans="1:107" x14ac:dyDescent="0.2">
      <c r="A426">
        <f>ROW(Source!A267)</f>
        <v>267</v>
      </c>
      <c r="B426">
        <v>16812721</v>
      </c>
      <c r="C426">
        <v>16813817</v>
      </c>
      <c r="D426">
        <v>15195043</v>
      </c>
      <c r="E426">
        <v>1</v>
      </c>
      <c r="F426">
        <v>1</v>
      </c>
      <c r="G426">
        <v>1</v>
      </c>
      <c r="H426">
        <v>3</v>
      </c>
      <c r="I426" t="s">
        <v>1098</v>
      </c>
      <c r="J426" t="s">
        <v>1099</v>
      </c>
      <c r="K426" t="s">
        <v>1100</v>
      </c>
      <c r="L426">
        <v>1346</v>
      </c>
      <c r="N426">
        <v>1009</v>
      </c>
      <c r="O426" t="s">
        <v>277</v>
      </c>
      <c r="P426" t="s">
        <v>277</v>
      </c>
      <c r="Q426">
        <v>1</v>
      </c>
      <c r="W426">
        <v>0</v>
      </c>
      <c r="X426">
        <v>-1726842289</v>
      </c>
      <c r="Y426">
        <v>0.12</v>
      </c>
      <c r="AA426">
        <v>441.18</v>
      </c>
      <c r="AB426">
        <v>0</v>
      </c>
      <c r="AC426">
        <v>0</v>
      </c>
      <c r="AD426">
        <v>0</v>
      </c>
      <c r="AE426">
        <v>65.75</v>
      </c>
      <c r="AF426">
        <v>0</v>
      </c>
      <c r="AG426">
        <v>0</v>
      </c>
      <c r="AH426">
        <v>0</v>
      </c>
      <c r="AI426">
        <v>6.71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6</v>
      </c>
      <c r="AT426">
        <v>0.12</v>
      </c>
      <c r="AU426" t="s">
        <v>6</v>
      </c>
      <c r="AV426">
        <v>0</v>
      </c>
      <c r="AW426">
        <v>2</v>
      </c>
      <c r="AX426">
        <v>16813827</v>
      </c>
      <c r="AY426">
        <v>1</v>
      </c>
      <c r="AZ426">
        <v>0</v>
      </c>
      <c r="BA426">
        <v>402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Y426*Source!I267</f>
        <v>9.6000000000000002E-2</v>
      </c>
      <c r="CY426">
        <f>AA426</f>
        <v>441.18</v>
      </c>
      <c r="CZ426">
        <f>AE426</f>
        <v>65.75</v>
      </c>
      <c r="DA426">
        <f>AI426</f>
        <v>6.71</v>
      </c>
      <c r="DB426">
        <f t="shared" si="76"/>
        <v>7.89</v>
      </c>
      <c r="DC426">
        <f t="shared" si="77"/>
        <v>0</v>
      </c>
    </row>
    <row r="427" spans="1:107" x14ac:dyDescent="0.2">
      <c r="A427">
        <f>ROW(Source!A267)</f>
        <v>267</v>
      </c>
      <c r="B427">
        <v>16812721</v>
      </c>
      <c r="C427">
        <v>16813817</v>
      </c>
      <c r="D427">
        <v>15238317</v>
      </c>
      <c r="E427">
        <v>1</v>
      </c>
      <c r="F427">
        <v>1</v>
      </c>
      <c r="G427">
        <v>1</v>
      </c>
      <c r="H427">
        <v>3</v>
      </c>
      <c r="I427" t="s">
        <v>668</v>
      </c>
      <c r="J427" t="s">
        <v>670</v>
      </c>
      <c r="K427" t="s">
        <v>669</v>
      </c>
      <c r="L427">
        <v>1354</v>
      </c>
      <c r="N427">
        <v>1010</v>
      </c>
      <c r="O427" t="s">
        <v>62</v>
      </c>
      <c r="P427" t="s">
        <v>62</v>
      </c>
      <c r="Q427">
        <v>1</v>
      </c>
      <c r="W427">
        <v>0</v>
      </c>
      <c r="X427">
        <v>-1091684358</v>
      </c>
      <c r="Y427">
        <v>10</v>
      </c>
      <c r="AA427">
        <v>388.64</v>
      </c>
      <c r="AB427">
        <v>0</v>
      </c>
      <c r="AC427">
        <v>0</v>
      </c>
      <c r="AD427">
        <v>0</v>
      </c>
      <c r="AE427">
        <v>57.92</v>
      </c>
      <c r="AF427">
        <v>0</v>
      </c>
      <c r="AG427">
        <v>0</v>
      </c>
      <c r="AH427">
        <v>0</v>
      </c>
      <c r="AI427">
        <v>6.71</v>
      </c>
      <c r="AJ427">
        <v>1</v>
      </c>
      <c r="AK427">
        <v>1</v>
      </c>
      <c r="AL427">
        <v>1</v>
      </c>
      <c r="AN427">
        <v>0</v>
      </c>
      <c r="AO427">
        <v>0</v>
      </c>
      <c r="AP427">
        <v>0</v>
      </c>
      <c r="AQ427">
        <v>0</v>
      </c>
      <c r="AR427">
        <v>0</v>
      </c>
      <c r="AS427" t="s">
        <v>6</v>
      </c>
      <c r="AT427">
        <v>10</v>
      </c>
      <c r="AU427" t="s">
        <v>6</v>
      </c>
      <c r="AV427">
        <v>0</v>
      </c>
      <c r="AW427">
        <v>1</v>
      </c>
      <c r="AX427">
        <v>-1</v>
      </c>
      <c r="AY427">
        <v>0</v>
      </c>
      <c r="AZ427">
        <v>0</v>
      </c>
      <c r="BA427" t="s">
        <v>6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Y427*Source!I267</f>
        <v>8</v>
      </c>
      <c r="CY427">
        <f>AA427</f>
        <v>388.64</v>
      </c>
      <c r="CZ427">
        <f>AE427</f>
        <v>57.92</v>
      </c>
      <c r="DA427">
        <f>AI427</f>
        <v>6.71</v>
      </c>
      <c r="DB427">
        <f t="shared" si="76"/>
        <v>579.20000000000005</v>
      </c>
      <c r="DC427">
        <f t="shared" si="77"/>
        <v>0</v>
      </c>
    </row>
    <row r="428" spans="1:107" x14ac:dyDescent="0.2">
      <c r="A428">
        <f>ROW(Source!A267)</f>
        <v>267</v>
      </c>
      <c r="B428">
        <v>16812721</v>
      </c>
      <c r="C428">
        <v>16813817</v>
      </c>
      <c r="D428">
        <v>15164559</v>
      </c>
      <c r="E428">
        <v>17</v>
      </c>
      <c r="F428">
        <v>1</v>
      </c>
      <c r="G428">
        <v>1</v>
      </c>
      <c r="H428">
        <v>3</v>
      </c>
      <c r="I428" t="s">
        <v>989</v>
      </c>
      <c r="J428" t="s">
        <v>6</v>
      </c>
      <c r="K428" t="s">
        <v>990</v>
      </c>
      <c r="L428">
        <v>1374</v>
      </c>
      <c r="N428">
        <v>1013</v>
      </c>
      <c r="O428" t="s">
        <v>991</v>
      </c>
      <c r="P428" t="s">
        <v>991</v>
      </c>
      <c r="Q428">
        <v>1</v>
      </c>
      <c r="W428">
        <v>0</v>
      </c>
      <c r="X428">
        <v>-1731369543</v>
      </c>
      <c r="Y428">
        <v>1.07</v>
      </c>
      <c r="AA428">
        <v>1</v>
      </c>
      <c r="AB428">
        <v>0</v>
      </c>
      <c r="AC428">
        <v>0</v>
      </c>
      <c r="AD428">
        <v>0</v>
      </c>
      <c r="AE428">
        <v>1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6</v>
      </c>
      <c r="AT428">
        <v>1.07</v>
      </c>
      <c r="AU428" t="s">
        <v>6</v>
      </c>
      <c r="AV428">
        <v>0</v>
      </c>
      <c r="AW428">
        <v>2</v>
      </c>
      <c r="AX428">
        <v>16813828</v>
      </c>
      <c r="AY428">
        <v>1</v>
      </c>
      <c r="AZ428">
        <v>0</v>
      </c>
      <c r="BA428">
        <v>403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Y428*Source!I267</f>
        <v>0.85600000000000009</v>
      </c>
      <c r="CY428">
        <f>AA428</f>
        <v>1</v>
      </c>
      <c r="CZ428">
        <f>AE428</f>
        <v>1</v>
      </c>
      <c r="DA428">
        <f>AI428</f>
        <v>1</v>
      </c>
      <c r="DB428">
        <f t="shared" si="76"/>
        <v>1.07</v>
      </c>
      <c r="DC428">
        <f t="shared" si="77"/>
        <v>0</v>
      </c>
    </row>
    <row r="429" spans="1:107" x14ac:dyDescent="0.2">
      <c r="A429">
        <f>ROW(Source!A269)</f>
        <v>269</v>
      </c>
      <c r="B429">
        <v>16812721</v>
      </c>
      <c r="C429">
        <v>16813830</v>
      </c>
      <c r="D429">
        <v>15438286</v>
      </c>
      <c r="E429">
        <v>1</v>
      </c>
      <c r="F429">
        <v>1</v>
      </c>
      <c r="G429">
        <v>1</v>
      </c>
      <c r="H429">
        <v>1</v>
      </c>
      <c r="I429" t="s">
        <v>874</v>
      </c>
      <c r="J429" t="s">
        <v>6</v>
      </c>
      <c r="K429" t="s">
        <v>875</v>
      </c>
      <c r="L429">
        <v>1191</v>
      </c>
      <c r="N429">
        <v>1013</v>
      </c>
      <c r="O429" t="s">
        <v>773</v>
      </c>
      <c r="P429" t="s">
        <v>773</v>
      </c>
      <c r="Q429">
        <v>1</v>
      </c>
      <c r="W429">
        <v>0</v>
      </c>
      <c r="X429">
        <v>-1027537862</v>
      </c>
      <c r="Y429">
        <v>15.2</v>
      </c>
      <c r="AA429">
        <v>0</v>
      </c>
      <c r="AB429">
        <v>0</v>
      </c>
      <c r="AC429">
        <v>0</v>
      </c>
      <c r="AD429">
        <v>61.6</v>
      </c>
      <c r="AE429">
        <v>0</v>
      </c>
      <c r="AF429">
        <v>0</v>
      </c>
      <c r="AG429">
        <v>0</v>
      </c>
      <c r="AH429">
        <v>9.18</v>
      </c>
      <c r="AI429">
        <v>1</v>
      </c>
      <c r="AJ429">
        <v>1</v>
      </c>
      <c r="AK429">
        <v>1</v>
      </c>
      <c r="AL429">
        <v>6.71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6</v>
      </c>
      <c r="AT429">
        <v>15.2</v>
      </c>
      <c r="AU429" t="s">
        <v>6</v>
      </c>
      <c r="AV429">
        <v>1</v>
      </c>
      <c r="AW429">
        <v>2</v>
      </c>
      <c r="AX429">
        <v>16813835</v>
      </c>
      <c r="AY429">
        <v>1</v>
      </c>
      <c r="AZ429">
        <v>0</v>
      </c>
      <c r="BA429">
        <v>404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Y429*Source!I269</f>
        <v>20.064</v>
      </c>
      <c r="CY429">
        <f>AD429</f>
        <v>61.6</v>
      </c>
      <c r="CZ429">
        <f>AH429</f>
        <v>9.18</v>
      </c>
      <c r="DA429">
        <f>AL429</f>
        <v>6.71</v>
      </c>
      <c r="DB429">
        <f t="shared" si="76"/>
        <v>139.54</v>
      </c>
      <c r="DC429">
        <f t="shared" si="77"/>
        <v>0</v>
      </c>
    </row>
    <row r="430" spans="1:107" x14ac:dyDescent="0.2">
      <c r="A430">
        <f>ROW(Source!A269)</f>
        <v>269</v>
      </c>
      <c r="B430">
        <v>16812721</v>
      </c>
      <c r="C430">
        <v>16813830</v>
      </c>
      <c r="D430">
        <v>15170155</v>
      </c>
      <c r="E430">
        <v>1</v>
      </c>
      <c r="F430">
        <v>1</v>
      </c>
      <c r="G430">
        <v>1</v>
      </c>
      <c r="H430">
        <v>3</v>
      </c>
      <c r="I430" t="s">
        <v>899</v>
      </c>
      <c r="J430" t="s">
        <v>900</v>
      </c>
      <c r="K430" t="s">
        <v>901</v>
      </c>
      <c r="L430">
        <v>1355</v>
      </c>
      <c r="N430">
        <v>1010</v>
      </c>
      <c r="O430" t="s">
        <v>188</v>
      </c>
      <c r="P430" t="s">
        <v>188</v>
      </c>
      <c r="Q430">
        <v>100</v>
      </c>
      <c r="W430">
        <v>0</v>
      </c>
      <c r="X430">
        <v>1135215184</v>
      </c>
      <c r="Y430">
        <v>1.75</v>
      </c>
      <c r="AA430">
        <v>53.68</v>
      </c>
      <c r="AB430">
        <v>0</v>
      </c>
      <c r="AC430">
        <v>0</v>
      </c>
      <c r="AD430">
        <v>0</v>
      </c>
      <c r="AE430">
        <v>8</v>
      </c>
      <c r="AF430">
        <v>0</v>
      </c>
      <c r="AG430">
        <v>0</v>
      </c>
      <c r="AH430">
        <v>0</v>
      </c>
      <c r="AI430">
        <v>6.71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0</v>
      </c>
      <c r="AQ430">
        <v>0</v>
      </c>
      <c r="AR430">
        <v>0</v>
      </c>
      <c r="AS430" t="s">
        <v>6</v>
      </c>
      <c r="AT430">
        <v>1.75</v>
      </c>
      <c r="AU430" t="s">
        <v>6</v>
      </c>
      <c r="AV430">
        <v>0</v>
      </c>
      <c r="AW430">
        <v>2</v>
      </c>
      <c r="AX430">
        <v>16813836</v>
      </c>
      <c r="AY430">
        <v>1</v>
      </c>
      <c r="AZ430">
        <v>0</v>
      </c>
      <c r="BA430">
        <v>405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Y430*Source!I269</f>
        <v>2.31</v>
      </c>
      <c r="CY430">
        <f>AA430</f>
        <v>53.68</v>
      </c>
      <c r="CZ430">
        <f>AE430</f>
        <v>8</v>
      </c>
      <c r="DA430">
        <f>AI430</f>
        <v>6.71</v>
      </c>
      <c r="DB430">
        <f t="shared" si="76"/>
        <v>14</v>
      </c>
      <c r="DC430">
        <f t="shared" si="77"/>
        <v>0</v>
      </c>
    </row>
    <row r="431" spans="1:107" x14ac:dyDescent="0.2">
      <c r="A431">
        <f>ROW(Source!A269)</f>
        <v>269</v>
      </c>
      <c r="B431">
        <v>16812721</v>
      </c>
      <c r="C431">
        <v>16813830</v>
      </c>
      <c r="D431">
        <v>15233695</v>
      </c>
      <c r="E431">
        <v>1</v>
      </c>
      <c r="F431">
        <v>1</v>
      </c>
      <c r="G431">
        <v>1</v>
      </c>
      <c r="H431">
        <v>3</v>
      </c>
      <c r="I431" t="s">
        <v>673</v>
      </c>
      <c r="J431" t="s">
        <v>675</v>
      </c>
      <c r="K431" t="s">
        <v>674</v>
      </c>
      <c r="L431">
        <v>1302</v>
      </c>
      <c r="N431">
        <v>1003</v>
      </c>
      <c r="O431" t="s">
        <v>505</v>
      </c>
      <c r="P431" t="s">
        <v>505</v>
      </c>
      <c r="Q431">
        <v>10</v>
      </c>
      <c r="W431">
        <v>0</v>
      </c>
      <c r="X431">
        <v>1802750156</v>
      </c>
      <c r="Y431">
        <v>10</v>
      </c>
      <c r="AA431">
        <v>164.66</v>
      </c>
      <c r="AB431">
        <v>0</v>
      </c>
      <c r="AC431">
        <v>0</v>
      </c>
      <c r="AD431">
        <v>0</v>
      </c>
      <c r="AE431">
        <v>24.54</v>
      </c>
      <c r="AF431">
        <v>0</v>
      </c>
      <c r="AG431">
        <v>0</v>
      </c>
      <c r="AH431">
        <v>0</v>
      </c>
      <c r="AI431">
        <v>6.71</v>
      </c>
      <c r="AJ431">
        <v>1</v>
      </c>
      <c r="AK431">
        <v>1</v>
      </c>
      <c r="AL431">
        <v>1</v>
      </c>
      <c r="AN431">
        <v>0</v>
      </c>
      <c r="AO431">
        <v>0</v>
      </c>
      <c r="AP431">
        <v>0</v>
      </c>
      <c r="AQ431">
        <v>0</v>
      </c>
      <c r="AR431">
        <v>0</v>
      </c>
      <c r="AS431" t="s">
        <v>6</v>
      </c>
      <c r="AT431">
        <v>10</v>
      </c>
      <c r="AU431" t="s">
        <v>6</v>
      </c>
      <c r="AV431">
        <v>0</v>
      </c>
      <c r="AW431">
        <v>1</v>
      </c>
      <c r="AX431">
        <v>-1</v>
      </c>
      <c r="AY431">
        <v>0</v>
      </c>
      <c r="AZ431">
        <v>0</v>
      </c>
      <c r="BA431" t="s">
        <v>6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Y431*Source!I269</f>
        <v>13.200000000000001</v>
      </c>
      <c r="CY431">
        <f>AA431</f>
        <v>164.66</v>
      </c>
      <c r="CZ431">
        <f>AE431</f>
        <v>24.54</v>
      </c>
      <c r="DA431">
        <f>AI431</f>
        <v>6.71</v>
      </c>
      <c r="DB431">
        <f t="shared" si="76"/>
        <v>245.4</v>
      </c>
      <c r="DC431">
        <f t="shared" si="77"/>
        <v>0</v>
      </c>
    </row>
    <row r="432" spans="1:107" x14ac:dyDescent="0.2">
      <c r="A432">
        <f>ROW(Source!A269)</f>
        <v>269</v>
      </c>
      <c r="B432">
        <v>16812721</v>
      </c>
      <c r="C432">
        <v>16813830</v>
      </c>
      <c r="D432">
        <v>15164559</v>
      </c>
      <c r="E432">
        <v>17</v>
      </c>
      <c r="F432">
        <v>1</v>
      </c>
      <c r="G432">
        <v>1</v>
      </c>
      <c r="H432">
        <v>3</v>
      </c>
      <c r="I432" t="s">
        <v>989</v>
      </c>
      <c r="J432" t="s">
        <v>6</v>
      </c>
      <c r="K432" t="s">
        <v>990</v>
      </c>
      <c r="L432">
        <v>1374</v>
      </c>
      <c r="N432">
        <v>1013</v>
      </c>
      <c r="O432" t="s">
        <v>991</v>
      </c>
      <c r="P432" t="s">
        <v>991</v>
      </c>
      <c r="Q432">
        <v>1</v>
      </c>
      <c r="W432">
        <v>0</v>
      </c>
      <c r="X432">
        <v>-1731369543</v>
      </c>
      <c r="Y432">
        <v>2.79</v>
      </c>
      <c r="AA432">
        <v>1</v>
      </c>
      <c r="AB432">
        <v>0</v>
      </c>
      <c r="AC432">
        <v>0</v>
      </c>
      <c r="AD432">
        <v>0</v>
      </c>
      <c r="AE432">
        <v>1</v>
      </c>
      <c r="AF432">
        <v>0</v>
      </c>
      <c r="AG432">
        <v>0</v>
      </c>
      <c r="AH432">
        <v>0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0</v>
      </c>
      <c r="AQ432">
        <v>0</v>
      </c>
      <c r="AR432">
        <v>0</v>
      </c>
      <c r="AS432" t="s">
        <v>6</v>
      </c>
      <c r="AT432">
        <v>2.79</v>
      </c>
      <c r="AU432" t="s">
        <v>6</v>
      </c>
      <c r="AV432">
        <v>0</v>
      </c>
      <c r="AW432">
        <v>2</v>
      </c>
      <c r="AX432">
        <v>16813837</v>
      </c>
      <c r="AY432">
        <v>1</v>
      </c>
      <c r="AZ432">
        <v>0</v>
      </c>
      <c r="BA432">
        <v>406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Y432*Source!I269</f>
        <v>3.6828000000000003</v>
      </c>
      <c r="CY432">
        <f>AA432</f>
        <v>1</v>
      </c>
      <c r="CZ432">
        <f>AE432</f>
        <v>1</v>
      </c>
      <c r="DA432">
        <f>AI432</f>
        <v>1</v>
      </c>
      <c r="DB432">
        <f t="shared" si="76"/>
        <v>2.79</v>
      </c>
      <c r="DC432">
        <f t="shared" si="77"/>
        <v>0</v>
      </c>
    </row>
    <row r="433" spans="1:107" x14ac:dyDescent="0.2">
      <c r="A433">
        <f>ROW(Source!A271)</f>
        <v>271</v>
      </c>
      <c r="B433">
        <v>16812721</v>
      </c>
      <c r="C433">
        <v>16813839</v>
      </c>
      <c r="D433">
        <v>15430397</v>
      </c>
      <c r="E433">
        <v>1</v>
      </c>
      <c r="F433">
        <v>1</v>
      </c>
      <c r="G433">
        <v>1</v>
      </c>
      <c r="H433">
        <v>1</v>
      </c>
      <c r="I433" t="s">
        <v>838</v>
      </c>
      <c r="J433" t="s">
        <v>6</v>
      </c>
      <c r="K433" t="s">
        <v>839</v>
      </c>
      <c r="L433">
        <v>1191</v>
      </c>
      <c r="N433">
        <v>1013</v>
      </c>
      <c r="O433" t="s">
        <v>773</v>
      </c>
      <c r="P433" t="s">
        <v>773</v>
      </c>
      <c r="Q433">
        <v>1</v>
      </c>
      <c r="W433">
        <v>0</v>
      </c>
      <c r="X433">
        <v>-1081351934</v>
      </c>
      <c r="Y433">
        <v>5.39</v>
      </c>
      <c r="AA433">
        <v>0</v>
      </c>
      <c r="AB433">
        <v>0</v>
      </c>
      <c r="AC433">
        <v>0</v>
      </c>
      <c r="AD433">
        <v>63.07</v>
      </c>
      <c r="AE433">
        <v>0</v>
      </c>
      <c r="AF433">
        <v>0</v>
      </c>
      <c r="AG433">
        <v>0</v>
      </c>
      <c r="AH433">
        <v>9.4</v>
      </c>
      <c r="AI433">
        <v>1</v>
      </c>
      <c r="AJ433">
        <v>1</v>
      </c>
      <c r="AK433">
        <v>1</v>
      </c>
      <c r="AL433">
        <v>6.71</v>
      </c>
      <c r="AN433">
        <v>0</v>
      </c>
      <c r="AO433">
        <v>1</v>
      </c>
      <c r="AP433">
        <v>0</v>
      </c>
      <c r="AQ433">
        <v>0</v>
      </c>
      <c r="AR433">
        <v>0</v>
      </c>
      <c r="AS433" t="s">
        <v>6</v>
      </c>
      <c r="AT433">
        <v>5.39</v>
      </c>
      <c r="AU433" t="s">
        <v>6</v>
      </c>
      <c r="AV433">
        <v>1</v>
      </c>
      <c r="AW433">
        <v>2</v>
      </c>
      <c r="AX433">
        <v>16813851</v>
      </c>
      <c r="AY433">
        <v>1</v>
      </c>
      <c r="AZ433">
        <v>0</v>
      </c>
      <c r="BA433">
        <v>407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Y433*Source!I271</f>
        <v>7.1147999999999998</v>
      </c>
      <c r="CY433">
        <f>AD433</f>
        <v>63.07</v>
      </c>
      <c r="CZ433">
        <f>AH433</f>
        <v>9.4</v>
      </c>
      <c r="DA433">
        <f>AL433</f>
        <v>6.71</v>
      </c>
      <c r="DB433">
        <f t="shared" si="76"/>
        <v>50.67</v>
      </c>
      <c r="DC433">
        <f t="shared" si="77"/>
        <v>0</v>
      </c>
    </row>
    <row r="434" spans="1:107" x14ac:dyDescent="0.2">
      <c r="A434">
        <f>ROW(Source!A271)</f>
        <v>271</v>
      </c>
      <c r="B434">
        <v>16812721</v>
      </c>
      <c r="C434">
        <v>16813839</v>
      </c>
      <c r="D434">
        <v>15430395</v>
      </c>
      <c r="E434">
        <v>1</v>
      </c>
      <c r="F434">
        <v>1</v>
      </c>
      <c r="G434">
        <v>1</v>
      </c>
      <c r="H434">
        <v>1</v>
      </c>
      <c r="I434" t="s">
        <v>774</v>
      </c>
      <c r="J434" t="s">
        <v>6</v>
      </c>
      <c r="K434" t="s">
        <v>775</v>
      </c>
      <c r="L434">
        <v>1191</v>
      </c>
      <c r="N434">
        <v>1013</v>
      </c>
      <c r="O434" t="s">
        <v>773</v>
      </c>
      <c r="P434" t="s">
        <v>773</v>
      </c>
      <c r="Q434">
        <v>1</v>
      </c>
      <c r="W434">
        <v>0</v>
      </c>
      <c r="X434">
        <v>-1417349443</v>
      </c>
      <c r="Y434">
        <v>0.04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6.71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0.04</v>
      </c>
      <c r="AU434" t="s">
        <v>6</v>
      </c>
      <c r="AV434">
        <v>2</v>
      </c>
      <c r="AW434">
        <v>2</v>
      </c>
      <c r="AX434">
        <v>16813852</v>
      </c>
      <c r="AY434">
        <v>1</v>
      </c>
      <c r="AZ434">
        <v>0</v>
      </c>
      <c r="BA434">
        <v>408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Y434*Source!I271</f>
        <v>5.2800000000000007E-2</v>
      </c>
      <c r="CY434">
        <f>AD434</f>
        <v>0</v>
      </c>
      <c r="CZ434">
        <f>AH434</f>
        <v>0</v>
      </c>
      <c r="DA434">
        <f>AL434</f>
        <v>1</v>
      </c>
      <c r="DB434">
        <f t="shared" si="76"/>
        <v>0</v>
      </c>
      <c r="DC434">
        <f t="shared" si="77"/>
        <v>0</v>
      </c>
    </row>
    <row r="435" spans="1:107" x14ac:dyDescent="0.2">
      <c r="A435">
        <f>ROW(Source!A271)</f>
        <v>271</v>
      </c>
      <c r="B435">
        <v>16812721</v>
      </c>
      <c r="C435">
        <v>16813839</v>
      </c>
      <c r="D435">
        <v>15247680</v>
      </c>
      <c r="E435">
        <v>1</v>
      </c>
      <c r="F435">
        <v>1</v>
      </c>
      <c r="G435">
        <v>1</v>
      </c>
      <c r="H435">
        <v>2</v>
      </c>
      <c r="I435" t="s">
        <v>959</v>
      </c>
      <c r="J435" t="s">
        <v>960</v>
      </c>
      <c r="K435" t="s">
        <v>961</v>
      </c>
      <c r="L435">
        <v>1368</v>
      </c>
      <c r="N435">
        <v>1011</v>
      </c>
      <c r="O435" t="s">
        <v>779</v>
      </c>
      <c r="P435" t="s">
        <v>779</v>
      </c>
      <c r="Q435">
        <v>1</v>
      </c>
      <c r="W435">
        <v>0</v>
      </c>
      <c r="X435">
        <v>-1718674368</v>
      </c>
      <c r="Y435">
        <v>0.02</v>
      </c>
      <c r="AA435">
        <v>0</v>
      </c>
      <c r="AB435">
        <v>751.45</v>
      </c>
      <c r="AC435">
        <v>13.5</v>
      </c>
      <c r="AD435">
        <v>0</v>
      </c>
      <c r="AE435">
        <v>0</v>
      </c>
      <c r="AF435">
        <v>111.99</v>
      </c>
      <c r="AG435">
        <v>13.5</v>
      </c>
      <c r="AH435">
        <v>0</v>
      </c>
      <c r="AI435">
        <v>1</v>
      </c>
      <c r="AJ435">
        <v>6.71</v>
      </c>
      <c r="AK435">
        <v>1</v>
      </c>
      <c r="AL435">
        <v>1</v>
      </c>
      <c r="AN435">
        <v>0</v>
      </c>
      <c r="AO435">
        <v>1</v>
      </c>
      <c r="AP435">
        <v>0</v>
      </c>
      <c r="AQ435">
        <v>0</v>
      </c>
      <c r="AR435">
        <v>0</v>
      </c>
      <c r="AS435" t="s">
        <v>6</v>
      </c>
      <c r="AT435">
        <v>0.02</v>
      </c>
      <c r="AU435" t="s">
        <v>6</v>
      </c>
      <c r="AV435">
        <v>0</v>
      </c>
      <c r="AW435">
        <v>2</v>
      </c>
      <c r="AX435">
        <v>16813853</v>
      </c>
      <c r="AY435">
        <v>1</v>
      </c>
      <c r="AZ435">
        <v>0</v>
      </c>
      <c r="BA435">
        <v>409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Y435*Source!I271</f>
        <v>2.6400000000000003E-2</v>
      </c>
      <c r="CY435">
        <f>AB435</f>
        <v>751.45</v>
      </c>
      <c r="CZ435">
        <f>AF435</f>
        <v>111.99</v>
      </c>
      <c r="DA435">
        <f>AJ435</f>
        <v>6.71</v>
      </c>
      <c r="DB435">
        <f t="shared" si="76"/>
        <v>2.2400000000000002</v>
      </c>
      <c r="DC435">
        <f t="shared" si="77"/>
        <v>0.27</v>
      </c>
    </row>
    <row r="436" spans="1:107" x14ac:dyDescent="0.2">
      <c r="A436">
        <f>ROW(Source!A271)</f>
        <v>271</v>
      </c>
      <c r="B436">
        <v>16812721</v>
      </c>
      <c r="C436">
        <v>16813839</v>
      </c>
      <c r="D436">
        <v>15249073</v>
      </c>
      <c r="E436">
        <v>1</v>
      </c>
      <c r="F436">
        <v>1</v>
      </c>
      <c r="G436">
        <v>1</v>
      </c>
      <c r="H436">
        <v>2</v>
      </c>
      <c r="I436" t="s">
        <v>782</v>
      </c>
      <c r="J436" t="s">
        <v>783</v>
      </c>
      <c r="K436" t="s">
        <v>784</v>
      </c>
      <c r="L436">
        <v>1368</v>
      </c>
      <c r="N436">
        <v>1011</v>
      </c>
      <c r="O436" t="s">
        <v>779</v>
      </c>
      <c r="P436" t="s">
        <v>779</v>
      </c>
      <c r="Q436">
        <v>1</v>
      </c>
      <c r="W436">
        <v>0</v>
      </c>
      <c r="X436">
        <v>1372534845</v>
      </c>
      <c r="Y436">
        <v>0.02</v>
      </c>
      <c r="AA436">
        <v>0</v>
      </c>
      <c r="AB436">
        <v>440.91</v>
      </c>
      <c r="AC436">
        <v>11.6</v>
      </c>
      <c r="AD436">
        <v>0</v>
      </c>
      <c r="AE436">
        <v>0</v>
      </c>
      <c r="AF436">
        <v>65.709999999999994</v>
      </c>
      <c r="AG436">
        <v>11.6</v>
      </c>
      <c r="AH436">
        <v>0</v>
      </c>
      <c r="AI436">
        <v>1</v>
      </c>
      <c r="AJ436">
        <v>6.71</v>
      </c>
      <c r="AK436">
        <v>1</v>
      </c>
      <c r="AL436">
        <v>1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6</v>
      </c>
      <c r="AT436">
        <v>0.02</v>
      </c>
      <c r="AU436" t="s">
        <v>6</v>
      </c>
      <c r="AV436">
        <v>0</v>
      </c>
      <c r="AW436">
        <v>2</v>
      </c>
      <c r="AX436">
        <v>16813854</v>
      </c>
      <c r="AY436">
        <v>1</v>
      </c>
      <c r="AZ436">
        <v>0</v>
      </c>
      <c r="BA436">
        <v>410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Y436*Source!I271</f>
        <v>2.6400000000000003E-2</v>
      </c>
      <c r="CY436">
        <f>AB436</f>
        <v>440.91</v>
      </c>
      <c r="CZ436">
        <f>AF436</f>
        <v>65.709999999999994</v>
      </c>
      <c r="DA436">
        <f>AJ436</f>
        <v>6.71</v>
      </c>
      <c r="DB436">
        <f t="shared" si="76"/>
        <v>1.31</v>
      </c>
      <c r="DC436">
        <f t="shared" si="77"/>
        <v>0.23</v>
      </c>
    </row>
    <row r="437" spans="1:107" x14ac:dyDescent="0.2">
      <c r="A437">
        <f>ROW(Source!A271)</f>
        <v>271</v>
      </c>
      <c r="B437">
        <v>16812721</v>
      </c>
      <c r="C437">
        <v>16813839</v>
      </c>
      <c r="D437">
        <v>15167588</v>
      </c>
      <c r="E437">
        <v>1</v>
      </c>
      <c r="F437">
        <v>1</v>
      </c>
      <c r="G437">
        <v>1</v>
      </c>
      <c r="H437">
        <v>3</v>
      </c>
      <c r="I437" t="s">
        <v>1006</v>
      </c>
      <c r="J437" t="s">
        <v>1007</v>
      </c>
      <c r="K437" t="s">
        <v>1008</v>
      </c>
      <c r="L437">
        <v>1346</v>
      </c>
      <c r="N437">
        <v>1009</v>
      </c>
      <c r="O437" t="s">
        <v>277</v>
      </c>
      <c r="P437" t="s">
        <v>277</v>
      </c>
      <c r="Q437">
        <v>1</v>
      </c>
      <c r="W437">
        <v>0</v>
      </c>
      <c r="X437">
        <v>-1088866022</v>
      </c>
      <c r="Y437">
        <v>0.16</v>
      </c>
      <c r="AA437">
        <v>203.98</v>
      </c>
      <c r="AB437">
        <v>0</v>
      </c>
      <c r="AC437">
        <v>0</v>
      </c>
      <c r="AD437">
        <v>0</v>
      </c>
      <c r="AE437">
        <v>30.4</v>
      </c>
      <c r="AF437">
        <v>0</v>
      </c>
      <c r="AG437">
        <v>0</v>
      </c>
      <c r="AH437">
        <v>0</v>
      </c>
      <c r="AI437">
        <v>6.71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6</v>
      </c>
      <c r="AT437">
        <v>0.16</v>
      </c>
      <c r="AU437" t="s">
        <v>6</v>
      </c>
      <c r="AV437">
        <v>0</v>
      </c>
      <c r="AW437">
        <v>2</v>
      </c>
      <c r="AX437">
        <v>16813855</v>
      </c>
      <c r="AY437">
        <v>1</v>
      </c>
      <c r="AZ437">
        <v>0</v>
      </c>
      <c r="BA437">
        <v>411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Y437*Source!I271</f>
        <v>0.21120000000000003</v>
      </c>
      <c r="CY437">
        <f t="shared" ref="CY437:CY443" si="81">AA437</f>
        <v>203.98</v>
      </c>
      <c r="CZ437">
        <f t="shared" ref="CZ437:CZ443" si="82">AE437</f>
        <v>30.4</v>
      </c>
      <c r="DA437">
        <f t="shared" ref="DA437:DA443" si="83">AI437</f>
        <v>6.71</v>
      </c>
      <c r="DB437">
        <f t="shared" si="76"/>
        <v>4.8600000000000003</v>
      </c>
      <c r="DC437">
        <f t="shared" si="77"/>
        <v>0</v>
      </c>
    </row>
    <row r="438" spans="1:107" x14ac:dyDescent="0.2">
      <c r="A438">
        <f>ROW(Source!A271)</f>
        <v>271</v>
      </c>
      <c r="B438">
        <v>16812721</v>
      </c>
      <c r="C438">
        <v>16813839</v>
      </c>
      <c r="D438">
        <v>15167867</v>
      </c>
      <c r="E438">
        <v>1</v>
      </c>
      <c r="F438">
        <v>1</v>
      </c>
      <c r="G438">
        <v>1</v>
      </c>
      <c r="H438">
        <v>3</v>
      </c>
      <c r="I438" t="s">
        <v>1055</v>
      </c>
      <c r="J438" t="s">
        <v>1056</v>
      </c>
      <c r="K438" t="s">
        <v>1057</v>
      </c>
      <c r="L438">
        <v>1348</v>
      </c>
      <c r="N438">
        <v>1009</v>
      </c>
      <c r="O438" t="s">
        <v>145</v>
      </c>
      <c r="P438" t="s">
        <v>145</v>
      </c>
      <c r="Q438">
        <v>1000</v>
      </c>
      <c r="W438">
        <v>0</v>
      </c>
      <c r="X438">
        <v>1012095217</v>
      </c>
      <c r="Y438">
        <v>5.9999999999999995E-4</v>
      </c>
      <c r="AA438">
        <v>12212.2</v>
      </c>
      <c r="AB438">
        <v>0</v>
      </c>
      <c r="AC438">
        <v>0</v>
      </c>
      <c r="AD438">
        <v>0</v>
      </c>
      <c r="AE438">
        <v>1820</v>
      </c>
      <c r="AF438">
        <v>0</v>
      </c>
      <c r="AG438">
        <v>0</v>
      </c>
      <c r="AH438">
        <v>0</v>
      </c>
      <c r="AI438">
        <v>6.71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6</v>
      </c>
      <c r="AT438">
        <v>5.9999999999999995E-4</v>
      </c>
      <c r="AU438" t="s">
        <v>6</v>
      </c>
      <c r="AV438">
        <v>0</v>
      </c>
      <c r="AW438">
        <v>2</v>
      </c>
      <c r="AX438">
        <v>16813856</v>
      </c>
      <c r="AY438">
        <v>1</v>
      </c>
      <c r="AZ438">
        <v>0</v>
      </c>
      <c r="BA438">
        <v>412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Y438*Source!I271</f>
        <v>7.9199999999999995E-4</v>
      </c>
      <c r="CY438">
        <f t="shared" si="81"/>
        <v>12212.2</v>
      </c>
      <c r="CZ438">
        <f t="shared" si="82"/>
        <v>1820</v>
      </c>
      <c r="DA438">
        <f t="shared" si="83"/>
        <v>6.71</v>
      </c>
      <c r="DB438">
        <f t="shared" si="76"/>
        <v>1.0900000000000001</v>
      </c>
      <c r="DC438">
        <f t="shared" si="77"/>
        <v>0</v>
      </c>
    </row>
    <row r="439" spans="1:107" x14ac:dyDescent="0.2">
      <c r="A439">
        <f>ROW(Source!A271)</f>
        <v>271</v>
      </c>
      <c r="B439">
        <v>16812721</v>
      </c>
      <c r="C439">
        <v>16813839</v>
      </c>
      <c r="D439">
        <v>15203834</v>
      </c>
      <c r="E439">
        <v>1</v>
      </c>
      <c r="F439">
        <v>1</v>
      </c>
      <c r="G439">
        <v>1</v>
      </c>
      <c r="H439">
        <v>3</v>
      </c>
      <c r="I439" t="s">
        <v>1024</v>
      </c>
      <c r="J439" t="s">
        <v>1025</v>
      </c>
      <c r="K439" t="s">
        <v>320</v>
      </c>
      <c r="L439">
        <v>1346</v>
      </c>
      <c r="N439">
        <v>1009</v>
      </c>
      <c r="O439" t="s">
        <v>277</v>
      </c>
      <c r="P439" t="s">
        <v>277</v>
      </c>
      <c r="Q439">
        <v>1</v>
      </c>
      <c r="W439">
        <v>0</v>
      </c>
      <c r="X439">
        <v>210558753</v>
      </c>
      <c r="Y439">
        <v>0.02</v>
      </c>
      <c r="AA439">
        <v>191.91</v>
      </c>
      <c r="AB439">
        <v>0</v>
      </c>
      <c r="AC439">
        <v>0</v>
      </c>
      <c r="AD439">
        <v>0</v>
      </c>
      <c r="AE439">
        <v>28.6</v>
      </c>
      <c r="AF439">
        <v>0</v>
      </c>
      <c r="AG439">
        <v>0</v>
      </c>
      <c r="AH439">
        <v>0</v>
      </c>
      <c r="AI439">
        <v>6.71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6</v>
      </c>
      <c r="AT439">
        <v>0.02</v>
      </c>
      <c r="AU439" t="s">
        <v>6</v>
      </c>
      <c r="AV439">
        <v>0</v>
      </c>
      <c r="AW439">
        <v>2</v>
      </c>
      <c r="AX439">
        <v>16813857</v>
      </c>
      <c r="AY439">
        <v>1</v>
      </c>
      <c r="AZ439">
        <v>0</v>
      </c>
      <c r="BA439">
        <v>413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Y439*Source!I271</f>
        <v>2.6400000000000003E-2</v>
      </c>
      <c r="CY439">
        <f t="shared" si="81"/>
        <v>191.91</v>
      </c>
      <c r="CZ439">
        <f t="shared" si="82"/>
        <v>28.6</v>
      </c>
      <c r="DA439">
        <f t="shared" si="83"/>
        <v>6.71</v>
      </c>
      <c r="DB439">
        <f t="shared" si="76"/>
        <v>0.56999999999999995</v>
      </c>
      <c r="DC439">
        <f t="shared" si="77"/>
        <v>0</v>
      </c>
    </row>
    <row r="440" spans="1:107" x14ac:dyDescent="0.2">
      <c r="A440">
        <f>ROW(Source!A271)</f>
        <v>271</v>
      </c>
      <c r="B440">
        <v>16812721</v>
      </c>
      <c r="C440">
        <v>16813839</v>
      </c>
      <c r="D440">
        <v>15217527</v>
      </c>
      <c r="E440">
        <v>1</v>
      </c>
      <c r="F440">
        <v>1</v>
      </c>
      <c r="G440">
        <v>1</v>
      </c>
      <c r="H440">
        <v>3</v>
      </c>
      <c r="I440" t="s">
        <v>1104</v>
      </c>
      <c r="J440" t="s">
        <v>1105</v>
      </c>
      <c r="K440" t="s">
        <v>1106</v>
      </c>
      <c r="L440">
        <v>1355</v>
      </c>
      <c r="N440">
        <v>1010</v>
      </c>
      <c r="O440" t="s">
        <v>188</v>
      </c>
      <c r="P440" t="s">
        <v>188</v>
      </c>
      <c r="Q440">
        <v>100</v>
      </c>
      <c r="W440">
        <v>0</v>
      </c>
      <c r="X440">
        <v>-423136440</v>
      </c>
      <c r="Y440">
        <v>0.05</v>
      </c>
      <c r="AA440">
        <v>738.1</v>
      </c>
      <c r="AB440">
        <v>0</v>
      </c>
      <c r="AC440">
        <v>0</v>
      </c>
      <c r="AD440">
        <v>0</v>
      </c>
      <c r="AE440">
        <v>110</v>
      </c>
      <c r="AF440">
        <v>0</v>
      </c>
      <c r="AG440">
        <v>0</v>
      </c>
      <c r="AH440">
        <v>0</v>
      </c>
      <c r="AI440">
        <v>6.71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6</v>
      </c>
      <c r="AT440">
        <v>0.05</v>
      </c>
      <c r="AU440" t="s">
        <v>6</v>
      </c>
      <c r="AV440">
        <v>0</v>
      </c>
      <c r="AW440">
        <v>2</v>
      </c>
      <c r="AX440">
        <v>16813858</v>
      </c>
      <c r="AY440">
        <v>1</v>
      </c>
      <c r="AZ440">
        <v>0</v>
      </c>
      <c r="BA440">
        <v>414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Y440*Source!I271</f>
        <v>6.6000000000000003E-2</v>
      </c>
      <c r="CY440">
        <f t="shared" si="81"/>
        <v>738.1</v>
      </c>
      <c r="CZ440">
        <f t="shared" si="82"/>
        <v>110</v>
      </c>
      <c r="DA440">
        <f t="shared" si="83"/>
        <v>6.71</v>
      </c>
      <c r="DB440">
        <f t="shared" si="76"/>
        <v>5.5</v>
      </c>
      <c r="DC440">
        <f t="shared" si="77"/>
        <v>0</v>
      </c>
    </row>
    <row r="441" spans="1:107" x14ac:dyDescent="0.2">
      <c r="A441">
        <f>ROW(Source!A271)</f>
        <v>271</v>
      </c>
      <c r="B441">
        <v>16812721</v>
      </c>
      <c r="C441">
        <v>16813839</v>
      </c>
      <c r="D441">
        <v>15217578</v>
      </c>
      <c r="E441">
        <v>1</v>
      </c>
      <c r="F441">
        <v>1</v>
      </c>
      <c r="G441">
        <v>1</v>
      </c>
      <c r="H441">
        <v>3</v>
      </c>
      <c r="I441" t="s">
        <v>1107</v>
      </c>
      <c r="J441" t="s">
        <v>1108</v>
      </c>
      <c r="K441" t="s">
        <v>1109</v>
      </c>
      <c r="L441">
        <v>1356</v>
      </c>
      <c r="N441">
        <v>1010</v>
      </c>
      <c r="O441" t="s">
        <v>882</v>
      </c>
      <c r="P441" t="s">
        <v>882</v>
      </c>
      <c r="Q441">
        <v>1000</v>
      </c>
      <c r="W441">
        <v>0</v>
      </c>
      <c r="X441">
        <v>537827188</v>
      </c>
      <c r="Y441">
        <v>1.2200000000000001E-2</v>
      </c>
      <c r="AA441">
        <v>798.49</v>
      </c>
      <c r="AB441">
        <v>0</v>
      </c>
      <c r="AC441">
        <v>0</v>
      </c>
      <c r="AD441">
        <v>0</v>
      </c>
      <c r="AE441">
        <v>119</v>
      </c>
      <c r="AF441">
        <v>0</v>
      </c>
      <c r="AG441">
        <v>0</v>
      </c>
      <c r="AH441">
        <v>0</v>
      </c>
      <c r="AI441">
        <v>6.71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6</v>
      </c>
      <c r="AT441">
        <v>1.2200000000000001E-2</v>
      </c>
      <c r="AU441" t="s">
        <v>6</v>
      </c>
      <c r="AV441">
        <v>0</v>
      </c>
      <c r="AW441">
        <v>2</v>
      </c>
      <c r="AX441">
        <v>16813859</v>
      </c>
      <c r="AY441">
        <v>1</v>
      </c>
      <c r="AZ441">
        <v>0</v>
      </c>
      <c r="BA441">
        <v>415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Y441*Source!I271</f>
        <v>1.6104E-2</v>
      </c>
      <c r="CY441">
        <f t="shared" si="81"/>
        <v>798.49</v>
      </c>
      <c r="CZ441">
        <f t="shared" si="82"/>
        <v>119</v>
      </c>
      <c r="DA441">
        <f t="shared" si="83"/>
        <v>6.71</v>
      </c>
      <c r="DB441">
        <f t="shared" si="76"/>
        <v>1.45</v>
      </c>
      <c r="DC441">
        <f t="shared" si="77"/>
        <v>0</v>
      </c>
    </row>
    <row r="442" spans="1:107" x14ac:dyDescent="0.2">
      <c r="A442">
        <f>ROW(Source!A271)</f>
        <v>271</v>
      </c>
      <c r="B442">
        <v>16812721</v>
      </c>
      <c r="C442">
        <v>16813839</v>
      </c>
      <c r="D442">
        <v>15224235</v>
      </c>
      <c r="E442">
        <v>1</v>
      </c>
      <c r="F442">
        <v>1</v>
      </c>
      <c r="G442">
        <v>1</v>
      </c>
      <c r="H442">
        <v>3</v>
      </c>
      <c r="I442" t="s">
        <v>681</v>
      </c>
      <c r="J442" t="s">
        <v>682</v>
      </c>
      <c r="K442" t="s">
        <v>1142</v>
      </c>
      <c r="L442">
        <v>1477</v>
      </c>
      <c r="N442">
        <v>1013</v>
      </c>
      <c r="O442" t="s">
        <v>541</v>
      </c>
      <c r="P442" t="s">
        <v>543</v>
      </c>
      <c r="Q442">
        <v>1</v>
      </c>
      <c r="W442">
        <v>0</v>
      </c>
      <c r="X442">
        <v>1970573084</v>
      </c>
      <c r="Y442">
        <v>0.1</v>
      </c>
      <c r="AA442">
        <v>28745.77</v>
      </c>
      <c r="AB442">
        <v>0</v>
      </c>
      <c r="AC442">
        <v>0</v>
      </c>
      <c r="AD442">
        <v>0</v>
      </c>
      <c r="AE442">
        <v>4284.0200000000004</v>
      </c>
      <c r="AF442">
        <v>0</v>
      </c>
      <c r="AG442">
        <v>0</v>
      </c>
      <c r="AH442">
        <v>0</v>
      </c>
      <c r="AI442">
        <v>6.71</v>
      </c>
      <c r="AJ442">
        <v>1</v>
      </c>
      <c r="AK442">
        <v>1</v>
      </c>
      <c r="AL442">
        <v>1</v>
      </c>
      <c r="AN442">
        <v>0</v>
      </c>
      <c r="AO442">
        <v>0</v>
      </c>
      <c r="AP442">
        <v>0</v>
      </c>
      <c r="AQ442">
        <v>0</v>
      </c>
      <c r="AR442">
        <v>0</v>
      </c>
      <c r="AS442" t="s">
        <v>6</v>
      </c>
      <c r="AT442">
        <v>0.1</v>
      </c>
      <c r="AU442" t="s">
        <v>6</v>
      </c>
      <c r="AV442">
        <v>0</v>
      </c>
      <c r="AW442">
        <v>1</v>
      </c>
      <c r="AX442">
        <v>-1</v>
      </c>
      <c r="AY442">
        <v>0</v>
      </c>
      <c r="AZ442">
        <v>0</v>
      </c>
      <c r="BA442" t="s">
        <v>6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Y442*Source!I271</f>
        <v>0.13200000000000001</v>
      </c>
      <c r="CY442">
        <f t="shared" si="81"/>
        <v>28745.77</v>
      </c>
      <c r="CZ442">
        <f t="shared" si="82"/>
        <v>4284.0200000000004</v>
      </c>
      <c r="DA442">
        <f t="shared" si="83"/>
        <v>6.71</v>
      </c>
      <c r="DB442">
        <f t="shared" si="76"/>
        <v>428.4</v>
      </c>
      <c r="DC442">
        <f t="shared" si="77"/>
        <v>0</v>
      </c>
    </row>
    <row r="443" spans="1:107" x14ac:dyDescent="0.2">
      <c r="A443">
        <f>ROW(Source!A271)</f>
        <v>271</v>
      </c>
      <c r="B443">
        <v>16812721</v>
      </c>
      <c r="C443">
        <v>16813839</v>
      </c>
      <c r="D443">
        <v>15164559</v>
      </c>
      <c r="E443">
        <v>17</v>
      </c>
      <c r="F443">
        <v>1</v>
      </c>
      <c r="G443">
        <v>1</v>
      </c>
      <c r="H443">
        <v>3</v>
      </c>
      <c r="I443" t="s">
        <v>989</v>
      </c>
      <c r="J443" t="s">
        <v>6</v>
      </c>
      <c r="K443" t="s">
        <v>990</v>
      </c>
      <c r="L443">
        <v>1374</v>
      </c>
      <c r="N443">
        <v>1013</v>
      </c>
      <c r="O443" t="s">
        <v>991</v>
      </c>
      <c r="P443" t="s">
        <v>991</v>
      </c>
      <c r="Q443">
        <v>1</v>
      </c>
      <c r="W443">
        <v>0</v>
      </c>
      <c r="X443">
        <v>-1731369543</v>
      </c>
      <c r="Y443">
        <v>1.01</v>
      </c>
      <c r="AA443">
        <v>1</v>
      </c>
      <c r="AB443">
        <v>0</v>
      </c>
      <c r="AC443">
        <v>0</v>
      </c>
      <c r="AD443">
        <v>0</v>
      </c>
      <c r="AE443">
        <v>1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0</v>
      </c>
      <c r="AQ443">
        <v>0</v>
      </c>
      <c r="AR443">
        <v>0</v>
      </c>
      <c r="AS443" t="s">
        <v>6</v>
      </c>
      <c r="AT443">
        <v>1.01</v>
      </c>
      <c r="AU443" t="s">
        <v>6</v>
      </c>
      <c r="AV443">
        <v>0</v>
      </c>
      <c r="AW443">
        <v>2</v>
      </c>
      <c r="AX443">
        <v>16813860</v>
      </c>
      <c r="AY443">
        <v>1</v>
      </c>
      <c r="AZ443">
        <v>0</v>
      </c>
      <c r="BA443">
        <v>416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Y443*Source!I271</f>
        <v>1.3332000000000002</v>
      </c>
      <c r="CY443">
        <f t="shared" si="81"/>
        <v>1</v>
      </c>
      <c r="CZ443">
        <f t="shared" si="82"/>
        <v>1</v>
      </c>
      <c r="DA443">
        <f t="shared" si="83"/>
        <v>1</v>
      </c>
      <c r="DB443">
        <f t="shared" si="76"/>
        <v>1.01</v>
      </c>
      <c r="DC443">
        <f t="shared" si="77"/>
        <v>0</v>
      </c>
    </row>
    <row r="444" spans="1:107" x14ac:dyDescent="0.2">
      <c r="A444">
        <f>ROW(Source!A273)</f>
        <v>273</v>
      </c>
      <c r="B444">
        <v>16812721</v>
      </c>
      <c r="C444">
        <v>16813862</v>
      </c>
      <c r="D444">
        <v>15478766</v>
      </c>
      <c r="E444">
        <v>1</v>
      </c>
      <c r="F444">
        <v>1</v>
      </c>
      <c r="G444">
        <v>1</v>
      </c>
      <c r="H444">
        <v>1</v>
      </c>
      <c r="I444" t="s">
        <v>1110</v>
      </c>
      <c r="J444" t="s">
        <v>6</v>
      </c>
      <c r="K444" t="s">
        <v>1111</v>
      </c>
      <c r="L444">
        <v>1191</v>
      </c>
      <c r="N444">
        <v>1013</v>
      </c>
      <c r="O444" t="s">
        <v>773</v>
      </c>
      <c r="P444" t="s">
        <v>773</v>
      </c>
      <c r="Q444">
        <v>1</v>
      </c>
      <c r="W444">
        <v>0</v>
      </c>
      <c r="X444">
        <v>1446053411</v>
      </c>
      <c r="Y444">
        <v>0.4</v>
      </c>
      <c r="AA444">
        <v>0</v>
      </c>
      <c r="AB444">
        <v>0</v>
      </c>
      <c r="AC444">
        <v>0</v>
      </c>
      <c r="AD444">
        <v>74.41</v>
      </c>
      <c r="AE444">
        <v>0</v>
      </c>
      <c r="AF444">
        <v>0</v>
      </c>
      <c r="AG444">
        <v>0</v>
      </c>
      <c r="AH444">
        <v>11.09</v>
      </c>
      <c r="AI444">
        <v>1</v>
      </c>
      <c r="AJ444">
        <v>1</v>
      </c>
      <c r="AK444">
        <v>1</v>
      </c>
      <c r="AL444">
        <v>6.71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6</v>
      </c>
      <c r="AT444">
        <v>0.4</v>
      </c>
      <c r="AU444" t="s">
        <v>6</v>
      </c>
      <c r="AV444">
        <v>1</v>
      </c>
      <c r="AW444">
        <v>2</v>
      </c>
      <c r="AX444">
        <v>16813865</v>
      </c>
      <c r="AY444">
        <v>1</v>
      </c>
      <c r="AZ444">
        <v>0</v>
      </c>
      <c r="BA444">
        <v>417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Y444*Source!I273</f>
        <v>0.4</v>
      </c>
      <c r="CY444">
        <f>AD444</f>
        <v>74.41</v>
      </c>
      <c r="CZ444">
        <f>AH444</f>
        <v>11.09</v>
      </c>
      <c r="DA444">
        <f>AL444</f>
        <v>6.71</v>
      </c>
      <c r="DB444">
        <f t="shared" si="76"/>
        <v>4.4400000000000004</v>
      </c>
      <c r="DC444">
        <f t="shared" si="77"/>
        <v>0</v>
      </c>
    </row>
    <row r="445" spans="1:107" x14ac:dyDescent="0.2">
      <c r="A445">
        <f>ROW(Source!A273)</f>
        <v>273</v>
      </c>
      <c r="B445">
        <v>16812721</v>
      </c>
      <c r="C445">
        <v>16813862</v>
      </c>
      <c r="D445">
        <v>15164559</v>
      </c>
      <c r="E445">
        <v>17</v>
      </c>
      <c r="F445">
        <v>1</v>
      </c>
      <c r="G445">
        <v>1</v>
      </c>
      <c r="H445">
        <v>3</v>
      </c>
      <c r="I445" t="s">
        <v>989</v>
      </c>
      <c r="J445" t="s">
        <v>6</v>
      </c>
      <c r="K445" t="s">
        <v>990</v>
      </c>
      <c r="L445">
        <v>1374</v>
      </c>
      <c r="N445">
        <v>1013</v>
      </c>
      <c r="O445" t="s">
        <v>991</v>
      </c>
      <c r="P445" t="s">
        <v>991</v>
      </c>
      <c r="Q445">
        <v>1</v>
      </c>
      <c r="W445">
        <v>0</v>
      </c>
      <c r="X445">
        <v>-1731369543</v>
      </c>
      <c r="Y445">
        <v>0.09</v>
      </c>
      <c r="AA445">
        <v>1</v>
      </c>
      <c r="AB445">
        <v>0</v>
      </c>
      <c r="AC445">
        <v>0</v>
      </c>
      <c r="AD445">
        <v>0</v>
      </c>
      <c r="AE445">
        <v>1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6</v>
      </c>
      <c r="AT445">
        <v>0.09</v>
      </c>
      <c r="AU445" t="s">
        <v>6</v>
      </c>
      <c r="AV445">
        <v>0</v>
      </c>
      <c r="AW445">
        <v>2</v>
      </c>
      <c r="AX445">
        <v>16813866</v>
      </c>
      <c r="AY445">
        <v>1</v>
      </c>
      <c r="AZ445">
        <v>0</v>
      </c>
      <c r="BA445">
        <v>418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Y445*Source!I273</f>
        <v>0.09</v>
      </c>
      <c r="CY445">
        <f>AA445</f>
        <v>1</v>
      </c>
      <c r="CZ445">
        <f>AE445</f>
        <v>1</v>
      </c>
      <c r="DA445">
        <f>AI445</f>
        <v>1</v>
      </c>
      <c r="DB445">
        <f t="shared" si="76"/>
        <v>0.09</v>
      </c>
      <c r="DC445">
        <f t="shared" si="77"/>
        <v>0</v>
      </c>
    </row>
    <row r="446" spans="1:107" x14ac:dyDescent="0.2">
      <c r="A446">
        <f>ROW(Source!A308)</f>
        <v>308</v>
      </c>
      <c r="B446">
        <v>16812721</v>
      </c>
      <c r="C446">
        <v>16814404</v>
      </c>
      <c r="D446">
        <v>15438286</v>
      </c>
      <c r="E446">
        <v>1</v>
      </c>
      <c r="F446">
        <v>1</v>
      </c>
      <c r="G446">
        <v>1</v>
      </c>
      <c r="H446">
        <v>1</v>
      </c>
      <c r="I446" t="s">
        <v>874</v>
      </c>
      <c r="J446" t="s">
        <v>6</v>
      </c>
      <c r="K446" t="s">
        <v>875</v>
      </c>
      <c r="L446">
        <v>1191</v>
      </c>
      <c r="N446">
        <v>1013</v>
      </c>
      <c r="O446" t="s">
        <v>773</v>
      </c>
      <c r="P446" t="s">
        <v>773</v>
      </c>
      <c r="Q446">
        <v>1</v>
      </c>
      <c r="W446">
        <v>0</v>
      </c>
      <c r="X446">
        <v>-1027537862</v>
      </c>
      <c r="Y446">
        <v>15.2</v>
      </c>
      <c r="AA446">
        <v>0</v>
      </c>
      <c r="AB446">
        <v>0</v>
      </c>
      <c r="AC446">
        <v>0</v>
      </c>
      <c r="AD446">
        <v>61.6</v>
      </c>
      <c r="AE446">
        <v>0</v>
      </c>
      <c r="AF446">
        <v>0</v>
      </c>
      <c r="AG446">
        <v>0</v>
      </c>
      <c r="AH446">
        <v>9.18</v>
      </c>
      <c r="AI446">
        <v>1</v>
      </c>
      <c r="AJ446">
        <v>1</v>
      </c>
      <c r="AK446">
        <v>1</v>
      </c>
      <c r="AL446">
        <v>6.71</v>
      </c>
      <c r="AN446">
        <v>0</v>
      </c>
      <c r="AO446">
        <v>1</v>
      </c>
      <c r="AP446">
        <v>0</v>
      </c>
      <c r="AQ446">
        <v>0</v>
      </c>
      <c r="AR446">
        <v>0</v>
      </c>
      <c r="AS446" t="s">
        <v>6</v>
      </c>
      <c r="AT446">
        <v>15.2</v>
      </c>
      <c r="AU446" t="s">
        <v>6</v>
      </c>
      <c r="AV446">
        <v>1</v>
      </c>
      <c r="AW446">
        <v>2</v>
      </c>
      <c r="AX446">
        <v>16814409</v>
      </c>
      <c r="AY446">
        <v>1</v>
      </c>
      <c r="AZ446">
        <v>0</v>
      </c>
      <c r="BA446">
        <v>419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Y446*Source!I308</f>
        <v>9.1199999999999992</v>
      </c>
      <c r="CY446">
        <f>AD446</f>
        <v>61.6</v>
      </c>
      <c r="CZ446">
        <f>AH446</f>
        <v>9.18</v>
      </c>
      <c r="DA446">
        <f>AL446</f>
        <v>6.71</v>
      </c>
      <c r="DB446">
        <f t="shared" si="76"/>
        <v>139.54</v>
      </c>
      <c r="DC446">
        <f t="shared" si="77"/>
        <v>0</v>
      </c>
    </row>
    <row r="447" spans="1:107" x14ac:dyDescent="0.2">
      <c r="A447">
        <f>ROW(Source!A308)</f>
        <v>308</v>
      </c>
      <c r="B447">
        <v>16812721</v>
      </c>
      <c r="C447">
        <v>16814404</v>
      </c>
      <c r="D447">
        <v>15170155</v>
      </c>
      <c r="E447">
        <v>1</v>
      </c>
      <c r="F447">
        <v>1</v>
      </c>
      <c r="G447">
        <v>1</v>
      </c>
      <c r="H447">
        <v>3</v>
      </c>
      <c r="I447" t="s">
        <v>899</v>
      </c>
      <c r="J447" t="s">
        <v>900</v>
      </c>
      <c r="K447" t="s">
        <v>901</v>
      </c>
      <c r="L447">
        <v>1355</v>
      </c>
      <c r="N447">
        <v>1010</v>
      </c>
      <c r="O447" t="s">
        <v>188</v>
      </c>
      <c r="P447" t="s">
        <v>188</v>
      </c>
      <c r="Q447">
        <v>100</v>
      </c>
      <c r="W447">
        <v>0</v>
      </c>
      <c r="X447">
        <v>1135215184</v>
      </c>
      <c r="Y447">
        <v>1.75</v>
      </c>
      <c r="AA447">
        <v>53.68</v>
      </c>
      <c r="AB447">
        <v>0</v>
      </c>
      <c r="AC447">
        <v>0</v>
      </c>
      <c r="AD447">
        <v>0</v>
      </c>
      <c r="AE447">
        <v>8</v>
      </c>
      <c r="AF447">
        <v>0</v>
      </c>
      <c r="AG447">
        <v>0</v>
      </c>
      <c r="AH447">
        <v>0</v>
      </c>
      <c r="AI447">
        <v>6.71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0</v>
      </c>
      <c r="AQ447">
        <v>0</v>
      </c>
      <c r="AR447">
        <v>0</v>
      </c>
      <c r="AS447" t="s">
        <v>6</v>
      </c>
      <c r="AT447">
        <v>1.75</v>
      </c>
      <c r="AU447" t="s">
        <v>6</v>
      </c>
      <c r="AV447">
        <v>0</v>
      </c>
      <c r="AW447">
        <v>2</v>
      </c>
      <c r="AX447">
        <v>16814410</v>
      </c>
      <c r="AY447">
        <v>1</v>
      </c>
      <c r="AZ447">
        <v>0</v>
      </c>
      <c r="BA447">
        <v>420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Y447*Source!I308</f>
        <v>1.05</v>
      </c>
      <c r="CY447">
        <f>AA447</f>
        <v>53.68</v>
      </c>
      <c r="CZ447">
        <f>AE447</f>
        <v>8</v>
      </c>
      <c r="DA447">
        <f>AI447</f>
        <v>6.71</v>
      </c>
      <c r="DB447">
        <f t="shared" ref="DB447:DB483" si="84">ROUND(ROUND(AT447*CZ447,2),2)</f>
        <v>14</v>
      </c>
      <c r="DC447">
        <f t="shared" ref="DC447:DC483" si="85">ROUND(ROUND(AT447*AG447,2),2)</f>
        <v>0</v>
      </c>
    </row>
    <row r="448" spans="1:107" x14ac:dyDescent="0.2">
      <c r="A448">
        <f>ROW(Source!A308)</f>
        <v>308</v>
      </c>
      <c r="B448">
        <v>16812721</v>
      </c>
      <c r="C448">
        <v>16814404</v>
      </c>
      <c r="D448">
        <v>15233699</v>
      </c>
      <c r="E448">
        <v>1</v>
      </c>
      <c r="F448">
        <v>1</v>
      </c>
      <c r="G448">
        <v>1</v>
      </c>
      <c r="H448">
        <v>3</v>
      </c>
      <c r="I448" t="s">
        <v>691</v>
      </c>
      <c r="J448" t="s">
        <v>693</v>
      </c>
      <c r="K448" t="s">
        <v>692</v>
      </c>
      <c r="L448">
        <v>1302</v>
      </c>
      <c r="N448">
        <v>1003</v>
      </c>
      <c r="O448" t="s">
        <v>505</v>
      </c>
      <c r="P448" t="s">
        <v>505</v>
      </c>
      <c r="Q448">
        <v>10</v>
      </c>
      <c r="W448">
        <v>0</v>
      </c>
      <c r="X448">
        <v>-899177495</v>
      </c>
      <c r="Y448">
        <v>10</v>
      </c>
      <c r="AA448">
        <v>650.20000000000005</v>
      </c>
      <c r="AB448">
        <v>0</v>
      </c>
      <c r="AC448">
        <v>0</v>
      </c>
      <c r="AD448">
        <v>0</v>
      </c>
      <c r="AE448">
        <v>96.9</v>
      </c>
      <c r="AF448">
        <v>0</v>
      </c>
      <c r="AG448">
        <v>0</v>
      </c>
      <c r="AH448">
        <v>0</v>
      </c>
      <c r="AI448">
        <v>6.71</v>
      </c>
      <c r="AJ448">
        <v>1</v>
      </c>
      <c r="AK448">
        <v>1</v>
      </c>
      <c r="AL448">
        <v>1</v>
      </c>
      <c r="AN448">
        <v>0</v>
      </c>
      <c r="AO448">
        <v>0</v>
      </c>
      <c r="AP448">
        <v>0</v>
      </c>
      <c r="AQ448">
        <v>0</v>
      </c>
      <c r="AR448">
        <v>0</v>
      </c>
      <c r="AS448" t="s">
        <v>6</v>
      </c>
      <c r="AT448">
        <v>10</v>
      </c>
      <c r="AU448" t="s">
        <v>6</v>
      </c>
      <c r="AV448">
        <v>0</v>
      </c>
      <c r="AW448">
        <v>1</v>
      </c>
      <c r="AX448">
        <v>-1</v>
      </c>
      <c r="AY448">
        <v>0</v>
      </c>
      <c r="AZ448">
        <v>0</v>
      </c>
      <c r="BA448" t="s">
        <v>6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Y448*Source!I308</f>
        <v>6</v>
      </c>
      <c r="CY448">
        <f>AA448</f>
        <v>650.20000000000005</v>
      </c>
      <c r="CZ448">
        <f>AE448</f>
        <v>96.9</v>
      </c>
      <c r="DA448">
        <f>AI448</f>
        <v>6.71</v>
      </c>
      <c r="DB448">
        <f t="shared" si="84"/>
        <v>969</v>
      </c>
      <c r="DC448">
        <f t="shared" si="85"/>
        <v>0</v>
      </c>
    </row>
    <row r="449" spans="1:107" x14ac:dyDescent="0.2">
      <c r="A449">
        <f>ROW(Source!A308)</f>
        <v>308</v>
      </c>
      <c r="B449">
        <v>16812721</v>
      </c>
      <c r="C449">
        <v>16814404</v>
      </c>
      <c r="D449">
        <v>15164559</v>
      </c>
      <c r="E449">
        <v>17</v>
      </c>
      <c r="F449">
        <v>1</v>
      </c>
      <c r="G449">
        <v>1</v>
      </c>
      <c r="H449">
        <v>3</v>
      </c>
      <c r="I449" t="s">
        <v>989</v>
      </c>
      <c r="J449" t="s">
        <v>6</v>
      </c>
      <c r="K449" t="s">
        <v>990</v>
      </c>
      <c r="L449">
        <v>1374</v>
      </c>
      <c r="N449">
        <v>1013</v>
      </c>
      <c r="O449" t="s">
        <v>991</v>
      </c>
      <c r="P449" t="s">
        <v>991</v>
      </c>
      <c r="Q449">
        <v>1</v>
      </c>
      <c r="W449">
        <v>0</v>
      </c>
      <c r="X449">
        <v>-1731369543</v>
      </c>
      <c r="Y449">
        <v>2.79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0</v>
      </c>
      <c r="AQ449">
        <v>0</v>
      </c>
      <c r="AR449">
        <v>0</v>
      </c>
      <c r="AS449" t="s">
        <v>6</v>
      </c>
      <c r="AT449">
        <v>2.79</v>
      </c>
      <c r="AU449" t="s">
        <v>6</v>
      </c>
      <c r="AV449">
        <v>0</v>
      </c>
      <c r="AW449">
        <v>2</v>
      </c>
      <c r="AX449">
        <v>16814411</v>
      </c>
      <c r="AY449">
        <v>1</v>
      </c>
      <c r="AZ449">
        <v>0</v>
      </c>
      <c r="BA449">
        <v>421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Y449*Source!I308</f>
        <v>1.6739999999999999</v>
      </c>
      <c r="CY449">
        <f>AA449</f>
        <v>1</v>
      </c>
      <c r="CZ449">
        <f>AE449</f>
        <v>1</v>
      </c>
      <c r="DA449">
        <f>AI449</f>
        <v>1</v>
      </c>
      <c r="DB449">
        <f t="shared" si="84"/>
        <v>2.79</v>
      </c>
      <c r="DC449">
        <f t="shared" si="85"/>
        <v>0</v>
      </c>
    </row>
    <row r="450" spans="1:107" x14ac:dyDescent="0.2">
      <c r="A450">
        <f>ROW(Source!A310)</f>
        <v>310</v>
      </c>
      <c r="B450">
        <v>16812721</v>
      </c>
      <c r="C450">
        <v>16814413</v>
      </c>
      <c r="D450">
        <v>15430397</v>
      </c>
      <c r="E450">
        <v>1</v>
      </c>
      <c r="F450">
        <v>1</v>
      </c>
      <c r="G450">
        <v>1</v>
      </c>
      <c r="H450">
        <v>1</v>
      </c>
      <c r="I450" t="s">
        <v>838</v>
      </c>
      <c r="J450" t="s">
        <v>6</v>
      </c>
      <c r="K450" t="s">
        <v>839</v>
      </c>
      <c r="L450">
        <v>1191</v>
      </c>
      <c r="N450">
        <v>1013</v>
      </c>
      <c r="O450" t="s">
        <v>773</v>
      </c>
      <c r="P450" t="s">
        <v>773</v>
      </c>
      <c r="Q450">
        <v>1</v>
      </c>
      <c r="W450">
        <v>0</v>
      </c>
      <c r="X450">
        <v>-1081351934</v>
      </c>
      <c r="Y450">
        <v>5.39</v>
      </c>
      <c r="AA450">
        <v>0</v>
      </c>
      <c r="AB450">
        <v>0</v>
      </c>
      <c r="AC450">
        <v>0</v>
      </c>
      <c r="AD450">
        <v>63.07</v>
      </c>
      <c r="AE450">
        <v>0</v>
      </c>
      <c r="AF450">
        <v>0</v>
      </c>
      <c r="AG450">
        <v>0</v>
      </c>
      <c r="AH450">
        <v>9.4</v>
      </c>
      <c r="AI450">
        <v>1</v>
      </c>
      <c r="AJ450">
        <v>1</v>
      </c>
      <c r="AK450">
        <v>1</v>
      </c>
      <c r="AL450">
        <v>6.71</v>
      </c>
      <c r="AN450">
        <v>0</v>
      </c>
      <c r="AO450">
        <v>1</v>
      </c>
      <c r="AP450">
        <v>0</v>
      </c>
      <c r="AQ450">
        <v>0</v>
      </c>
      <c r="AR450">
        <v>0</v>
      </c>
      <c r="AS450" t="s">
        <v>6</v>
      </c>
      <c r="AT450">
        <v>5.39</v>
      </c>
      <c r="AU450" t="s">
        <v>6</v>
      </c>
      <c r="AV450">
        <v>1</v>
      </c>
      <c r="AW450">
        <v>2</v>
      </c>
      <c r="AX450">
        <v>16814425</v>
      </c>
      <c r="AY450">
        <v>1</v>
      </c>
      <c r="AZ450">
        <v>0</v>
      </c>
      <c r="BA450">
        <v>422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Y450*Source!I310</f>
        <v>106.29079999999999</v>
      </c>
      <c r="CY450">
        <f>AD450</f>
        <v>63.07</v>
      </c>
      <c r="CZ450">
        <f>AH450</f>
        <v>9.4</v>
      </c>
      <c r="DA450">
        <f>AL450</f>
        <v>6.71</v>
      </c>
      <c r="DB450">
        <f t="shared" si="84"/>
        <v>50.67</v>
      </c>
      <c r="DC450">
        <f t="shared" si="85"/>
        <v>0</v>
      </c>
    </row>
    <row r="451" spans="1:107" x14ac:dyDescent="0.2">
      <c r="A451">
        <f>ROW(Source!A310)</f>
        <v>310</v>
      </c>
      <c r="B451">
        <v>16812721</v>
      </c>
      <c r="C451">
        <v>16814413</v>
      </c>
      <c r="D451">
        <v>15430395</v>
      </c>
      <c r="E451">
        <v>1</v>
      </c>
      <c r="F451">
        <v>1</v>
      </c>
      <c r="G451">
        <v>1</v>
      </c>
      <c r="H451">
        <v>1</v>
      </c>
      <c r="I451" t="s">
        <v>774</v>
      </c>
      <c r="J451" t="s">
        <v>6</v>
      </c>
      <c r="K451" t="s">
        <v>775</v>
      </c>
      <c r="L451">
        <v>1191</v>
      </c>
      <c r="N451">
        <v>1013</v>
      </c>
      <c r="O451" t="s">
        <v>773</v>
      </c>
      <c r="P451" t="s">
        <v>773</v>
      </c>
      <c r="Q451">
        <v>1</v>
      </c>
      <c r="W451">
        <v>0</v>
      </c>
      <c r="X451">
        <v>-1417349443</v>
      </c>
      <c r="Y451">
        <v>0.04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1</v>
      </c>
      <c r="AJ451">
        <v>1</v>
      </c>
      <c r="AK451">
        <v>6.71</v>
      </c>
      <c r="AL451">
        <v>1</v>
      </c>
      <c r="AN451">
        <v>0</v>
      </c>
      <c r="AO451">
        <v>1</v>
      </c>
      <c r="AP451">
        <v>0</v>
      </c>
      <c r="AQ451">
        <v>0</v>
      </c>
      <c r="AR451">
        <v>0</v>
      </c>
      <c r="AS451" t="s">
        <v>6</v>
      </c>
      <c r="AT451">
        <v>0.04</v>
      </c>
      <c r="AU451" t="s">
        <v>6</v>
      </c>
      <c r="AV451">
        <v>2</v>
      </c>
      <c r="AW451">
        <v>2</v>
      </c>
      <c r="AX451">
        <v>16814426</v>
      </c>
      <c r="AY451">
        <v>1</v>
      </c>
      <c r="AZ451">
        <v>0</v>
      </c>
      <c r="BA451">
        <v>423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Y451*Source!I310</f>
        <v>0.78879999999999995</v>
      </c>
      <c r="CY451">
        <f>AD451</f>
        <v>0</v>
      </c>
      <c r="CZ451">
        <f>AH451</f>
        <v>0</v>
      </c>
      <c r="DA451">
        <f>AL451</f>
        <v>1</v>
      </c>
      <c r="DB451">
        <f t="shared" si="84"/>
        <v>0</v>
      </c>
      <c r="DC451">
        <f t="shared" si="85"/>
        <v>0</v>
      </c>
    </row>
    <row r="452" spans="1:107" x14ac:dyDescent="0.2">
      <c r="A452">
        <f>ROW(Source!A310)</f>
        <v>310</v>
      </c>
      <c r="B452">
        <v>16812721</v>
      </c>
      <c r="C452">
        <v>16814413</v>
      </c>
      <c r="D452">
        <v>15247680</v>
      </c>
      <c r="E452">
        <v>1</v>
      </c>
      <c r="F452">
        <v>1</v>
      </c>
      <c r="G452">
        <v>1</v>
      </c>
      <c r="H452">
        <v>2</v>
      </c>
      <c r="I452" t="s">
        <v>959</v>
      </c>
      <c r="J452" t="s">
        <v>960</v>
      </c>
      <c r="K452" t="s">
        <v>961</v>
      </c>
      <c r="L452">
        <v>1368</v>
      </c>
      <c r="N452">
        <v>1011</v>
      </c>
      <c r="O452" t="s">
        <v>779</v>
      </c>
      <c r="P452" t="s">
        <v>779</v>
      </c>
      <c r="Q452">
        <v>1</v>
      </c>
      <c r="W452">
        <v>0</v>
      </c>
      <c r="X452">
        <v>-1718674368</v>
      </c>
      <c r="Y452">
        <v>0.02</v>
      </c>
      <c r="AA452">
        <v>0</v>
      </c>
      <c r="AB452">
        <v>751.45</v>
      </c>
      <c r="AC452">
        <v>13.5</v>
      </c>
      <c r="AD452">
        <v>0</v>
      </c>
      <c r="AE452">
        <v>0</v>
      </c>
      <c r="AF452">
        <v>111.99</v>
      </c>
      <c r="AG452">
        <v>13.5</v>
      </c>
      <c r="AH452">
        <v>0</v>
      </c>
      <c r="AI452">
        <v>1</v>
      </c>
      <c r="AJ452">
        <v>6.71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0.02</v>
      </c>
      <c r="AU452" t="s">
        <v>6</v>
      </c>
      <c r="AV452">
        <v>0</v>
      </c>
      <c r="AW452">
        <v>2</v>
      </c>
      <c r="AX452">
        <v>16814427</v>
      </c>
      <c r="AY452">
        <v>1</v>
      </c>
      <c r="AZ452">
        <v>0</v>
      </c>
      <c r="BA452">
        <v>424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Y452*Source!I310</f>
        <v>0.39439999999999997</v>
      </c>
      <c r="CY452">
        <f>AB452</f>
        <v>751.45</v>
      </c>
      <c r="CZ452">
        <f>AF452</f>
        <v>111.99</v>
      </c>
      <c r="DA452">
        <f>AJ452</f>
        <v>6.71</v>
      </c>
      <c r="DB452">
        <f t="shared" si="84"/>
        <v>2.2400000000000002</v>
      </c>
      <c r="DC452">
        <f t="shared" si="85"/>
        <v>0.27</v>
      </c>
    </row>
    <row r="453" spans="1:107" x14ac:dyDescent="0.2">
      <c r="A453">
        <f>ROW(Source!A310)</f>
        <v>310</v>
      </c>
      <c r="B453">
        <v>16812721</v>
      </c>
      <c r="C453">
        <v>16814413</v>
      </c>
      <c r="D453">
        <v>15249073</v>
      </c>
      <c r="E453">
        <v>1</v>
      </c>
      <c r="F453">
        <v>1</v>
      </c>
      <c r="G453">
        <v>1</v>
      </c>
      <c r="H453">
        <v>2</v>
      </c>
      <c r="I453" t="s">
        <v>782</v>
      </c>
      <c r="J453" t="s">
        <v>783</v>
      </c>
      <c r="K453" t="s">
        <v>784</v>
      </c>
      <c r="L453">
        <v>1368</v>
      </c>
      <c r="N453">
        <v>1011</v>
      </c>
      <c r="O453" t="s">
        <v>779</v>
      </c>
      <c r="P453" t="s">
        <v>779</v>
      </c>
      <c r="Q453">
        <v>1</v>
      </c>
      <c r="W453">
        <v>0</v>
      </c>
      <c r="X453">
        <v>1372534845</v>
      </c>
      <c r="Y453">
        <v>0.02</v>
      </c>
      <c r="AA453">
        <v>0</v>
      </c>
      <c r="AB453">
        <v>440.91</v>
      </c>
      <c r="AC453">
        <v>11.6</v>
      </c>
      <c r="AD453">
        <v>0</v>
      </c>
      <c r="AE453">
        <v>0</v>
      </c>
      <c r="AF453">
        <v>65.709999999999994</v>
      </c>
      <c r="AG453">
        <v>11.6</v>
      </c>
      <c r="AH453">
        <v>0</v>
      </c>
      <c r="AI453">
        <v>1</v>
      </c>
      <c r="AJ453">
        <v>6.71</v>
      </c>
      <c r="AK453">
        <v>1</v>
      </c>
      <c r="AL453">
        <v>1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6</v>
      </c>
      <c r="AT453">
        <v>0.02</v>
      </c>
      <c r="AU453" t="s">
        <v>6</v>
      </c>
      <c r="AV453">
        <v>0</v>
      </c>
      <c r="AW453">
        <v>2</v>
      </c>
      <c r="AX453">
        <v>16814428</v>
      </c>
      <c r="AY453">
        <v>1</v>
      </c>
      <c r="AZ453">
        <v>0</v>
      </c>
      <c r="BA453">
        <v>425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Y453*Source!I310</f>
        <v>0.39439999999999997</v>
      </c>
      <c r="CY453">
        <f>AB453</f>
        <v>440.91</v>
      </c>
      <c r="CZ453">
        <f>AF453</f>
        <v>65.709999999999994</v>
      </c>
      <c r="DA453">
        <f>AJ453</f>
        <v>6.71</v>
      </c>
      <c r="DB453">
        <f t="shared" si="84"/>
        <v>1.31</v>
      </c>
      <c r="DC453">
        <f t="shared" si="85"/>
        <v>0.23</v>
      </c>
    </row>
    <row r="454" spans="1:107" x14ac:dyDescent="0.2">
      <c r="A454">
        <f>ROW(Source!A310)</f>
        <v>310</v>
      </c>
      <c r="B454">
        <v>16812721</v>
      </c>
      <c r="C454">
        <v>16814413</v>
      </c>
      <c r="D454">
        <v>15167588</v>
      </c>
      <c r="E454">
        <v>1</v>
      </c>
      <c r="F454">
        <v>1</v>
      </c>
      <c r="G454">
        <v>1</v>
      </c>
      <c r="H454">
        <v>3</v>
      </c>
      <c r="I454" t="s">
        <v>1006</v>
      </c>
      <c r="J454" t="s">
        <v>1007</v>
      </c>
      <c r="K454" t="s">
        <v>1008</v>
      </c>
      <c r="L454">
        <v>1346</v>
      </c>
      <c r="N454">
        <v>1009</v>
      </c>
      <c r="O454" t="s">
        <v>277</v>
      </c>
      <c r="P454" t="s">
        <v>277</v>
      </c>
      <c r="Q454">
        <v>1</v>
      </c>
      <c r="W454">
        <v>0</v>
      </c>
      <c r="X454">
        <v>-1088866022</v>
      </c>
      <c r="Y454">
        <v>0.16</v>
      </c>
      <c r="AA454">
        <v>203.98</v>
      </c>
      <c r="AB454">
        <v>0</v>
      </c>
      <c r="AC454">
        <v>0</v>
      </c>
      <c r="AD454">
        <v>0</v>
      </c>
      <c r="AE454">
        <v>30.4</v>
      </c>
      <c r="AF454">
        <v>0</v>
      </c>
      <c r="AG454">
        <v>0</v>
      </c>
      <c r="AH454">
        <v>0</v>
      </c>
      <c r="AI454">
        <v>6.71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6</v>
      </c>
      <c r="AT454">
        <v>0.16</v>
      </c>
      <c r="AU454" t="s">
        <v>6</v>
      </c>
      <c r="AV454">
        <v>0</v>
      </c>
      <c r="AW454">
        <v>2</v>
      </c>
      <c r="AX454">
        <v>16814429</v>
      </c>
      <c r="AY454">
        <v>1</v>
      </c>
      <c r="AZ454">
        <v>0</v>
      </c>
      <c r="BA454">
        <v>426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Y454*Source!I310</f>
        <v>3.1551999999999998</v>
      </c>
      <c r="CY454">
        <f t="shared" ref="CY454:CY461" si="86">AA454</f>
        <v>203.98</v>
      </c>
      <c r="CZ454">
        <f t="shared" ref="CZ454:CZ461" si="87">AE454</f>
        <v>30.4</v>
      </c>
      <c r="DA454">
        <f t="shared" ref="DA454:DA461" si="88">AI454</f>
        <v>6.71</v>
      </c>
      <c r="DB454">
        <f t="shared" si="84"/>
        <v>4.8600000000000003</v>
      </c>
      <c r="DC454">
        <f t="shared" si="85"/>
        <v>0</v>
      </c>
    </row>
    <row r="455" spans="1:107" x14ac:dyDescent="0.2">
      <c r="A455">
        <f>ROW(Source!A310)</f>
        <v>310</v>
      </c>
      <c r="B455">
        <v>16812721</v>
      </c>
      <c r="C455">
        <v>16814413</v>
      </c>
      <c r="D455">
        <v>15167867</v>
      </c>
      <c r="E455">
        <v>1</v>
      </c>
      <c r="F455">
        <v>1</v>
      </c>
      <c r="G455">
        <v>1</v>
      </c>
      <c r="H455">
        <v>3</v>
      </c>
      <c r="I455" t="s">
        <v>1055</v>
      </c>
      <c r="J455" t="s">
        <v>1056</v>
      </c>
      <c r="K455" t="s">
        <v>1057</v>
      </c>
      <c r="L455">
        <v>1348</v>
      </c>
      <c r="N455">
        <v>1009</v>
      </c>
      <c r="O455" t="s">
        <v>145</v>
      </c>
      <c r="P455" t="s">
        <v>145</v>
      </c>
      <c r="Q455">
        <v>1000</v>
      </c>
      <c r="W455">
        <v>0</v>
      </c>
      <c r="X455">
        <v>1012095217</v>
      </c>
      <c r="Y455">
        <v>5.9999999999999995E-4</v>
      </c>
      <c r="AA455">
        <v>12212.2</v>
      </c>
      <c r="AB455">
        <v>0</v>
      </c>
      <c r="AC455">
        <v>0</v>
      </c>
      <c r="AD455">
        <v>0</v>
      </c>
      <c r="AE455">
        <v>1820</v>
      </c>
      <c r="AF455">
        <v>0</v>
      </c>
      <c r="AG455">
        <v>0</v>
      </c>
      <c r="AH455">
        <v>0</v>
      </c>
      <c r="AI455">
        <v>6.71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6</v>
      </c>
      <c r="AT455">
        <v>5.9999999999999995E-4</v>
      </c>
      <c r="AU455" t="s">
        <v>6</v>
      </c>
      <c r="AV455">
        <v>0</v>
      </c>
      <c r="AW455">
        <v>2</v>
      </c>
      <c r="AX455">
        <v>16814430</v>
      </c>
      <c r="AY455">
        <v>1</v>
      </c>
      <c r="AZ455">
        <v>0</v>
      </c>
      <c r="BA455">
        <v>427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Y455*Source!I310</f>
        <v>1.1831999999999999E-2</v>
      </c>
      <c r="CY455">
        <f t="shared" si="86"/>
        <v>12212.2</v>
      </c>
      <c r="CZ455">
        <f t="shared" si="87"/>
        <v>1820</v>
      </c>
      <c r="DA455">
        <f t="shared" si="88"/>
        <v>6.71</v>
      </c>
      <c r="DB455">
        <f t="shared" si="84"/>
        <v>1.0900000000000001</v>
      </c>
      <c r="DC455">
        <f t="shared" si="85"/>
        <v>0</v>
      </c>
    </row>
    <row r="456" spans="1:107" x14ac:dyDescent="0.2">
      <c r="A456">
        <f>ROW(Source!A310)</f>
        <v>310</v>
      </c>
      <c r="B456">
        <v>16812721</v>
      </c>
      <c r="C456">
        <v>16814413</v>
      </c>
      <c r="D456">
        <v>15203834</v>
      </c>
      <c r="E456">
        <v>1</v>
      </c>
      <c r="F456">
        <v>1</v>
      </c>
      <c r="G456">
        <v>1</v>
      </c>
      <c r="H456">
        <v>3</v>
      </c>
      <c r="I456" t="s">
        <v>1024</v>
      </c>
      <c r="J456" t="s">
        <v>1025</v>
      </c>
      <c r="K456" t="s">
        <v>320</v>
      </c>
      <c r="L456">
        <v>1346</v>
      </c>
      <c r="N456">
        <v>1009</v>
      </c>
      <c r="O456" t="s">
        <v>277</v>
      </c>
      <c r="P456" t="s">
        <v>277</v>
      </c>
      <c r="Q456">
        <v>1</v>
      </c>
      <c r="W456">
        <v>0</v>
      </c>
      <c r="X456">
        <v>210558753</v>
      </c>
      <c r="Y456">
        <v>0.02</v>
      </c>
      <c r="AA456">
        <v>191.91</v>
      </c>
      <c r="AB456">
        <v>0</v>
      </c>
      <c r="AC456">
        <v>0</v>
      </c>
      <c r="AD456">
        <v>0</v>
      </c>
      <c r="AE456">
        <v>28.6</v>
      </c>
      <c r="AF456">
        <v>0</v>
      </c>
      <c r="AG456">
        <v>0</v>
      </c>
      <c r="AH456">
        <v>0</v>
      </c>
      <c r="AI456">
        <v>6.71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6</v>
      </c>
      <c r="AT456">
        <v>0.02</v>
      </c>
      <c r="AU456" t="s">
        <v>6</v>
      </c>
      <c r="AV456">
        <v>0</v>
      </c>
      <c r="AW456">
        <v>2</v>
      </c>
      <c r="AX456">
        <v>16814431</v>
      </c>
      <c r="AY456">
        <v>1</v>
      </c>
      <c r="AZ456">
        <v>0</v>
      </c>
      <c r="BA456">
        <v>428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Y456*Source!I310</f>
        <v>0.39439999999999997</v>
      </c>
      <c r="CY456">
        <f t="shared" si="86"/>
        <v>191.91</v>
      </c>
      <c r="CZ456">
        <f t="shared" si="87"/>
        <v>28.6</v>
      </c>
      <c r="DA456">
        <f t="shared" si="88"/>
        <v>6.71</v>
      </c>
      <c r="DB456">
        <f t="shared" si="84"/>
        <v>0.56999999999999995</v>
      </c>
      <c r="DC456">
        <f t="shared" si="85"/>
        <v>0</v>
      </c>
    </row>
    <row r="457" spans="1:107" x14ac:dyDescent="0.2">
      <c r="A457">
        <f>ROW(Source!A310)</f>
        <v>310</v>
      </c>
      <c r="B457">
        <v>16812721</v>
      </c>
      <c r="C457">
        <v>16814413</v>
      </c>
      <c r="D457">
        <v>15217527</v>
      </c>
      <c r="E457">
        <v>1</v>
      </c>
      <c r="F457">
        <v>1</v>
      </c>
      <c r="G457">
        <v>1</v>
      </c>
      <c r="H457">
        <v>3</v>
      </c>
      <c r="I457" t="s">
        <v>1104</v>
      </c>
      <c r="J457" t="s">
        <v>1105</v>
      </c>
      <c r="K457" t="s">
        <v>1106</v>
      </c>
      <c r="L457">
        <v>1355</v>
      </c>
      <c r="N457">
        <v>1010</v>
      </c>
      <c r="O457" t="s">
        <v>188</v>
      </c>
      <c r="P457" t="s">
        <v>188</v>
      </c>
      <c r="Q457">
        <v>100</v>
      </c>
      <c r="W457">
        <v>0</v>
      </c>
      <c r="X457">
        <v>-423136440</v>
      </c>
      <c r="Y457">
        <v>0.05</v>
      </c>
      <c r="AA457">
        <v>738.1</v>
      </c>
      <c r="AB457">
        <v>0</v>
      </c>
      <c r="AC457">
        <v>0</v>
      </c>
      <c r="AD457">
        <v>0</v>
      </c>
      <c r="AE457">
        <v>110</v>
      </c>
      <c r="AF457">
        <v>0</v>
      </c>
      <c r="AG457">
        <v>0</v>
      </c>
      <c r="AH457">
        <v>0</v>
      </c>
      <c r="AI457">
        <v>6.71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6</v>
      </c>
      <c r="AT457">
        <v>0.05</v>
      </c>
      <c r="AU457" t="s">
        <v>6</v>
      </c>
      <c r="AV457">
        <v>0</v>
      </c>
      <c r="AW457">
        <v>2</v>
      </c>
      <c r="AX457">
        <v>16814432</v>
      </c>
      <c r="AY457">
        <v>1</v>
      </c>
      <c r="AZ457">
        <v>0</v>
      </c>
      <c r="BA457">
        <v>429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Y457*Source!I310</f>
        <v>0.98599999999999999</v>
      </c>
      <c r="CY457">
        <f t="shared" si="86"/>
        <v>738.1</v>
      </c>
      <c r="CZ457">
        <f t="shared" si="87"/>
        <v>110</v>
      </c>
      <c r="DA457">
        <f t="shared" si="88"/>
        <v>6.71</v>
      </c>
      <c r="DB457">
        <f t="shared" si="84"/>
        <v>5.5</v>
      </c>
      <c r="DC457">
        <f t="shared" si="85"/>
        <v>0</v>
      </c>
    </row>
    <row r="458" spans="1:107" x14ac:dyDescent="0.2">
      <c r="A458">
        <f>ROW(Source!A310)</f>
        <v>310</v>
      </c>
      <c r="B458">
        <v>16812721</v>
      </c>
      <c r="C458">
        <v>16814413</v>
      </c>
      <c r="D458">
        <v>15217578</v>
      </c>
      <c r="E458">
        <v>1</v>
      </c>
      <c r="F458">
        <v>1</v>
      </c>
      <c r="G458">
        <v>1</v>
      </c>
      <c r="H458">
        <v>3</v>
      </c>
      <c r="I458" t="s">
        <v>1107</v>
      </c>
      <c r="J458" t="s">
        <v>1108</v>
      </c>
      <c r="K458" t="s">
        <v>1109</v>
      </c>
      <c r="L458">
        <v>1356</v>
      </c>
      <c r="N458">
        <v>1010</v>
      </c>
      <c r="O458" t="s">
        <v>882</v>
      </c>
      <c r="P458" t="s">
        <v>882</v>
      </c>
      <c r="Q458">
        <v>1000</v>
      </c>
      <c r="W458">
        <v>0</v>
      </c>
      <c r="X458">
        <v>537827188</v>
      </c>
      <c r="Y458">
        <v>1.2200000000000001E-2</v>
      </c>
      <c r="AA458">
        <v>798.49</v>
      </c>
      <c r="AB458">
        <v>0</v>
      </c>
      <c r="AC458">
        <v>0</v>
      </c>
      <c r="AD458">
        <v>0</v>
      </c>
      <c r="AE458">
        <v>119</v>
      </c>
      <c r="AF458">
        <v>0</v>
      </c>
      <c r="AG458">
        <v>0</v>
      </c>
      <c r="AH458">
        <v>0</v>
      </c>
      <c r="AI458">
        <v>6.71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6</v>
      </c>
      <c r="AT458">
        <v>1.2200000000000001E-2</v>
      </c>
      <c r="AU458" t="s">
        <v>6</v>
      </c>
      <c r="AV458">
        <v>0</v>
      </c>
      <c r="AW458">
        <v>2</v>
      </c>
      <c r="AX458">
        <v>16814433</v>
      </c>
      <c r="AY458">
        <v>1</v>
      </c>
      <c r="AZ458">
        <v>0</v>
      </c>
      <c r="BA458">
        <v>430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Y458*Source!I310</f>
        <v>0.24058399999999999</v>
      </c>
      <c r="CY458">
        <f t="shared" si="86"/>
        <v>798.49</v>
      </c>
      <c r="CZ458">
        <f t="shared" si="87"/>
        <v>119</v>
      </c>
      <c r="DA458">
        <f t="shared" si="88"/>
        <v>6.71</v>
      </c>
      <c r="DB458">
        <f t="shared" si="84"/>
        <v>1.45</v>
      </c>
      <c r="DC458">
        <f t="shared" si="85"/>
        <v>0</v>
      </c>
    </row>
    <row r="459" spans="1:107" x14ac:dyDescent="0.2">
      <c r="A459">
        <f>ROW(Source!A310)</f>
        <v>310</v>
      </c>
      <c r="B459">
        <v>16812721</v>
      </c>
      <c r="C459">
        <v>16814413</v>
      </c>
      <c r="D459">
        <v>15221611</v>
      </c>
      <c r="E459">
        <v>1</v>
      </c>
      <c r="F459">
        <v>1</v>
      </c>
      <c r="G459">
        <v>1</v>
      </c>
      <c r="H459">
        <v>3</v>
      </c>
      <c r="I459" t="s">
        <v>696</v>
      </c>
      <c r="J459" t="s">
        <v>698</v>
      </c>
      <c r="K459" t="s">
        <v>697</v>
      </c>
      <c r="L459">
        <v>1477</v>
      </c>
      <c r="N459">
        <v>1013</v>
      </c>
      <c r="O459" t="s">
        <v>541</v>
      </c>
      <c r="P459" t="s">
        <v>543</v>
      </c>
      <c r="Q459">
        <v>1</v>
      </c>
      <c r="W459">
        <v>0</v>
      </c>
      <c r="X459">
        <v>1306444111</v>
      </c>
      <c r="Y459">
        <v>0.1</v>
      </c>
      <c r="AA459">
        <v>7717.77</v>
      </c>
      <c r="AB459">
        <v>0</v>
      </c>
      <c r="AC459">
        <v>0</v>
      </c>
      <c r="AD459">
        <v>0</v>
      </c>
      <c r="AE459">
        <v>1150.19</v>
      </c>
      <c r="AF459">
        <v>0</v>
      </c>
      <c r="AG459">
        <v>0</v>
      </c>
      <c r="AH459">
        <v>0</v>
      </c>
      <c r="AI459">
        <v>6.71</v>
      </c>
      <c r="AJ459">
        <v>1</v>
      </c>
      <c r="AK459">
        <v>1</v>
      </c>
      <c r="AL459">
        <v>1</v>
      </c>
      <c r="AN459">
        <v>0</v>
      </c>
      <c r="AO459">
        <v>0</v>
      </c>
      <c r="AP459">
        <v>0</v>
      </c>
      <c r="AQ459">
        <v>0</v>
      </c>
      <c r="AR459">
        <v>0</v>
      </c>
      <c r="AS459" t="s">
        <v>6</v>
      </c>
      <c r="AT459">
        <v>0.1</v>
      </c>
      <c r="AU459" t="s">
        <v>6</v>
      </c>
      <c r="AV459">
        <v>0</v>
      </c>
      <c r="AW459">
        <v>1</v>
      </c>
      <c r="AX459">
        <v>-1</v>
      </c>
      <c r="AY459">
        <v>0</v>
      </c>
      <c r="AZ459">
        <v>0</v>
      </c>
      <c r="BA459" t="s">
        <v>6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Y459*Source!I310</f>
        <v>1.972</v>
      </c>
      <c r="CY459">
        <f t="shared" si="86"/>
        <v>7717.77</v>
      </c>
      <c r="CZ459">
        <f t="shared" si="87"/>
        <v>1150.19</v>
      </c>
      <c r="DA459">
        <f t="shared" si="88"/>
        <v>6.71</v>
      </c>
      <c r="DB459">
        <f t="shared" si="84"/>
        <v>115.02</v>
      </c>
      <c r="DC459">
        <f t="shared" si="85"/>
        <v>0</v>
      </c>
    </row>
    <row r="460" spans="1:107" x14ac:dyDescent="0.2">
      <c r="A460">
        <f>ROW(Source!A310)</f>
        <v>310</v>
      </c>
      <c r="B460">
        <v>16812721</v>
      </c>
      <c r="C460">
        <v>16814413</v>
      </c>
      <c r="D460">
        <v>15224235</v>
      </c>
      <c r="E460">
        <v>1</v>
      </c>
      <c r="F460">
        <v>1</v>
      </c>
      <c r="G460">
        <v>1</v>
      </c>
      <c r="H460">
        <v>3</v>
      </c>
      <c r="I460" t="s">
        <v>681</v>
      </c>
      <c r="J460" t="s">
        <v>682</v>
      </c>
      <c r="K460" t="s">
        <v>1142</v>
      </c>
      <c r="L460">
        <v>1477</v>
      </c>
      <c r="N460">
        <v>1013</v>
      </c>
      <c r="O460" t="s">
        <v>541</v>
      </c>
      <c r="P460" t="s">
        <v>543</v>
      </c>
      <c r="Q460">
        <v>1</v>
      </c>
      <c r="W460">
        <v>0</v>
      </c>
      <c r="X460">
        <v>1970573084</v>
      </c>
      <c r="Y460">
        <v>0.1</v>
      </c>
      <c r="AA460">
        <v>28745.77</v>
      </c>
      <c r="AB460">
        <v>0</v>
      </c>
      <c r="AC460">
        <v>0</v>
      </c>
      <c r="AD460">
        <v>0</v>
      </c>
      <c r="AE460">
        <v>4284.0200000000004</v>
      </c>
      <c r="AF460">
        <v>0</v>
      </c>
      <c r="AG460">
        <v>0</v>
      </c>
      <c r="AH460">
        <v>0</v>
      </c>
      <c r="AI460">
        <v>6.71</v>
      </c>
      <c r="AJ460">
        <v>1</v>
      </c>
      <c r="AK460">
        <v>1</v>
      </c>
      <c r="AL460">
        <v>1</v>
      </c>
      <c r="AN460">
        <v>0</v>
      </c>
      <c r="AO460">
        <v>0</v>
      </c>
      <c r="AP460">
        <v>0</v>
      </c>
      <c r="AQ460">
        <v>0</v>
      </c>
      <c r="AR460">
        <v>0</v>
      </c>
      <c r="AS460" t="s">
        <v>6</v>
      </c>
      <c r="AT460">
        <v>0.1</v>
      </c>
      <c r="AU460" t="s">
        <v>6</v>
      </c>
      <c r="AV460">
        <v>0</v>
      </c>
      <c r="AW460">
        <v>1</v>
      </c>
      <c r="AX460">
        <v>-1</v>
      </c>
      <c r="AY460">
        <v>0</v>
      </c>
      <c r="AZ460">
        <v>0</v>
      </c>
      <c r="BA460" t="s">
        <v>6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Y460*Source!I310</f>
        <v>1.972</v>
      </c>
      <c r="CY460">
        <f t="shared" si="86"/>
        <v>28745.77</v>
      </c>
      <c r="CZ460">
        <f t="shared" si="87"/>
        <v>4284.0200000000004</v>
      </c>
      <c r="DA460">
        <f t="shared" si="88"/>
        <v>6.71</v>
      </c>
      <c r="DB460">
        <f t="shared" si="84"/>
        <v>428.4</v>
      </c>
      <c r="DC460">
        <f t="shared" si="85"/>
        <v>0</v>
      </c>
    </row>
    <row r="461" spans="1:107" x14ac:dyDescent="0.2">
      <c r="A461">
        <f>ROW(Source!A310)</f>
        <v>310</v>
      </c>
      <c r="B461">
        <v>16812721</v>
      </c>
      <c r="C461">
        <v>16814413</v>
      </c>
      <c r="D461">
        <v>15164559</v>
      </c>
      <c r="E461">
        <v>17</v>
      </c>
      <c r="F461">
        <v>1</v>
      </c>
      <c r="G461">
        <v>1</v>
      </c>
      <c r="H461">
        <v>3</v>
      </c>
      <c r="I461" t="s">
        <v>989</v>
      </c>
      <c r="J461" t="s">
        <v>6</v>
      </c>
      <c r="K461" t="s">
        <v>990</v>
      </c>
      <c r="L461">
        <v>1374</v>
      </c>
      <c r="N461">
        <v>1013</v>
      </c>
      <c r="O461" t="s">
        <v>991</v>
      </c>
      <c r="P461" t="s">
        <v>991</v>
      </c>
      <c r="Q461">
        <v>1</v>
      </c>
      <c r="W461">
        <v>0</v>
      </c>
      <c r="X461">
        <v>-1731369543</v>
      </c>
      <c r="Y461">
        <v>1.01</v>
      </c>
      <c r="AA461">
        <v>1</v>
      </c>
      <c r="AB461">
        <v>0</v>
      </c>
      <c r="AC461">
        <v>0</v>
      </c>
      <c r="AD461">
        <v>0</v>
      </c>
      <c r="AE461">
        <v>1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6</v>
      </c>
      <c r="AT461">
        <v>1.01</v>
      </c>
      <c r="AU461" t="s">
        <v>6</v>
      </c>
      <c r="AV461">
        <v>0</v>
      </c>
      <c r="AW461">
        <v>2</v>
      </c>
      <c r="AX461">
        <v>16814434</v>
      </c>
      <c r="AY461">
        <v>1</v>
      </c>
      <c r="AZ461">
        <v>0</v>
      </c>
      <c r="BA461">
        <v>431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Y461*Source!I310</f>
        <v>19.917199999999998</v>
      </c>
      <c r="CY461">
        <f t="shared" si="86"/>
        <v>1</v>
      </c>
      <c r="CZ461">
        <f t="shared" si="87"/>
        <v>1</v>
      </c>
      <c r="DA461">
        <f t="shared" si="88"/>
        <v>1</v>
      </c>
      <c r="DB461">
        <f t="shared" si="84"/>
        <v>1.01</v>
      </c>
      <c r="DC461">
        <f t="shared" si="85"/>
        <v>0</v>
      </c>
    </row>
    <row r="462" spans="1:107" x14ac:dyDescent="0.2">
      <c r="A462">
        <f>ROW(Source!A313)</f>
        <v>313</v>
      </c>
      <c r="B462">
        <v>16812721</v>
      </c>
      <c r="C462">
        <v>16814438</v>
      </c>
      <c r="D462">
        <v>15430517</v>
      </c>
      <c r="E462">
        <v>1</v>
      </c>
      <c r="F462">
        <v>1</v>
      </c>
      <c r="G462">
        <v>1</v>
      </c>
      <c r="H462">
        <v>1</v>
      </c>
      <c r="I462" t="s">
        <v>797</v>
      </c>
      <c r="J462" t="s">
        <v>6</v>
      </c>
      <c r="K462" t="s">
        <v>798</v>
      </c>
      <c r="L462">
        <v>1191</v>
      </c>
      <c r="N462">
        <v>1013</v>
      </c>
      <c r="O462" t="s">
        <v>773</v>
      </c>
      <c r="P462" t="s">
        <v>773</v>
      </c>
      <c r="Q462">
        <v>1</v>
      </c>
      <c r="W462">
        <v>0</v>
      </c>
      <c r="X462">
        <v>735429535</v>
      </c>
      <c r="Y462">
        <v>85.5</v>
      </c>
      <c r="AA462">
        <v>0</v>
      </c>
      <c r="AB462">
        <v>0</v>
      </c>
      <c r="AC462">
        <v>0</v>
      </c>
      <c r="AD462">
        <v>52.34</v>
      </c>
      <c r="AE462">
        <v>0</v>
      </c>
      <c r="AF462">
        <v>0</v>
      </c>
      <c r="AG462">
        <v>0</v>
      </c>
      <c r="AH462">
        <v>7.8</v>
      </c>
      <c r="AI462">
        <v>1</v>
      </c>
      <c r="AJ462">
        <v>1</v>
      </c>
      <c r="AK462">
        <v>1</v>
      </c>
      <c r="AL462">
        <v>6.71</v>
      </c>
      <c r="AN462">
        <v>0</v>
      </c>
      <c r="AO462">
        <v>1</v>
      </c>
      <c r="AP462">
        <v>0</v>
      </c>
      <c r="AQ462">
        <v>0</v>
      </c>
      <c r="AR462">
        <v>0</v>
      </c>
      <c r="AS462" t="s">
        <v>6</v>
      </c>
      <c r="AT462">
        <v>85.5</v>
      </c>
      <c r="AU462" t="s">
        <v>6</v>
      </c>
      <c r="AV462">
        <v>1</v>
      </c>
      <c r="AW462">
        <v>2</v>
      </c>
      <c r="AX462">
        <v>16814440</v>
      </c>
      <c r="AY462">
        <v>1</v>
      </c>
      <c r="AZ462">
        <v>0</v>
      </c>
      <c r="BA462">
        <v>432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Y462*Source!I313</f>
        <v>3.42</v>
      </c>
      <c r="CY462">
        <f>AD462</f>
        <v>52.34</v>
      </c>
      <c r="CZ462">
        <f>AH462</f>
        <v>7.8</v>
      </c>
      <c r="DA462">
        <f>AL462</f>
        <v>6.71</v>
      </c>
      <c r="DB462">
        <f t="shared" si="84"/>
        <v>666.9</v>
      </c>
      <c r="DC462">
        <f t="shared" si="85"/>
        <v>0</v>
      </c>
    </row>
    <row r="463" spans="1:107" x14ac:dyDescent="0.2">
      <c r="A463">
        <f>ROW(Source!A314)</f>
        <v>314</v>
      </c>
      <c r="B463">
        <v>16812721</v>
      </c>
      <c r="C463">
        <v>16814442</v>
      </c>
      <c r="D463">
        <v>15430397</v>
      </c>
      <c r="E463">
        <v>1</v>
      </c>
      <c r="F463">
        <v>1</v>
      </c>
      <c r="G463">
        <v>1</v>
      </c>
      <c r="H463">
        <v>1</v>
      </c>
      <c r="I463" t="s">
        <v>838</v>
      </c>
      <c r="J463" t="s">
        <v>6</v>
      </c>
      <c r="K463" t="s">
        <v>839</v>
      </c>
      <c r="L463">
        <v>1191</v>
      </c>
      <c r="N463">
        <v>1013</v>
      </c>
      <c r="O463" t="s">
        <v>773</v>
      </c>
      <c r="P463" t="s">
        <v>773</v>
      </c>
      <c r="Q463">
        <v>1</v>
      </c>
      <c r="W463">
        <v>0</v>
      </c>
      <c r="X463">
        <v>-1081351934</v>
      </c>
      <c r="Y463">
        <v>15.28</v>
      </c>
      <c r="AA463">
        <v>0</v>
      </c>
      <c r="AB463">
        <v>0</v>
      </c>
      <c r="AC463">
        <v>0</v>
      </c>
      <c r="AD463">
        <v>63.07</v>
      </c>
      <c r="AE463">
        <v>0</v>
      </c>
      <c r="AF463">
        <v>0</v>
      </c>
      <c r="AG463">
        <v>0</v>
      </c>
      <c r="AH463">
        <v>9.4</v>
      </c>
      <c r="AI463">
        <v>1</v>
      </c>
      <c r="AJ463">
        <v>1</v>
      </c>
      <c r="AK463">
        <v>1</v>
      </c>
      <c r="AL463">
        <v>6.71</v>
      </c>
      <c r="AN463">
        <v>0</v>
      </c>
      <c r="AO463">
        <v>1</v>
      </c>
      <c r="AP463">
        <v>0</v>
      </c>
      <c r="AQ463">
        <v>0</v>
      </c>
      <c r="AR463">
        <v>0</v>
      </c>
      <c r="AS463" t="s">
        <v>6</v>
      </c>
      <c r="AT463">
        <v>15.28</v>
      </c>
      <c r="AU463" t="s">
        <v>6</v>
      </c>
      <c r="AV463">
        <v>1</v>
      </c>
      <c r="AW463">
        <v>2</v>
      </c>
      <c r="AX463">
        <v>16814454</v>
      </c>
      <c r="AY463">
        <v>1</v>
      </c>
      <c r="AZ463">
        <v>0</v>
      </c>
      <c r="BA463">
        <v>434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Y463*Source!I314</f>
        <v>0.61119999999999997</v>
      </c>
      <c r="CY463">
        <f>AD463</f>
        <v>63.07</v>
      </c>
      <c r="CZ463">
        <f>AH463</f>
        <v>9.4</v>
      </c>
      <c r="DA463">
        <f>AL463</f>
        <v>6.71</v>
      </c>
      <c r="DB463">
        <f t="shared" si="84"/>
        <v>143.63</v>
      </c>
      <c r="DC463">
        <f t="shared" si="85"/>
        <v>0</v>
      </c>
    </row>
    <row r="464" spans="1:107" x14ac:dyDescent="0.2">
      <c r="A464">
        <f>ROW(Source!A314)</f>
        <v>314</v>
      </c>
      <c r="B464">
        <v>16812721</v>
      </c>
      <c r="C464">
        <v>16814442</v>
      </c>
      <c r="D464">
        <v>15430395</v>
      </c>
      <c r="E464">
        <v>1</v>
      </c>
      <c r="F464">
        <v>1</v>
      </c>
      <c r="G464">
        <v>1</v>
      </c>
      <c r="H464">
        <v>1</v>
      </c>
      <c r="I464" t="s">
        <v>774</v>
      </c>
      <c r="J464" t="s">
        <v>6</v>
      </c>
      <c r="K464" t="s">
        <v>775</v>
      </c>
      <c r="L464">
        <v>1191</v>
      </c>
      <c r="N464">
        <v>1013</v>
      </c>
      <c r="O464" t="s">
        <v>773</v>
      </c>
      <c r="P464" t="s">
        <v>773</v>
      </c>
      <c r="Q464">
        <v>1</v>
      </c>
      <c r="W464">
        <v>0</v>
      </c>
      <c r="X464">
        <v>-1417349443</v>
      </c>
      <c r="Y464">
        <v>0.22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6.71</v>
      </c>
      <c r="AL464">
        <v>1</v>
      </c>
      <c r="AN464">
        <v>0</v>
      </c>
      <c r="AO464">
        <v>1</v>
      </c>
      <c r="AP464">
        <v>0</v>
      </c>
      <c r="AQ464">
        <v>0</v>
      </c>
      <c r="AR464">
        <v>0</v>
      </c>
      <c r="AS464" t="s">
        <v>6</v>
      </c>
      <c r="AT464">
        <v>0.22</v>
      </c>
      <c r="AU464" t="s">
        <v>6</v>
      </c>
      <c r="AV464">
        <v>2</v>
      </c>
      <c r="AW464">
        <v>2</v>
      </c>
      <c r="AX464">
        <v>16814455</v>
      </c>
      <c r="AY464">
        <v>1</v>
      </c>
      <c r="AZ464">
        <v>0</v>
      </c>
      <c r="BA464">
        <v>435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Y464*Source!I314</f>
        <v>8.8000000000000005E-3</v>
      </c>
      <c r="CY464">
        <f>AD464</f>
        <v>0</v>
      </c>
      <c r="CZ464">
        <f>AH464</f>
        <v>0</v>
      </c>
      <c r="DA464">
        <f>AL464</f>
        <v>1</v>
      </c>
      <c r="DB464">
        <f t="shared" si="84"/>
        <v>0</v>
      </c>
      <c r="DC464">
        <f t="shared" si="85"/>
        <v>0</v>
      </c>
    </row>
    <row r="465" spans="1:107" x14ac:dyDescent="0.2">
      <c r="A465">
        <f>ROW(Source!A314)</f>
        <v>314</v>
      </c>
      <c r="B465">
        <v>16812721</v>
      </c>
      <c r="C465">
        <v>16814442</v>
      </c>
      <c r="D465">
        <v>15247680</v>
      </c>
      <c r="E465">
        <v>1</v>
      </c>
      <c r="F465">
        <v>1</v>
      </c>
      <c r="G465">
        <v>1</v>
      </c>
      <c r="H465">
        <v>2</v>
      </c>
      <c r="I465" t="s">
        <v>959</v>
      </c>
      <c r="J465" t="s">
        <v>960</v>
      </c>
      <c r="K465" t="s">
        <v>961</v>
      </c>
      <c r="L465">
        <v>1368</v>
      </c>
      <c r="N465">
        <v>1011</v>
      </c>
      <c r="O465" t="s">
        <v>779</v>
      </c>
      <c r="P465" t="s">
        <v>779</v>
      </c>
      <c r="Q465">
        <v>1</v>
      </c>
      <c r="W465">
        <v>0</v>
      </c>
      <c r="X465">
        <v>-1718674368</v>
      </c>
      <c r="Y465">
        <v>0.11</v>
      </c>
      <c r="AA465">
        <v>0</v>
      </c>
      <c r="AB465">
        <v>751.45</v>
      </c>
      <c r="AC465">
        <v>13.5</v>
      </c>
      <c r="AD465">
        <v>0</v>
      </c>
      <c r="AE465">
        <v>0</v>
      </c>
      <c r="AF465">
        <v>111.99</v>
      </c>
      <c r="AG465">
        <v>13.5</v>
      </c>
      <c r="AH465">
        <v>0</v>
      </c>
      <c r="AI465">
        <v>1</v>
      </c>
      <c r="AJ465">
        <v>6.71</v>
      </c>
      <c r="AK465">
        <v>1</v>
      </c>
      <c r="AL465">
        <v>1</v>
      </c>
      <c r="AN465">
        <v>0</v>
      </c>
      <c r="AO465">
        <v>1</v>
      </c>
      <c r="AP465">
        <v>0</v>
      </c>
      <c r="AQ465">
        <v>0</v>
      </c>
      <c r="AR465">
        <v>0</v>
      </c>
      <c r="AS465" t="s">
        <v>6</v>
      </c>
      <c r="AT465">
        <v>0.11</v>
      </c>
      <c r="AU465" t="s">
        <v>6</v>
      </c>
      <c r="AV465">
        <v>0</v>
      </c>
      <c r="AW465">
        <v>2</v>
      </c>
      <c r="AX465">
        <v>16814456</v>
      </c>
      <c r="AY465">
        <v>1</v>
      </c>
      <c r="AZ465">
        <v>0</v>
      </c>
      <c r="BA465">
        <v>436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Y465*Source!I314</f>
        <v>4.4000000000000003E-3</v>
      </c>
      <c r="CY465">
        <f>AB465</f>
        <v>751.45</v>
      </c>
      <c r="CZ465">
        <f>AF465</f>
        <v>111.99</v>
      </c>
      <c r="DA465">
        <f>AJ465</f>
        <v>6.71</v>
      </c>
      <c r="DB465">
        <f t="shared" si="84"/>
        <v>12.32</v>
      </c>
      <c r="DC465">
        <f t="shared" si="85"/>
        <v>1.49</v>
      </c>
    </row>
    <row r="466" spans="1:107" x14ac:dyDescent="0.2">
      <c r="A466">
        <f>ROW(Source!A314)</f>
        <v>314</v>
      </c>
      <c r="B466">
        <v>16812721</v>
      </c>
      <c r="C466">
        <v>16814442</v>
      </c>
      <c r="D466">
        <v>15249073</v>
      </c>
      <c r="E466">
        <v>1</v>
      </c>
      <c r="F466">
        <v>1</v>
      </c>
      <c r="G466">
        <v>1</v>
      </c>
      <c r="H466">
        <v>2</v>
      </c>
      <c r="I466" t="s">
        <v>782</v>
      </c>
      <c r="J466" t="s">
        <v>783</v>
      </c>
      <c r="K466" t="s">
        <v>784</v>
      </c>
      <c r="L466">
        <v>1368</v>
      </c>
      <c r="N466">
        <v>1011</v>
      </c>
      <c r="O466" t="s">
        <v>779</v>
      </c>
      <c r="P466" t="s">
        <v>779</v>
      </c>
      <c r="Q466">
        <v>1</v>
      </c>
      <c r="W466">
        <v>0</v>
      </c>
      <c r="X466">
        <v>1372534845</v>
      </c>
      <c r="Y466">
        <v>0.11</v>
      </c>
      <c r="AA466">
        <v>0</v>
      </c>
      <c r="AB466">
        <v>440.91</v>
      </c>
      <c r="AC466">
        <v>11.6</v>
      </c>
      <c r="AD466">
        <v>0</v>
      </c>
      <c r="AE466">
        <v>0</v>
      </c>
      <c r="AF466">
        <v>65.709999999999994</v>
      </c>
      <c r="AG466">
        <v>11.6</v>
      </c>
      <c r="AH466">
        <v>0</v>
      </c>
      <c r="AI466">
        <v>1</v>
      </c>
      <c r="AJ466">
        <v>6.71</v>
      </c>
      <c r="AK466">
        <v>1</v>
      </c>
      <c r="AL466">
        <v>1</v>
      </c>
      <c r="AN466">
        <v>0</v>
      </c>
      <c r="AO466">
        <v>1</v>
      </c>
      <c r="AP466">
        <v>0</v>
      </c>
      <c r="AQ466">
        <v>0</v>
      </c>
      <c r="AR466">
        <v>0</v>
      </c>
      <c r="AS466" t="s">
        <v>6</v>
      </c>
      <c r="AT466">
        <v>0.11</v>
      </c>
      <c r="AU466" t="s">
        <v>6</v>
      </c>
      <c r="AV466">
        <v>0</v>
      </c>
      <c r="AW466">
        <v>2</v>
      </c>
      <c r="AX466">
        <v>16814457</v>
      </c>
      <c r="AY466">
        <v>1</v>
      </c>
      <c r="AZ466">
        <v>0</v>
      </c>
      <c r="BA466">
        <v>437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Y466*Source!I314</f>
        <v>4.4000000000000003E-3</v>
      </c>
      <c r="CY466">
        <f>AB466</f>
        <v>440.91</v>
      </c>
      <c r="CZ466">
        <f>AF466</f>
        <v>65.709999999999994</v>
      </c>
      <c r="DA466">
        <f>AJ466</f>
        <v>6.71</v>
      </c>
      <c r="DB466">
        <f t="shared" si="84"/>
        <v>7.23</v>
      </c>
      <c r="DC466">
        <f t="shared" si="85"/>
        <v>1.28</v>
      </c>
    </row>
    <row r="467" spans="1:107" x14ac:dyDescent="0.2">
      <c r="A467">
        <f>ROW(Source!A314)</f>
        <v>314</v>
      </c>
      <c r="B467">
        <v>16812721</v>
      </c>
      <c r="C467">
        <v>16814442</v>
      </c>
      <c r="D467">
        <v>15172838</v>
      </c>
      <c r="E467">
        <v>1</v>
      </c>
      <c r="F467">
        <v>1</v>
      </c>
      <c r="G467">
        <v>1</v>
      </c>
      <c r="H467">
        <v>3</v>
      </c>
      <c r="I467" t="s">
        <v>1032</v>
      </c>
      <c r="J467" t="s">
        <v>1033</v>
      </c>
      <c r="K467" t="s">
        <v>1034</v>
      </c>
      <c r="L467">
        <v>1339</v>
      </c>
      <c r="N467">
        <v>1007</v>
      </c>
      <c r="O467" t="s">
        <v>141</v>
      </c>
      <c r="P467" t="s">
        <v>141</v>
      </c>
      <c r="Q467">
        <v>1</v>
      </c>
      <c r="W467">
        <v>0</v>
      </c>
      <c r="X467">
        <v>536744769</v>
      </c>
      <c r="Y467">
        <v>2.1000000000000001E-2</v>
      </c>
      <c r="AA467">
        <v>4026</v>
      </c>
      <c r="AB467">
        <v>0</v>
      </c>
      <c r="AC467">
        <v>0</v>
      </c>
      <c r="AD467">
        <v>0</v>
      </c>
      <c r="AE467">
        <v>600</v>
      </c>
      <c r="AF467">
        <v>0</v>
      </c>
      <c r="AG467">
        <v>0</v>
      </c>
      <c r="AH467">
        <v>0</v>
      </c>
      <c r="AI467">
        <v>6.71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0</v>
      </c>
      <c r="AQ467">
        <v>0</v>
      </c>
      <c r="AR467">
        <v>0</v>
      </c>
      <c r="AS467" t="s">
        <v>6</v>
      </c>
      <c r="AT467">
        <v>2.1000000000000001E-2</v>
      </c>
      <c r="AU467" t="s">
        <v>6</v>
      </c>
      <c r="AV467">
        <v>0</v>
      </c>
      <c r="AW467">
        <v>2</v>
      </c>
      <c r="AX467">
        <v>16814458</v>
      </c>
      <c r="AY467">
        <v>1</v>
      </c>
      <c r="AZ467">
        <v>0</v>
      </c>
      <c r="BA467">
        <v>438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Y467*Source!I314</f>
        <v>8.4000000000000003E-4</v>
      </c>
      <c r="CY467">
        <f t="shared" ref="CY467:CY473" si="89">AA467</f>
        <v>4026</v>
      </c>
      <c r="CZ467">
        <f t="shared" ref="CZ467:CZ473" si="90">AE467</f>
        <v>600</v>
      </c>
      <c r="DA467">
        <f t="shared" ref="DA467:DA473" si="91">AI467</f>
        <v>6.71</v>
      </c>
      <c r="DB467">
        <f t="shared" si="84"/>
        <v>12.6</v>
      </c>
      <c r="DC467">
        <f t="shared" si="85"/>
        <v>0</v>
      </c>
    </row>
    <row r="468" spans="1:107" x14ac:dyDescent="0.2">
      <c r="A468">
        <f>ROW(Source!A314)</f>
        <v>314</v>
      </c>
      <c r="B468">
        <v>16812721</v>
      </c>
      <c r="C468">
        <v>16814442</v>
      </c>
      <c r="D468">
        <v>15202442</v>
      </c>
      <c r="E468">
        <v>1</v>
      </c>
      <c r="F468">
        <v>1</v>
      </c>
      <c r="G468">
        <v>1</v>
      </c>
      <c r="H468">
        <v>3</v>
      </c>
      <c r="I468" t="s">
        <v>1035</v>
      </c>
      <c r="J468" t="s">
        <v>1036</v>
      </c>
      <c r="K468" t="s">
        <v>1037</v>
      </c>
      <c r="L468">
        <v>1346</v>
      </c>
      <c r="N468">
        <v>1009</v>
      </c>
      <c r="O468" t="s">
        <v>277</v>
      </c>
      <c r="P468" t="s">
        <v>277</v>
      </c>
      <c r="Q468">
        <v>1</v>
      </c>
      <c r="W468">
        <v>0</v>
      </c>
      <c r="X468">
        <v>505519491</v>
      </c>
      <c r="Y468">
        <v>0.4</v>
      </c>
      <c r="AA468">
        <v>173.12</v>
      </c>
      <c r="AB468">
        <v>0</v>
      </c>
      <c r="AC468">
        <v>0</v>
      </c>
      <c r="AD468">
        <v>0</v>
      </c>
      <c r="AE468">
        <v>25.8</v>
      </c>
      <c r="AF468">
        <v>0</v>
      </c>
      <c r="AG468">
        <v>0</v>
      </c>
      <c r="AH468">
        <v>0</v>
      </c>
      <c r="AI468">
        <v>6.71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6</v>
      </c>
      <c r="AT468">
        <v>0.4</v>
      </c>
      <c r="AU468" t="s">
        <v>6</v>
      </c>
      <c r="AV468">
        <v>0</v>
      </c>
      <c r="AW468">
        <v>2</v>
      </c>
      <c r="AX468">
        <v>16814459</v>
      </c>
      <c r="AY468">
        <v>1</v>
      </c>
      <c r="AZ468">
        <v>0</v>
      </c>
      <c r="BA468">
        <v>439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Y468*Source!I314</f>
        <v>1.6E-2</v>
      </c>
      <c r="CY468">
        <f t="shared" si="89"/>
        <v>173.12</v>
      </c>
      <c r="CZ468">
        <f t="shared" si="90"/>
        <v>25.8</v>
      </c>
      <c r="DA468">
        <f t="shared" si="91"/>
        <v>6.71</v>
      </c>
      <c r="DB468">
        <f t="shared" si="84"/>
        <v>10.32</v>
      </c>
      <c r="DC468">
        <f t="shared" si="85"/>
        <v>0</v>
      </c>
    </row>
    <row r="469" spans="1:107" x14ac:dyDescent="0.2">
      <c r="A469">
        <f>ROW(Source!A314)</f>
        <v>314</v>
      </c>
      <c r="B469">
        <v>16812721</v>
      </c>
      <c r="C469">
        <v>16814442</v>
      </c>
      <c r="D469">
        <v>15217585</v>
      </c>
      <c r="E469">
        <v>1</v>
      </c>
      <c r="F469">
        <v>1</v>
      </c>
      <c r="G469">
        <v>1</v>
      </c>
      <c r="H469">
        <v>3</v>
      </c>
      <c r="I469" t="s">
        <v>1038</v>
      </c>
      <c r="J469" t="s">
        <v>1039</v>
      </c>
      <c r="K469" t="s">
        <v>1040</v>
      </c>
      <c r="L469">
        <v>1356</v>
      </c>
      <c r="N469">
        <v>1010</v>
      </c>
      <c r="O469" t="s">
        <v>882</v>
      </c>
      <c r="P469" t="s">
        <v>882</v>
      </c>
      <c r="Q469">
        <v>1000</v>
      </c>
      <c r="W469">
        <v>0</v>
      </c>
      <c r="X469">
        <v>40709342</v>
      </c>
      <c r="Y469">
        <v>3.2000000000000001E-2</v>
      </c>
      <c r="AA469">
        <v>1811.7</v>
      </c>
      <c r="AB469">
        <v>0</v>
      </c>
      <c r="AC469">
        <v>0</v>
      </c>
      <c r="AD469">
        <v>0</v>
      </c>
      <c r="AE469">
        <v>270</v>
      </c>
      <c r="AF469">
        <v>0</v>
      </c>
      <c r="AG469">
        <v>0</v>
      </c>
      <c r="AH469">
        <v>0</v>
      </c>
      <c r="AI469">
        <v>6.71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6</v>
      </c>
      <c r="AT469">
        <v>3.2000000000000001E-2</v>
      </c>
      <c r="AU469" t="s">
        <v>6</v>
      </c>
      <c r="AV469">
        <v>0</v>
      </c>
      <c r="AW469">
        <v>2</v>
      </c>
      <c r="AX469">
        <v>16814460</v>
      </c>
      <c r="AY469">
        <v>1</v>
      </c>
      <c r="AZ469">
        <v>0</v>
      </c>
      <c r="BA469">
        <v>440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Y469*Source!I314</f>
        <v>1.2800000000000001E-3</v>
      </c>
      <c r="CY469">
        <f t="shared" si="89"/>
        <v>1811.7</v>
      </c>
      <c r="CZ469">
        <f t="shared" si="90"/>
        <v>270</v>
      </c>
      <c r="DA469">
        <f t="shared" si="91"/>
        <v>6.71</v>
      </c>
      <c r="DB469">
        <f t="shared" si="84"/>
        <v>8.64</v>
      </c>
      <c r="DC469">
        <f t="shared" si="85"/>
        <v>0</v>
      </c>
    </row>
    <row r="470" spans="1:107" x14ac:dyDescent="0.2">
      <c r="A470">
        <f>ROW(Source!A314)</f>
        <v>314</v>
      </c>
      <c r="B470">
        <v>16812721</v>
      </c>
      <c r="C470">
        <v>16814442</v>
      </c>
      <c r="D470">
        <v>15217593</v>
      </c>
      <c r="E470">
        <v>1</v>
      </c>
      <c r="F470">
        <v>1</v>
      </c>
      <c r="G470">
        <v>1</v>
      </c>
      <c r="H470">
        <v>3</v>
      </c>
      <c r="I470" t="s">
        <v>1041</v>
      </c>
      <c r="J470" t="s">
        <v>1042</v>
      </c>
      <c r="K470" t="s">
        <v>1043</v>
      </c>
      <c r="L470">
        <v>1358</v>
      </c>
      <c r="N470">
        <v>1010</v>
      </c>
      <c r="O470" t="s">
        <v>516</v>
      </c>
      <c r="P470" t="s">
        <v>516</v>
      </c>
      <c r="Q470">
        <v>10</v>
      </c>
      <c r="W470">
        <v>0</v>
      </c>
      <c r="X470">
        <v>-1110089157</v>
      </c>
      <c r="Y470">
        <v>1</v>
      </c>
      <c r="AA470">
        <v>133.53</v>
      </c>
      <c r="AB470">
        <v>0</v>
      </c>
      <c r="AC470">
        <v>0</v>
      </c>
      <c r="AD470">
        <v>0</v>
      </c>
      <c r="AE470">
        <v>19.899999999999999</v>
      </c>
      <c r="AF470">
        <v>0</v>
      </c>
      <c r="AG470">
        <v>0</v>
      </c>
      <c r="AH470">
        <v>0</v>
      </c>
      <c r="AI470">
        <v>6.71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1</v>
      </c>
      <c r="AU470" t="s">
        <v>6</v>
      </c>
      <c r="AV470">
        <v>0</v>
      </c>
      <c r="AW470">
        <v>2</v>
      </c>
      <c r="AX470">
        <v>16814461</v>
      </c>
      <c r="AY470">
        <v>1</v>
      </c>
      <c r="AZ470">
        <v>0</v>
      </c>
      <c r="BA470">
        <v>441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Y470*Source!I314</f>
        <v>0.04</v>
      </c>
      <c r="CY470">
        <f t="shared" si="89"/>
        <v>133.53</v>
      </c>
      <c r="CZ470">
        <f t="shared" si="90"/>
        <v>19.899999999999999</v>
      </c>
      <c r="DA470">
        <f t="shared" si="91"/>
        <v>6.71</v>
      </c>
      <c r="DB470">
        <f t="shared" si="84"/>
        <v>19.899999999999999</v>
      </c>
      <c r="DC470">
        <f t="shared" si="85"/>
        <v>0</v>
      </c>
    </row>
    <row r="471" spans="1:107" x14ac:dyDescent="0.2">
      <c r="A471">
        <f>ROW(Source!A314)</f>
        <v>314</v>
      </c>
      <c r="B471">
        <v>16812721</v>
      </c>
      <c r="C471">
        <v>16814442</v>
      </c>
      <c r="D471">
        <v>15218939</v>
      </c>
      <c r="E471">
        <v>1</v>
      </c>
      <c r="F471">
        <v>1</v>
      </c>
      <c r="G471">
        <v>1</v>
      </c>
      <c r="H471">
        <v>3</v>
      </c>
      <c r="I471" t="s">
        <v>1044</v>
      </c>
      <c r="J471" t="s">
        <v>1045</v>
      </c>
      <c r="K471" t="s">
        <v>1046</v>
      </c>
      <c r="L471">
        <v>1354</v>
      </c>
      <c r="N471">
        <v>1010</v>
      </c>
      <c r="O471" t="s">
        <v>62</v>
      </c>
      <c r="P471" t="s">
        <v>62</v>
      </c>
      <c r="Q471">
        <v>1</v>
      </c>
      <c r="W471">
        <v>0</v>
      </c>
      <c r="X471">
        <v>-1308137011</v>
      </c>
      <c r="Y471">
        <v>0.5</v>
      </c>
      <c r="AA471">
        <v>448.36</v>
      </c>
      <c r="AB471">
        <v>0</v>
      </c>
      <c r="AC471">
        <v>0</v>
      </c>
      <c r="AD471">
        <v>0</v>
      </c>
      <c r="AE471">
        <v>66.819999999999993</v>
      </c>
      <c r="AF471">
        <v>0</v>
      </c>
      <c r="AG471">
        <v>0</v>
      </c>
      <c r="AH471">
        <v>0</v>
      </c>
      <c r="AI471">
        <v>6.71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6</v>
      </c>
      <c r="AT471">
        <v>0.5</v>
      </c>
      <c r="AU471" t="s">
        <v>6</v>
      </c>
      <c r="AV471">
        <v>0</v>
      </c>
      <c r="AW471">
        <v>2</v>
      </c>
      <c r="AX471">
        <v>16814462</v>
      </c>
      <c r="AY471">
        <v>1</v>
      </c>
      <c r="AZ471">
        <v>0</v>
      </c>
      <c r="BA471">
        <v>442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Y471*Source!I314</f>
        <v>0.02</v>
      </c>
      <c r="CY471">
        <f t="shared" si="89"/>
        <v>448.36</v>
      </c>
      <c r="CZ471">
        <f t="shared" si="90"/>
        <v>66.819999999999993</v>
      </c>
      <c r="DA471">
        <f t="shared" si="91"/>
        <v>6.71</v>
      </c>
      <c r="DB471">
        <f t="shared" si="84"/>
        <v>33.409999999999997</v>
      </c>
      <c r="DC471">
        <f t="shared" si="85"/>
        <v>0</v>
      </c>
    </row>
    <row r="472" spans="1:107" x14ac:dyDescent="0.2">
      <c r="A472">
        <f>ROW(Source!A314)</f>
        <v>314</v>
      </c>
      <c r="B472">
        <v>16812721</v>
      </c>
      <c r="C472">
        <v>16814442</v>
      </c>
      <c r="D472">
        <v>15234267</v>
      </c>
      <c r="E472">
        <v>1</v>
      </c>
      <c r="F472">
        <v>1</v>
      </c>
      <c r="G472">
        <v>1</v>
      </c>
      <c r="H472">
        <v>3</v>
      </c>
      <c r="I472" t="s">
        <v>503</v>
      </c>
      <c r="J472" t="s">
        <v>506</v>
      </c>
      <c r="K472" t="s">
        <v>504</v>
      </c>
      <c r="L472">
        <v>1302</v>
      </c>
      <c r="N472">
        <v>1003</v>
      </c>
      <c r="O472" t="s">
        <v>505</v>
      </c>
      <c r="P472" t="s">
        <v>505</v>
      </c>
      <c r="Q472">
        <v>10</v>
      </c>
      <c r="W472">
        <v>0</v>
      </c>
      <c r="X472">
        <v>-835976676</v>
      </c>
      <c r="Y472">
        <v>10</v>
      </c>
      <c r="AA472">
        <v>667.11</v>
      </c>
      <c r="AB472">
        <v>0</v>
      </c>
      <c r="AC472">
        <v>0</v>
      </c>
      <c r="AD472">
        <v>0</v>
      </c>
      <c r="AE472">
        <v>99.42</v>
      </c>
      <c r="AF472">
        <v>0</v>
      </c>
      <c r="AG472">
        <v>0</v>
      </c>
      <c r="AH472">
        <v>0</v>
      </c>
      <c r="AI472">
        <v>6.71</v>
      </c>
      <c r="AJ472">
        <v>1</v>
      </c>
      <c r="AK472">
        <v>1</v>
      </c>
      <c r="AL472">
        <v>1</v>
      </c>
      <c r="AN472">
        <v>0</v>
      </c>
      <c r="AO472">
        <v>0</v>
      </c>
      <c r="AP472">
        <v>0</v>
      </c>
      <c r="AQ472">
        <v>0</v>
      </c>
      <c r="AR472">
        <v>0</v>
      </c>
      <c r="AS472" t="s">
        <v>6</v>
      </c>
      <c r="AT472">
        <v>10</v>
      </c>
      <c r="AU472" t="s">
        <v>6</v>
      </c>
      <c r="AV472">
        <v>0</v>
      </c>
      <c r="AW472">
        <v>1</v>
      </c>
      <c r="AX472">
        <v>-1</v>
      </c>
      <c r="AY472">
        <v>0</v>
      </c>
      <c r="AZ472">
        <v>0</v>
      </c>
      <c r="BA472" t="s">
        <v>6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Y472*Source!I314</f>
        <v>0.4</v>
      </c>
      <c r="CY472">
        <f t="shared" si="89"/>
        <v>667.11</v>
      </c>
      <c r="CZ472">
        <f t="shared" si="90"/>
        <v>99.42</v>
      </c>
      <c r="DA472">
        <f t="shared" si="91"/>
        <v>6.71</v>
      </c>
      <c r="DB472">
        <f t="shared" si="84"/>
        <v>994.2</v>
      </c>
      <c r="DC472">
        <f t="shared" si="85"/>
        <v>0</v>
      </c>
    </row>
    <row r="473" spans="1:107" x14ac:dyDescent="0.2">
      <c r="A473">
        <f>ROW(Source!A314)</f>
        <v>314</v>
      </c>
      <c r="B473">
        <v>16812721</v>
      </c>
      <c r="C473">
        <v>16814442</v>
      </c>
      <c r="D473">
        <v>15164559</v>
      </c>
      <c r="E473">
        <v>17</v>
      </c>
      <c r="F473">
        <v>1</v>
      </c>
      <c r="G473">
        <v>1</v>
      </c>
      <c r="H473">
        <v>3</v>
      </c>
      <c r="I473" t="s">
        <v>989</v>
      </c>
      <c r="J473" t="s">
        <v>6</v>
      </c>
      <c r="K473" t="s">
        <v>990</v>
      </c>
      <c r="L473">
        <v>1374</v>
      </c>
      <c r="N473">
        <v>1013</v>
      </c>
      <c r="O473" t="s">
        <v>991</v>
      </c>
      <c r="P473" t="s">
        <v>991</v>
      </c>
      <c r="Q473">
        <v>1</v>
      </c>
      <c r="W473">
        <v>0</v>
      </c>
      <c r="X473">
        <v>-1731369543</v>
      </c>
      <c r="Y473">
        <v>2.87</v>
      </c>
      <c r="AA473">
        <v>1</v>
      </c>
      <c r="AB473">
        <v>0</v>
      </c>
      <c r="AC473">
        <v>0</v>
      </c>
      <c r="AD473">
        <v>0</v>
      </c>
      <c r="AE473">
        <v>1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2.87</v>
      </c>
      <c r="AU473" t="s">
        <v>6</v>
      </c>
      <c r="AV473">
        <v>0</v>
      </c>
      <c r="AW473">
        <v>2</v>
      </c>
      <c r="AX473">
        <v>16814463</v>
      </c>
      <c r="AY473">
        <v>1</v>
      </c>
      <c r="AZ473">
        <v>0</v>
      </c>
      <c r="BA473">
        <v>443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Y473*Source!I314</f>
        <v>0.11480000000000001</v>
      </c>
      <c r="CY473">
        <f t="shared" si="89"/>
        <v>1</v>
      </c>
      <c r="CZ473">
        <f t="shared" si="90"/>
        <v>1</v>
      </c>
      <c r="DA473">
        <f t="shared" si="91"/>
        <v>1</v>
      </c>
      <c r="DB473">
        <f t="shared" si="84"/>
        <v>2.87</v>
      </c>
      <c r="DC473">
        <f t="shared" si="85"/>
        <v>0</v>
      </c>
    </row>
    <row r="474" spans="1:107" x14ac:dyDescent="0.2">
      <c r="A474">
        <f>ROW(Source!A316)</f>
        <v>316</v>
      </c>
      <c r="B474">
        <v>16812721</v>
      </c>
      <c r="C474">
        <v>16814465</v>
      </c>
      <c r="D474">
        <v>15446300</v>
      </c>
      <c r="E474">
        <v>1</v>
      </c>
      <c r="F474">
        <v>1</v>
      </c>
      <c r="G474">
        <v>1</v>
      </c>
      <c r="H474">
        <v>1</v>
      </c>
      <c r="I474" t="s">
        <v>780</v>
      </c>
      <c r="J474" t="s">
        <v>6</v>
      </c>
      <c r="K474" t="s">
        <v>781</v>
      </c>
      <c r="L474">
        <v>1191</v>
      </c>
      <c r="N474">
        <v>1013</v>
      </c>
      <c r="O474" t="s">
        <v>773</v>
      </c>
      <c r="P474" t="s">
        <v>773</v>
      </c>
      <c r="Q474">
        <v>1</v>
      </c>
      <c r="W474">
        <v>0</v>
      </c>
      <c r="X474">
        <v>912892513</v>
      </c>
      <c r="Y474">
        <v>34.56</v>
      </c>
      <c r="AA474">
        <v>0</v>
      </c>
      <c r="AB474">
        <v>0</v>
      </c>
      <c r="AC474">
        <v>0</v>
      </c>
      <c r="AD474">
        <v>66.56</v>
      </c>
      <c r="AE474">
        <v>0</v>
      </c>
      <c r="AF474">
        <v>0</v>
      </c>
      <c r="AG474">
        <v>0</v>
      </c>
      <c r="AH474">
        <v>9.92</v>
      </c>
      <c r="AI474">
        <v>1</v>
      </c>
      <c r="AJ474">
        <v>1</v>
      </c>
      <c r="AK474">
        <v>1</v>
      </c>
      <c r="AL474">
        <v>6.71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6</v>
      </c>
      <c r="AT474">
        <v>34.56</v>
      </c>
      <c r="AU474" t="s">
        <v>6</v>
      </c>
      <c r="AV474">
        <v>1</v>
      </c>
      <c r="AW474">
        <v>2</v>
      </c>
      <c r="AX474">
        <v>16814477</v>
      </c>
      <c r="AY474">
        <v>1</v>
      </c>
      <c r="AZ474">
        <v>0</v>
      </c>
      <c r="BA474">
        <v>444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Y474*Source!I316</f>
        <v>13.824000000000002</v>
      </c>
      <c r="CY474">
        <f>AD474</f>
        <v>66.56</v>
      </c>
      <c r="CZ474">
        <f>AH474</f>
        <v>9.92</v>
      </c>
      <c r="DA474">
        <f>AL474</f>
        <v>6.71</v>
      </c>
      <c r="DB474">
        <f t="shared" si="84"/>
        <v>342.84</v>
      </c>
      <c r="DC474">
        <f t="shared" si="85"/>
        <v>0</v>
      </c>
    </row>
    <row r="475" spans="1:107" x14ac:dyDescent="0.2">
      <c r="A475">
        <f>ROW(Source!A316)</f>
        <v>316</v>
      </c>
      <c r="B475">
        <v>16812721</v>
      </c>
      <c r="C475">
        <v>16814465</v>
      </c>
      <c r="D475">
        <v>15430395</v>
      </c>
      <c r="E475">
        <v>1</v>
      </c>
      <c r="F475">
        <v>1</v>
      </c>
      <c r="G475">
        <v>1</v>
      </c>
      <c r="H475">
        <v>1</v>
      </c>
      <c r="I475" t="s">
        <v>774</v>
      </c>
      <c r="J475" t="s">
        <v>6</v>
      </c>
      <c r="K475" t="s">
        <v>775</v>
      </c>
      <c r="L475">
        <v>1191</v>
      </c>
      <c r="N475">
        <v>1013</v>
      </c>
      <c r="O475" t="s">
        <v>773</v>
      </c>
      <c r="P475" t="s">
        <v>773</v>
      </c>
      <c r="Q475">
        <v>1</v>
      </c>
      <c r="W475">
        <v>0</v>
      </c>
      <c r="X475">
        <v>-1417349443</v>
      </c>
      <c r="Y475">
        <v>0.05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1</v>
      </c>
      <c r="AJ475">
        <v>1</v>
      </c>
      <c r="AK475">
        <v>6.71</v>
      </c>
      <c r="AL475">
        <v>1</v>
      </c>
      <c r="AN475">
        <v>0</v>
      </c>
      <c r="AO475">
        <v>1</v>
      </c>
      <c r="AP475">
        <v>0</v>
      </c>
      <c r="AQ475">
        <v>0</v>
      </c>
      <c r="AR475">
        <v>0</v>
      </c>
      <c r="AS475" t="s">
        <v>6</v>
      </c>
      <c r="AT475">
        <v>0.05</v>
      </c>
      <c r="AU475" t="s">
        <v>6</v>
      </c>
      <c r="AV475">
        <v>2</v>
      </c>
      <c r="AW475">
        <v>2</v>
      </c>
      <c r="AX475">
        <v>16814478</v>
      </c>
      <c r="AY475">
        <v>1</v>
      </c>
      <c r="AZ475">
        <v>0</v>
      </c>
      <c r="BA475">
        <v>445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Y475*Source!I316</f>
        <v>2.0000000000000004E-2</v>
      </c>
      <c r="CY475">
        <f>AD475</f>
        <v>0</v>
      </c>
      <c r="CZ475">
        <f>AH475</f>
        <v>0</v>
      </c>
      <c r="DA475">
        <f>AL475</f>
        <v>1</v>
      </c>
      <c r="DB475">
        <f t="shared" si="84"/>
        <v>0</v>
      </c>
      <c r="DC475">
        <f t="shared" si="85"/>
        <v>0</v>
      </c>
    </row>
    <row r="476" spans="1:107" x14ac:dyDescent="0.2">
      <c r="A476">
        <f>ROW(Source!A316)</f>
        <v>316</v>
      </c>
      <c r="B476">
        <v>16812721</v>
      </c>
      <c r="C476">
        <v>16814465</v>
      </c>
      <c r="D476">
        <v>15247680</v>
      </c>
      <c r="E476">
        <v>1</v>
      </c>
      <c r="F476">
        <v>1</v>
      </c>
      <c r="G476">
        <v>1</v>
      </c>
      <c r="H476">
        <v>2</v>
      </c>
      <c r="I476" t="s">
        <v>959</v>
      </c>
      <c r="J476" t="s">
        <v>960</v>
      </c>
      <c r="K476" t="s">
        <v>961</v>
      </c>
      <c r="L476">
        <v>1368</v>
      </c>
      <c r="N476">
        <v>1011</v>
      </c>
      <c r="O476" t="s">
        <v>779</v>
      </c>
      <c r="P476" t="s">
        <v>779</v>
      </c>
      <c r="Q476">
        <v>1</v>
      </c>
      <c r="W476">
        <v>0</v>
      </c>
      <c r="X476">
        <v>-1718674368</v>
      </c>
      <c r="Y476">
        <v>0.03</v>
      </c>
      <c r="AA476">
        <v>0</v>
      </c>
      <c r="AB476">
        <v>751.45</v>
      </c>
      <c r="AC476">
        <v>13.5</v>
      </c>
      <c r="AD476">
        <v>0</v>
      </c>
      <c r="AE476">
        <v>0</v>
      </c>
      <c r="AF476">
        <v>111.99</v>
      </c>
      <c r="AG476">
        <v>13.5</v>
      </c>
      <c r="AH476">
        <v>0</v>
      </c>
      <c r="AI476">
        <v>1</v>
      </c>
      <c r="AJ476">
        <v>6.71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0.03</v>
      </c>
      <c r="AU476" t="s">
        <v>6</v>
      </c>
      <c r="AV476">
        <v>0</v>
      </c>
      <c r="AW476">
        <v>2</v>
      </c>
      <c r="AX476">
        <v>16814479</v>
      </c>
      <c r="AY476">
        <v>1</v>
      </c>
      <c r="AZ476">
        <v>0</v>
      </c>
      <c r="BA476">
        <v>446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Y476*Source!I316</f>
        <v>1.2E-2</v>
      </c>
      <c r="CY476">
        <f>AB476</f>
        <v>751.45</v>
      </c>
      <c r="CZ476">
        <f>AF476</f>
        <v>111.99</v>
      </c>
      <c r="DA476">
        <f>AJ476</f>
        <v>6.71</v>
      </c>
      <c r="DB476">
        <f t="shared" si="84"/>
        <v>3.36</v>
      </c>
      <c r="DC476">
        <f t="shared" si="85"/>
        <v>0.41</v>
      </c>
    </row>
    <row r="477" spans="1:107" x14ac:dyDescent="0.2">
      <c r="A477">
        <f>ROW(Source!A316)</f>
        <v>316</v>
      </c>
      <c r="B477">
        <v>16812721</v>
      </c>
      <c r="C477">
        <v>16814465</v>
      </c>
      <c r="D477">
        <v>15249073</v>
      </c>
      <c r="E477">
        <v>1</v>
      </c>
      <c r="F477">
        <v>1</v>
      </c>
      <c r="G477">
        <v>1</v>
      </c>
      <c r="H477">
        <v>2</v>
      </c>
      <c r="I477" t="s">
        <v>782</v>
      </c>
      <c r="J477" t="s">
        <v>783</v>
      </c>
      <c r="K477" t="s">
        <v>784</v>
      </c>
      <c r="L477">
        <v>1368</v>
      </c>
      <c r="N477">
        <v>1011</v>
      </c>
      <c r="O477" t="s">
        <v>779</v>
      </c>
      <c r="P477" t="s">
        <v>779</v>
      </c>
      <c r="Q477">
        <v>1</v>
      </c>
      <c r="W477">
        <v>0</v>
      </c>
      <c r="X477">
        <v>1372534845</v>
      </c>
      <c r="Y477">
        <v>0.02</v>
      </c>
      <c r="AA477">
        <v>0</v>
      </c>
      <c r="AB477">
        <v>440.91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6.71</v>
      </c>
      <c r="AK477">
        <v>1</v>
      </c>
      <c r="AL477">
        <v>1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6</v>
      </c>
      <c r="AT477">
        <v>0.02</v>
      </c>
      <c r="AU477" t="s">
        <v>6</v>
      </c>
      <c r="AV477">
        <v>0</v>
      </c>
      <c r="AW477">
        <v>2</v>
      </c>
      <c r="AX477">
        <v>16814480</v>
      </c>
      <c r="AY477">
        <v>1</v>
      </c>
      <c r="AZ477">
        <v>0</v>
      </c>
      <c r="BA477">
        <v>447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Y477*Source!I316</f>
        <v>8.0000000000000002E-3</v>
      </c>
      <c r="CY477">
        <f>AB477</f>
        <v>440.91</v>
      </c>
      <c r="CZ477">
        <f>AF477</f>
        <v>65.709999999999994</v>
      </c>
      <c r="DA477">
        <f>AJ477</f>
        <v>6.71</v>
      </c>
      <c r="DB477">
        <f t="shared" si="84"/>
        <v>1.31</v>
      </c>
      <c r="DC477">
        <f t="shared" si="85"/>
        <v>0.23</v>
      </c>
    </row>
    <row r="478" spans="1:107" x14ac:dyDescent="0.2">
      <c r="A478">
        <f>ROW(Source!A316)</f>
        <v>316</v>
      </c>
      <c r="B478">
        <v>16812721</v>
      </c>
      <c r="C478">
        <v>16814465</v>
      </c>
      <c r="D478">
        <v>15167588</v>
      </c>
      <c r="E478">
        <v>1</v>
      </c>
      <c r="F478">
        <v>1</v>
      </c>
      <c r="G478">
        <v>1</v>
      </c>
      <c r="H478">
        <v>3</v>
      </c>
      <c r="I478" t="s">
        <v>1006</v>
      </c>
      <c r="J478" t="s">
        <v>1007</v>
      </c>
      <c r="K478" t="s">
        <v>1008</v>
      </c>
      <c r="L478">
        <v>1346</v>
      </c>
      <c r="N478">
        <v>1009</v>
      </c>
      <c r="O478" t="s">
        <v>277</v>
      </c>
      <c r="P478" t="s">
        <v>277</v>
      </c>
      <c r="Q478">
        <v>1</v>
      </c>
      <c r="W478">
        <v>0</v>
      </c>
      <c r="X478">
        <v>-1088866022</v>
      </c>
      <c r="Y478">
        <v>0.11</v>
      </c>
      <c r="AA478">
        <v>203.98</v>
      </c>
      <c r="AB478">
        <v>0</v>
      </c>
      <c r="AC478">
        <v>0</v>
      </c>
      <c r="AD478">
        <v>0</v>
      </c>
      <c r="AE478">
        <v>30.4</v>
      </c>
      <c r="AF478">
        <v>0</v>
      </c>
      <c r="AG478">
        <v>0</v>
      </c>
      <c r="AH478">
        <v>0</v>
      </c>
      <c r="AI478">
        <v>6.71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0</v>
      </c>
      <c r="AQ478">
        <v>0</v>
      </c>
      <c r="AR478">
        <v>0</v>
      </c>
      <c r="AS478" t="s">
        <v>6</v>
      </c>
      <c r="AT478">
        <v>0.11</v>
      </c>
      <c r="AU478" t="s">
        <v>6</v>
      </c>
      <c r="AV478">
        <v>0</v>
      </c>
      <c r="AW478">
        <v>2</v>
      </c>
      <c r="AX478">
        <v>16814481</v>
      </c>
      <c r="AY478">
        <v>1</v>
      </c>
      <c r="AZ478">
        <v>0</v>
      </c>
      <c r="BA478">
        <v>448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Y478*Source!I316</f>
        <v>4.4000000000000004E-2</v>
      </c>
      <c r="CY478">
        <f t="shared" ref="CY478:CY483" si="92">AA478</f>
        <v>203.98</v>
      </c>
      <c r="CZ478">
        <f t="shared" ref="CZ478:CZ483" si="93">AE478</f>
        <v>30.4</v>
      </c>
      <c r="DA478">
        <f t="shared" ref="DA478:DA483" si="94">AI478</f>
        <v>6.71</v>
      </c>
      <c r="DB478">
        <f t="shared" si="84"/>
        <v>3.34</v>
      </c>
      <c r="DC478">
        <f t="shared" si="85"/>
        <v>0</v>
      </c>
    </row>
    <row r="479" spans="1:107" x14ac:dyDescent="0.2">
      <c r="A479">
        <f>ROW(Source!A316)</f>
        <v>316</v>
      </c>
      <c r="B479">
        <v>16812721</v>
      </c>
      <c r="C479">
        <v>16814465</v>
      </c>
      <c r="D479">
        <v>15170074</v>
      </c>
      <c r="E479">
        <v>1</v>
      </c>
      <c r="F479">
        <v>1</v>
      </c>
      <c r="G479">
        <v>1</v>
      </c>
      <c r="H479">
        <v>3</v>
      </c>
      <c r="I479" t="s">
        <v>1015</v>
      </c>
      <c r="J479" t="s">
        <v>1016</v>
      </c>
      <c r="K479" t="s">
        <v>1017</v>
      </c>
      <c r="L479">
        <v>1355</v>
      </c>
      <c r="N479">
        <v>1010</v>
      </c>
      <c r="O479" t="s">
        <v>188</v>
      </c>
      <c r="P479" t="s">
        <v>188</v>
      </c>
      <c r="Q479">
        <v>100</v>
      </c>
      <c r="W479">
        <v>0</v>
      </c>
      <c r="X479">
        <v>1794244060</v>
      </c>
      <c r="Y479">
        <v>1.02</v>
      </c>
      <c r="AA479">
        <v>577.05999999999995</v>
      </c>
      <c r="AB479">
        <v>0</v>
      </c>
      <c r="AC479">
        <v>0</v>
      </c>
      <c r="AD479">
        <v>0</v>
      </c>
      <c r="AE479">
        <v>86</v>
      </c>
      <c r="AF479">
        <v>0</v>
      </c>
      <c r="AG479">
        <v>0</v>
      </c>
      <c r="AH479">
        <v>0</v>
      </c>
      <c r="AI479">
        <v>6.71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0</v>
      </c>
      <c r="AQ479">
        <v>0</v>
      </c>
      <c r="AR479">
        <v>0</v>
      </c>
      <c r="AS479" t="s">
        <v>6</v>
      </c>
      <c r="AT479">
        <v>1.02</v>
      </c>
      <c r="AU479" t="s">
        <v>6</v>
      </c>
      <c r="AV479">
        <v>0</v>
      </c>
      <c r="AW479">
        <v>2</v>
      </c>
      <c r="AX479">
        <v>16814482</v>
      </c>
      <c r="AY479">
        <v>1</v>
      </c>
      <c r="AZ479">
        <v>0</v>
      </c>
      <c r="BA479">
        <v>449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Y479*Source!I316</f>
        <v>0.40800000000000003</v>
      </c>
      <c r="CY479">
        <f t="shared" si="92"/>
        <v>577.05999999999995</v>
      </c>
      <c r="CZ479">
        <f t="shared" si="93"/>
        <v>86</v>
      </c>
      <c r="DA479">
        <f t="shared" si="94"/>
        <v>6.71</v>
      </c>
      <c r="DB479">
        <f t="shared" si="84"/>
        <v>87.72</v>
      </c>
      <c r="DC479">
        <f t="shared" si="85"/>
        <v>0</v>
      </c>
    </row>
    <row r="480" spans="1:107" x14ac:dyDescent="0.2">
      <c r="A480">
        <f>ROW(Source!A316)</f>
        <v>316</v>
      </c>
      <c r="B480">
        <v>16812721</v>
      </c>
      <c r="C480">
        <v>16814465</v>
      </c>
      <c r="D480">
        <v>15170434</v>
      </c>
      <c r="E480">
        <v>1</v>
      </c>
      <c r="F480">
        <v>1</v>
      </c>
      <c r="G480">
        <v>1</v>
      </c>
      <c r="H480">
        <v>3</v>
      </c>
      <c r="I480" t="s">
        <v>1076</v>
      </c>
      <c r="J480" t="s">
        <v>1077</v>
      </c>
      <c r="K480" t="s">
        <v>1078</v>
      </c>
      <c r="L480">
        <v>1348</v>
      </c>
      <c r="N480">
        <v>1009</v>
      </c>
      <c r="O480" t="s">
        <v>145</v>
      </c>
      <c r="P480" t="s">
        <v>145</v>
      </c>
      <c r="Q480">
        <v>1000</v>
      </c>
      <c r="W480">
        <v>0</v>
      </c>
      <c r="X480">
        <v>797358079</v>
      </c>
      <c r="Y480">
        <v>1.6000000000000001E-4</v>
      </c>
      <c r="AA480">
        <v>199958</v>
      </c>
      <c r="AB480">
        <v>0</v>
      </c>
      <c r="AC480">
        <v>0</v>
      </c>
      <c r="AD480">
        <v>0</v>
      </c>
      <c r="AE480">
        <v>29800</v>
      </c>
      <c r="AF480">
        <v>0</v>
      </c>
      <c r="AG480">
        <v>0</v>
      </c>
      <c r="AH480">
        <v>0</v>
      </c>
      <c r="AI480">
        <v>6.71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0</v>
      </c>
      <c r="AQ480">
        <v>0</v>
      </c>
      <c r="AR480">
        <v>0</v>
      </c>
      <c r="AS480" t="s">
        <v>6</v>
      </c>
      <c r="AT480">
        <v>1.6000000000000001E-4</v>
      </c>
      <c r="AU480" t="s">
        <v>6</v>
      </c>
      <c r="AV480">
        <v>0</v>
      </c>
      <c r="AW480">
        <v>2</v>
      </c>
      <c r="AX480">
        <v>16814483</v>
      </c>
      <c r="AY480">
        <v>1</v>
      </c>
      <c r="AZ480">
        <v>0</v>
      </c>
      <c r="BA480">
        <v>450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Y480*Source!I316</f>
        <v>6.4000000000000011E-5</v>
      </c>
      <c r="CY480">
        <f t="shared" si="92"/>
        <v>199958</v>
      </c>
      <c r="CZ480">
        <f t="shared" si="93"/>
        <v>29800</v>
      </c>
      <c r="DA480">
        <f t="shared" si="94"/>
        <v>6.71</v>
      </c>
      <c r="DB480">
        <f t="shared" si="84"/>
        <v>4.7699999999999996</v>
      </c>
      <c r="DC480">
        <f t="shared" si="85"/>
        <v>0</v>
      </c>
    </row>
    <row r="481" spans="1:107" x14ac:dyDescent="0.2">
      <c r="A481">
        <f>ROW(Source!A316)</f>
        <v>316</v>
      </c>
      <c r="B481">
        <v>16812721</v>
      </c>
      <c r="C481">
        <v>16814465</v>
      </c>
      <c r="D481">
        <v>15170438</v>
      </c>
      <c r="E481">
        <v>1</v>
      </c>
      <c r="F481">
        <v>1</v>
      </c>
      <c r="G481">
        <v>1</v>
      </c>
      <c r="H481">
        <v>3</v>
      </c>
      <c r="I481" t="s">
        <v>986</v>
      </c>
      <c r="J481" t="s">
        <v>987</v>
      </c>
      <c r="K481" t="s">
        <v>988</v>
      </c>
      <c r="L481">
        <v>1348</v>
      </c>
      <c r="N481">
        <v>1009</v>
      </c>
      <c r="O481" t="s">
        <v>145</v>
      </c>
      <c r="P481" t="s">
        <v>145</v>
      </c>
      <c r="Q481">
        <v>1000</v>
      </c>
      <c r="W481">
        <v>0</v>
      </c>
      <c r="X481">
        <v>-1755229539</v>
      </c>
      <c r="Y481">
        <v>2.9999999999999997E-4</v>
      </c>
      <c r="AA481">
        <v>83405.3</v>
      </c>
      <c r="AB481">
        <v>0</v>
      </c>
      <c r="AC481">
        <v>0</v>
      </c>
      <c r="AD481">
        <v>0</v>
      </c>
      <c r="AE481">
        <v>12430</v>
      </c>
      <c r="AF481">
        <v>0</v>
      </c>
      <c r="AG481">
        <v>0</v>
      </c>
      <c r="AH481">
        <v>0</v>
      </c>
      <c r="AI481">
        <v>6.71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0</v>
      </c>
      <c r="AQ481">
        <v>0</v>
      </c>
      <c r="AR481">
        <v>0</v>
      </c>
      <c r="AS481" t="s">
        <v>6</v>
      </c>
      <c r="AT481">
        <v>2.9999999999999997E-4</v>
      </c>
      <c r="AU481" t="s">
        <v>6</v>
      </c>
      <c r="AV481">
        <v>0</v>
      </c>
      <c r="AW481">
        <v>2</v>
      </c>
      <c r="AX481">
        <v>16814484</v>
      </c>
      <c r="AY481">
        <v>1</v>
      </c>
      <c r="AZ481">
        <v>0</v>
      </c>
      <c r="BA481">
        <v>451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Y481*Source!I316</f>
        <v>1.1999999999999999E-4</v>
      </c>
      <c r="CY481">
        <f t="shared" si="92"/>
        <v>83405.3</v>
      </c>
      <c r="CZ481">
        <f t="shared" si="93"/>
        <v>12430</v>
      </c>
      <c r="DA481">
        <f t="shared" si="94"/>
        <v>6.71</v>
      </c>
      <c r="DB481">
        <f t="shared" si="84"/>
        <v>3.73</v>
      </c>
      <c r="DC481">
        <f t="shared" si="85"/>
        <v>0</v>
      </c>
    </row>
    <row r="482" spans="1:107" x14ac:dyDescent="0.2">
      <c r="A482">
        <f>ROW(Source!A316)</f>
        <v>316</v>
      </c>
      <c r="B482">
        <v>16812721</v>
      </c>
      <c r="C482">
        <v>16814465</v>
      </c>
      <c r="D482">
        <v>15220793</v>
      </c>
      <c r="E482">
        <v>1</v>
      </c>
      <c r="F482">
        <v>1</v>
      </c>
      <c r="G482">
        <v>1</v>
      </c>
      <c r="H482">
        <v>3</v>
      </c>
      <c r="I482" t="s">
        <v>574</v>
      </c>
      <c r="J482" t="s">
        <v>576</v>
      </c>
      <c r="K482" t="s">
        <v>706</v>
      </c>
      <c r="L482">
        <v>1355</v>
      </c>
      <c r="N482">
        <v>1010</v>
      </c>
      <c r="O482" t="s">
        <v>188</v>
      </c>
      <c r="P482" t="s">
        <v>188</v>
      </c>
      <c r="Q482">
        <v>100</v>
      </c>
      <c r="W482">
        <v>0</v>
      </c>
      <c r="X482">
        <v>375004976</v>
      </c>
      <c r="Y482">
        <v>1</v>
      </c>
      <c r="AA482">
        <v>4925.1400000000003</v>
      </c>
      <c r="AB482">
        <v>0</v>
      </c>
      <c r="AC482">
        <v>0</v>
      </c>
      <c r="AD482">
        <v>0</v>
      </c>
      <c r="AE482">
        <v>734</v>
      </c>
      <c r="AF482">
        <v>0</v>
      </c>
      <c r="AG482">
        <v>0</v>
      </c>
      <c r="AH482">
        <v>0</v>
      </c>
      <c r="AI482">
        <v>6.71</v>
      </c>
      <c r="AJ482">
        <v>1</v>
      </c>
      <c r="AK482">
        <v>1</v>
      </c>
      <c r="AL482">
        <v>1</v>
      </c>
      <c r="AN482">
        <v>0</v>
      </c>
      <c r="AO482">
        <v>0</v>
      </c>
      <c r="AP482">
        <v>0</v>
      </c>
      <c r="AQ482">
        <v>0</v>
      </c>
      <c r="AR482">
        <v>0</v>
      </c>
      <c r="AS482" t="s">
        <v>6</v>
      </c>
      <c r="AT482">
        <v>1</v>
      </c>
      <c r="AU482" t="s">
        <v>6</v>
      </c>
      <c r="AV482">
        <v>0</v>
      </c>
      <c r="AW482">
        <v>1</v>
      </c>
      <c r="AX482">
        <v>-1</v>
      </c>
      <c r="AY482">
        <v>0</v>
      </c>
      <c r="AZ482">
        <v>0</v>
      </c>
      <c r="BA482" t="s">
        <v>6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Y482*Source!I316</f>
        <v>0.4</v>
      </c>
      <c r="CY482">
        <f t="shared" si="92"/>
        <v>4925.1400000000003</v>
      </c>
      <c r="CZ482">
        <f t="shared" si="93"/>
        <v>734</v>
      </c>
      <c r="DA482">
        <f t="shared" si="94"/>
        <v>6.71</v>
      </c>
      <c r="DB482">
        <f t="shared" si="84"/>
        <v>734</v>
      </c>
      <c r="DC482">
        <f t="shared" si="85"/>
        <v>0</v>
      </c>
    </row>
    <row r="483" spans="1:107" x14ac:dyDescent="0.2">
      <c r="A483">
        <f>ROW(Source!A316)</f>
        <v>316</v>
      </c>
      <c r="B483">
        <v>16812721</v>
      </c>
      <c r="C483">
        <v>16814465</v>
      </c>
      <c r="D483">
        <v>15164559</v>
      </c>
      <c r="E483">
        <v>17</v>
      </c>
      <c r="F483">
        <v>1</v>
      </c>
      <c r="G483">
        <v>1</v>
      </c>
      <c r="H483">
        <v>3</v>
      </c>
      <c r="I483" t="s">
        <v>989</v>
      </c>
      <c r="J483" t="s">
        <v>6</v>
      </c>
      <c r="K483" t="s">
        <v>990</v>
      </c>
      <c r="L483">
        <v>1374</v>
      </c>
      <c r="N483">
        <v>1013</v>
      </c>
      <c r="O483" t="s">
        <v>991</v>
      </c>
      <c r="P483" t="s">
        <v>991</v>
      </c>
      <c r="Q483">
        <v>1</v>
      </c>
      <c r="W483">
        <v>0</v>
      </c>
      <c r="X483">
        <v>-1731369543</v>
      </c>
      <c r="Y483">
        <v>6.86</v>
      </c>
      <c r="AA483">
        <v>1</v>
      </c>
      <c r="AB483">
        <v>0</v>
      </c>
      <c r="AC483">
        <v>0</v>
      </c>
      <c r="AD483">
        <v>0</v>
      </c>
      <c r="AE483">
        <v>1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6.86</v>
      </c>
      <c r="AU483" t="s">
        <v>6</v>
      </c>
      <c r="AV483">
        <v>0</v>
      </c>
      <c r="AW483">
        <v>2</v>
      </c>
      <c r="AX483">
        <v>16814485</v>
      </c>
      <c r="AY483">
        <v>1</v>
      </c>
      <c r="AZ483">
        <v>0</v>
      </c>
      <c r="BA483">
        <v>452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Y483*Source!I316</f>
        <v>2.7440000000000002</v>
      </c>
      <c r="CY483">
        <f t="shared" si="92"/>
        <v>1</v>
      </c>
      <c r="CZ483">
        <f t="shared" si="93"/>
        <v>1</v>
      </c>
      <c r="DA483">
        <f t="shared" si="94"/>
        <v>1</v>
      </c>
      <c r="DB483">
        <f t="shared" si="84"/>
        <v>6.86</v>
      </c>
      <c r="DC483">
        <f t="shared" si="85"/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5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16813011</v>
      </c>
      <c r="C1">
        <v>16813007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771</v>
      </c>
      <c r="J1" t="s">
        <v>6</v>
      </c>
      <c r="K1" t="s">
        <v>772</v>
      </c>
      <c r="L1">
        <v>1191</v>
      </c>
      <c r="N1">
        <v>1013</v>
      </c>
      <c r="O1" t="s">
        <v>773</v>
      </c>
      <c r="P1" t="s">
        <v>773</v>
      </c>
      <c r="Q1">
        <v>1</v>
      </c>
      <c r="X1">
        <v>103.91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103.91</v>
      </c>
      <c r="AH1">
        <v>2</v>
      </c>
      <c r="AI1">
        <v>16813008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16813012</v>
      </c>
      <c r="C2">
        <v>16813007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774</v>
      </c>
      <c r="J2" t="s">
        <v>6</v>
      </c>
      <c r="K2" t="s">
        <v>775</v>
      </c>
      <c r="L2">
        <v>1191</v>
      </c>
      <c r="N2">
        <v>1013</v>
      </c>
      <c r="O2" t="s">
        <v>773</v>
      </c>
      <c r="P2" t="s">
        <v>773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16813009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16813013</v>
      </c>
      <c r="C3">
        <v>16813007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776</v>
      </c>
      <c r="J3" t="s">
        <v>777</v>
      </c>
      <c r="K3" t="s">
        <v>778</v>
      </c>
      <c r="L3">
        <v>1368</v>
      </c>
      <c r="N3">
        <v>1011</v>
      </c>
      <c r="O3" t="s">
        <v>779</v>
      </c>
      <c r="P3" t="s">
        <v>779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16813010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ROW(Source!A29)</f>
        <v>29</v>
      </c>
      <c r="B4">
        <v>16814209</v>
      </c>
      <c r="C4">
        <v>16814208</v>
      </c>
      <c r="D4">
        <v>15446300</v>
      </c>
      <c r="E4">
        <v>1</v>
      </c>
      <c r="F4">
        <v>1</v>
      </c>
      <c r="G4">
        <v>1</v>
      </c>
      <c r="H4">
        <v>1</v>
      </c>
      <c r="I4" t="s">
        <v>780</v>
      </c>
      <c r="J4" t="s">
        <v>6</v>
      </c>
      <c r="K4" t="s">
        <v>781</v>
      </c>
      <c r="L4">
        <v>1191</v>
      </c>
      <c r="N4">
        <v>1013</v>
      </c>
      <c r="O4" t="s">
        <v>773</v>
      </c>
      <c r="P4" t="s">
        <v>773</v>
      </c>
      <c r="Q4">
        <v>1</v>
      </c>
      <c r="X4">
        <v>2.4</v>
      </c>
      <c r="Y4">
        <v>0</v>
      </c>
      <c r="Z4">
        <v>0</v>
      </c>
      <c r="AA4">
        <v>0</v>
      </c>
      <c r="AB4">
        <v>9.92</v>
      </c>
      <c r="AC4">
        <v>0</v>
      </c>
      <c r="AD4">
        <v>1</v>
      </c>
      <c r="AE4">
        <v>1</v>
      </c>
      <c r="AF4" t="s">
        <v>32</v>
      </c>
      <c r="AG4">
        <v>1.68</v>
      </c>
      <c r="AH4">
        <v>2</v>
      </c>
      <c r="AI4">
        <v>16814209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ROW(Source!A29)</f>
        <v>29</v>
      </c>
      <c r="B5">
        <v>16814210</v>
      </c>
      <c r="C5">
        <v>16814208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774</v>
      </c>
      <c r="J5" t="s">
        <v>6</v>
      </c>
      <c r="K5" t="s">
        <v>775</v>
      </c>
      <c r="L5">
        <v>1191</v>
      </c>
      <c r="N5">
        <v>1013</v>
      </c>
      <c r="O5" t="s">
        <v>773</v>
      </c>
      <c r="P5" t="s">
        <v>773</v>
      </c>
      <c r="Q5">
        <v>1</v>
      </c>
      <c r="X5">
        <v>0.17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32</v>
      </c>
      <c r="AG5">
        <v>0.11899999999999999</v>
      </c>
      <c r="AH5">
        <v>2</v>
      </c>
      <c r="AI5">
        <v>16814210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16814211</v>
      </c>
      <c r="C6">
        <v>16814208</v>
      </c>
      <c r="D6">
        <v>15249073</v>
      </c>
      <c r="E6">
        <v>1</v>
      </c>
      <c r="F6">
        <v>1</v>
      </c>
      <c r="G6">
        <v>1</v>
      </c>
      <c r="H6">
        <v>2</v>
      </c>
      <c r="I6" t="s">
        <v>782</v>
      </c>
      <c r="J6" t="s">
        <v>783</v>
      </c>
      <c r="K6" t="s">
        <v>784</v>
      </c>
      <c r="L6">
        <v>1368</v>
      </c>
      <c r="N6">
        <v>1011</v>
      </c>
      <c r="O6" t="s">
        <v>779</v>
      </c>
      <c r="P6" t="s">
        <v>779</v>
      </c>
      <c r="Q6">
        <v>1</v>
      </c>
      <c r="X6">
        <v>0.17</v>
      </c>
      <c r="Y6">
        <v>0</v>
      </c>
      <c r="Z6">
        <v>65.709999999999994</v>
      </c>
      <c r="AA6">
        <v>11.6</v>
      </c>
      <c r="AB6">
        <v>0</v>
      </c>
      <c r="AC6">
        <v>0</v>
      </c>
      <c r="AD6">
        <v>1</v>
      </c>
      <c r="AE6">
        <v>0</v>
      </c>
      <c r="AF6" t="s">
        <v>32</v>
      </c>
      <c r="AG6">
        <v>0.11899999999999999</v>
      </c>
      <c r="AH6">
        <v>2</v>
      </c>
      <c r="AI6">
        <v>16814211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16814212</v>
      </c>
      <c r="C7">
        <v>16814208</v>
      </c>
      <c r="D7">
        <v>15249377</v>
      </c>
      <c r="E7">
        <v>1</v>
      </c>
      <c r="F7">
        <v>1</v>
      </c>
      <c r="G7">
        <v>1</v>
      </c>
      <c r="H7">
        <v>2</v>
      </c>
      <c r="I7" t="s">
        <v>785</v>
      </c>
      <c r="J7" t="s">
        <v>786</v>
      </c>
      <c r="K7" t="s">
        <v>787</v>
      </c>
      <c r="L7">
        <v>1368</v>
      </c>
      <c r="N7">
        <v>1011</v>
      </c>
      <c r="O7" t="s">
        <v>779</v>
      </c>
      <c r="P7" t="s">
        <v>779</v>
      </c>
      <c r="Q7">
        <v>1</v>
      </c>
      <c r="X7">
        <v>0.4</v>
      </c>
      <c r="Y7">
        <v>0</v>
      </c>
      <c r="Z7">
        <v>8.1</v>
      </c>
      <c r="AA7">
        <v>0</v>
      </c>
      <c r="AB7">
        <v>0</v>
      </c>
      <c r="AC7">
        <v>0</v>
      </c>
      <c r="AD7">
        <v>1</v>
      </c>
      <c r="AE7">
        <v>0</v>
      </c>
      <c r="AF7" t="s">
        <v>32</v>
      </c>
      <c r="AG7">
        <v>0.27999999999999997</v>
      </c>
      <c r="AH7">
        <v>2</v>
      </c>
      <c r="AI7">
        <v>16814212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16814213</v>
      </c>
      <c r="C8">
        <v>16814208</v>
      </c>
      <c r="D8">
        <v>15162381</v>
      </c>
      <c r="E8">
        <v>17</v>
      </c>
      <c r="F8">
        <v>1</v>
      </c>
      <c r="G8">
        <v>1</v>
      </c>
      <c r="H8">
        <v>3</v>
      </c>
      <c r="I8" t="s">
        <v>1112</v>
      </c>
      <c r="J8" t="s">
        <v>6</v>
      </c>
      <c r="K8" t="s">
        <v>1113</v>
      </c>
      <c r="L8">
        <v>1035</v>
      </c>
      <c r="N8">
        <v>1013</v>
      </c>
      <c r="O8" t="s">
        <v>127</v>
      </c>
      <c r="P8" t="s">
        <v>127</v>
      </c>
      <c r="Q8">
        <v>1</v>
      </c>
      <c r="X8">
        <v>0</v>
      </c>
      <c r="Y8">
        <v>0</v>
      </c>
      <c r="Z8">
        <v>0</v>
      </c>
      <c r="AA8">
        <v>0</v>
      </c>
      <c r="AB8">
        <v>0</v>
      </c>
      <c r="AC8">
        <v>1</v>
      </c>
      <c r="AD8">
        <v>0</v>
      </c>
      <c r="AE8">
        <v>0</v>
      </c>
      <c r="AF8" t="s">
        <v>31</v>
      </c>
      <c r="AG8">
        <v>0</v>
      </c>
      <c r="AH8">
        <v>3</v>
      </c>
      <c r="AI8">
        <v>-1</v>
      </c>
      <c r="AJ8" t="s">
        <v>6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16814214</v>
      </c>
      <c r="C9">
        <v>16814208</v>
      </c>
      <c r="D9">
        <v>15168750</v>
      </c>
      <c r="E9">
        <v>1</v>
      </c>
      <c r="F9">
        <v>1</v>
      </c>
      <c r="G9">
        <v>1</v>
      </c>
      <c r="H9">
        <v>3</v>
      </c>
      <c r="I9" t="s">
        <v>788</v>
      </c>
      <c r="J9" t="s">
        <v>789</v>
      </c>
      <c r="K9" t="s">
        <v>790</v>
      </c>
      <c r="L9">
        <v>1348</v>
      </c>
      <c r="N9">
        <v>1009</v>
      </c>
      <c r="O9" t="s">
        <v>145</v>
      </c>
      <c r="P9" t="s">
        <v>145</v>
      </c>
      <c r="Q9">
        <v>1000</v>
      </c>
      <c r="X9">
        <v>1E-4</v>
      </c>
      <c r="Y9">
        <v>10315.01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31</v>
      </c>
      <c r="AG9">
        <v>0</v>
      </c>
      <c r="AH9">
        <v>2</v>
      </c>
      <c r="AI9">
        <v>16814214</v>
      </c>
      <c r="AJ9">
        <v>8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16814215</v>
      </c>
      <c r="C10">
        <v>16814208</v>
      </c>
      <c r="D10">
        <v>15162386</v>
      </c>
      <c r="E10">
        <v>17</v>
      </c>
      <c r="F10">
        <v>1</v>
      </c>
      <c r="G10">
        <v>1</v>
      </c>
      <c r="H10">
        <v>3</v>
      </c>
      <c r="I10" t="s">
        <v>1114</v>
      </c>
      <c r="J10" t="s">
        <v>6</v>
      </c>
      <c r="K10" t="s">
        <v>1115</v>
      </c>
      <c r="L10">
        <v>1327</v>
      </c>
      <c r="N10">
        <v>1005</v>
      </c>
      <c r="O10" t="s">
        <v>28</v>
      </c>
      <c r="P10" t="s">
        <v>28</v>
      </c>
      <c r="Q10">
        <v>1</v>
      </c>
      <c r="X10">
        <v>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31</v>
      </c>
      <c r="AG10">
        <v>0</v>
      </c>
      <c r="AH10">
        <v>3</v>
      </c>
      <c r="AI10">
        <v>-1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ROW(Source!A29)</f>
        <v>29</v>
      </c>
      <c r="B11">
        <v>16814216</v>
      </c>
      <c r="C11">
        <v>16814208</v>
      </c>
      <c r="D11">
        <v>15192019</v>
      </c>
      <c r="E11">
        <v>1</v>
      </c>
      <c r="F11">
        <v>1</v>
      </c>
      <c r="G11">
        <v>1</v>
      </c>
      <c r="H11">
        <v>3</v>
      </c>
      <c r="I11" t="s">
        <v>791</v>
      </c>
      <c r="J11" t="s">
        <v>792</v>
      </c>
      <c r="K11" t="s">
        <v>793</v>
      </c>
      <c r="L11">
        <v>1348</v>
      </c>
      <c r="N11">
        <v>1009</v>
      </c>
      <c r="O11" t="s">
        <v>145</v>
      </c>
      <c r="P11" t="s">
        <v>145</v>
      </c>
      <c r="Q11">
        <v>1000</v>
      </c>
      <c r="X11">
        <v>3.0000000000000001E-3</v>
      </c>
      <c r="Y11">
        <v>5804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31</v>
      </c>
      <c r="AG11">
        <v>0</v>
      </c>
      <c r="AH11">
        <v>2</v>
      </c>
      <c r="AI11">
        <v>16814216</v>
      </c>
      <c r="AJ11">
        <v>9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ROW(Source!A29)</f>
        <v>29</v>
      </c>
      <c r="B12">
        <v>16814217</v>
      </c>
      <c r="C12">
        <v>16814208</v>
      </c>
      <c r="D12">
        <v>15204330</v>
      </c>
      <c r="E12">
        <v>1</v>
      </c>
      <c r="F12">
        <v>1</v>
      </c>
      <c r="G12">
        <v>1</v>
      </c>
      <c r="H12">
        <v>3</v>
      </c>
      <c r="I12" t="s">
        <v>794</v>
      </c>
      <c r="J12" t="s">
        <v>795</v>
      </c>
      <c r="K12" t="s">
        <v>796</v>
      </c>
      <c r="L12">
        <v>1354</v>
      </c>
      <c r="N12">
        <v>1010</v>
      </c>
      <c r="O12" t="s">
        <v>62</v>
      </c>
      <c r="P12" t="s">
        <v>62</v>
      </c>
      <c r="Q12">
        <v>1</v>
      </c>
      <c r="X12">
        <v>0.1</v>
      </c>
      <c r="Y12">
        <v>72.8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31</v>
      </c>
      <c r="AG12">
        <v>0</v>
      </c>
      <c r="AH12">
        <v>2</v>
      </c>
      <c r="AI12">
        <v>16814217</v>
      </c>
      <c r="AJ12">
        <v>10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ROW(Source!A30)</f>
        <v>30</v>
      </c>
      <c r="B13">
        <v>16813016</v>
      </c>
      <c r="C13">
        <v>16813014</v>
      </c>
      <c r="D13">
        <v>15430517</v>
      </c>
      <c r="E13">
        <v>1</v>
      </c>
      <c r="F13">
        <v>1</v>
      </c>
      <c r="G13">
        <v>1</v>
      </c>
      <c r="H13">
        <v>1</v>
      </c>
      <c r="I13" t="s">
        <v>797</v>
      </c>
      <c r="J13" t="s">
        <v>6</v>
      </c>
      <c r="K13" t="s">
        <v>798</v>
      </c>
      <c r="L13">
        <v>1191</v>
      </c>
      <c r="N13">
        <v>1013</v>
      </c>
      <c r="O13" t="s">
        <v>773</v>
      </c>
      <c r="P13" t="s">
        <v>773</v>
      </c>
      <c r="Q13">
        <v>1</v>
      </c>
      <c r="X13">
        <v>3.77</v>
      </c>
      <c r="Y13">
        <v>0</v>
      </c>
      <c r="Z13">
        <v>0</v>
      </c>
      <c r="AA13">
        <v>0</v>
      </c>
      <c r="AB13">
        <v>7.8</v>
      </c>
      <c r="AC13">
        <v>0</v>
      </c>
      <c r="AD13">
        <v>1</v>
      </c>
      <c r="AE13">
        <v>1</v>
      </c>
      <c r="AF13" t="s">
        <v>6</v>
      </c>
      <c r="AG13">
        <v>3.77</v>
      </c>
      <c r="AH13">
        <v>2</v>
      </c>
      <c r="AI13">
        <v>16813015</v>
      </c>
      <c r="AJ13">
        <v>11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ROW(Source!A30)</f>
        <v>30</v>
      </c>
      <c r="B14">
        <v>16813017</v>
      </c>
      <c r="C14">
        <v>16813014</v>
      </c>
      <c r="D14">
        <v>15164566</v>
      </c>
      <c r="E14">
        <v>17</v>
      </c>
      <c r="F14">
        <v>1</v>
      </c>
      <c r="G14">
        <v>1</v>
      </c>
      <c r="H14">
        <v>3</v>
      </c>
      <c r="I14" t="s">
        <v>338</v>
      </c>
      <c r="J14" t="s">
        <v>6</v>
      </c>
      <c r="K14" t="s">
        <v>339</v>
      </c>
      <c r="L14">
        <v>1348</v>
      </c>
      <c r="N14">
        <v>1009</v>
      </c>
      <c r="O14" t="s">
        <v>145</v>
      </c>
      <c r="P14" t="s">
        <v>145</v>
      </c>
      <c r="Q14">
        <v>1000</v>
      </c>
      <c r="X14">
        <v>0.11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 t="s">
        <v>6</v>
      </c>
      <c r="AG14">
        <v>0.11</v>
      </c>
      <c r="AH14">
        <v>3</v>
      </c>
      <c r="AI14">
        <v>-1</v>
      </c>
      <c r="AJ14" t="s">
        <v>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ROW(Source!A31)</f>
        <v>31</v>
      </c>
      <c r="B15">
        <v>16813022</v>
      </c>
      <c r="C15">
        <v>16813018</v>
      </c>
      <c r="D15">
        <v>15430517</v>
      </c>
      <c r="E15">
        <v>1</v>
      </c>
      <c r="F15">
        <v>1</v>
      </c>
      <c r="G15">
        <v>1</v>
      </c>
      <c r="H15">
        <v>1</v>
      </c>
      <c r="I15" t="s">
        <v>797</v>
      </c>
      <c r="J15" t="s">
        <v>6</v>
      </c>
      <c r="K15" t="s">
        <v>798</v>
      </c>
      <c r="L15">
        <v>1191</v>
      </c>
      <c r="N15">
        <v>1013</v>
      </c>
      <c r="O15" t="s">
        <v>773</v>
      </c>
      <c r="P15" t="s">
        <v>773</v>
      </c>
      <c r="Q15">
        <v>1</v>
      </c>
      <c r="X15">
        <v>11.39</v>
      </c>
      <c r="Y15">
        <v>0</v>
      </c>
      <c r="Z15">
        <v>0</v>
      </c>
      <c r="AA15">
        <v>0</v>
      </c>
      <c r="AB15">
        <v>7.8</v>
      </c>
      <c r="AC15">
        <v>0</v>
      </c>
      <c r="AD15">
        <v>1</v>
      </c>
      <c r="AE15">
        <v>1</v>
      </c>
      <c r="AF15" t="s">
        <v>6</v>
      </c>
      <c r="AG15">
        <v>11.39</v>
      </c>
      <c r="AH15">
        <v>2</v>
      </c>
      <c r="AI15">
        <v>16813019</v>
      </c>
      <c r="AJ15">
        <v>12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ROW(Source!A31)</f>
        <v>31</v>
      </c>
      <c r="B16">
        <v>16813023</v>
      </c>
      <c r="C16">
        <v>16813018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774</v>
      </c>
      <c r="J16" t="s">
        <v>6</v>
      </c>
      <c r="K16" t="s">
        <v>775</v>
      </c>
      <c r="L16">
        <v>1191</v>
      </c>
      <c r="N16">
        <v>1013</v>
      </c>
      <c r="O16" t="s">
        <v>773</v>
      </c>
      <c r="P16" t="s">
        <v>773</v>
      </c>
      <c r="Q16">
        <v>1</v>
      </c>
      <c r="X16">
        <v>0.13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6</v>
      </c>
      <c r="AG16">
        <v>0.13</v>
      </c>
      <c r="AH16">
        <v>2</v>
      </c>
      <c r="AI16">
        <v>16813020</v>
      </c>
      <c r="AJ16">
        <v>13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ROW(Source!A31)</f>
        <v>31</v>
      </c>
      <c r="B17">
        <v>16813024</v>
      </c>
      <c r="C17">
        <v>16813018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776</v>
      </c>
      <c r="J17" t="s">
        <v>777</v>
      </c>
      <c r="K17" t="s">
        <v>778</v>
      </c>
      <c r="L17">
        <v>1368</v>
      </c>
      <c r="N17">
        <v>1011</v>
      </c>
      <c r="O17" t="s">
        <v>779</v>
      </c>
      <c r="P17" t="s">
        <v>779</v>
      </c>
      <c r="Q17">
        <v>1</v>
      </c>
      <c r="X17">
        <v>0.13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6</v>
      </c>
      <c r="AG17">
        <v>0.13</v>
      </c>
      <c r="AH17">
        <v>2</v>
      </c>
      <c r="AI17">
        <v>16813021</v>
      </c>
      <c r="AJ17">
        <v>14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ROW(Source!A31)</f>
        <v>31</v>
      </c>
      <c r="B18">
        <v>16813025</v>
      </c>
      <c r="C18">
        <v>16813018</v>
      </c>
      <c r="D18">
        <v>15164566</v>
      </c>
      <c r="E18">
        <v>17</v>
      </c>
      <c r="F18">
        <v>1</v>
      </c>
      <c r="G18">
        <v>1</v>
      </c>
      <c r="H18">
        <v>3</v>
      </c>
      <c r="I18" t="s">
        <v>338</v>
      </c>
      <c r="J18" t="s">
        <v>6</v>
      </c>
      <c r="K18" t="s">
        <v>339</v>
      </c>
      <c r="L18">
        <v>1348</v>
      </c>
      <c r="N18">
        <v>1009</v>
      </c>
      <c r="O18" t="s">
        <v>145</v>
      </c>
      <c r="P18" t="s">
        <v>145</v>
      </c>
      <c r="Q18">
        <v>1000</v>
      </c>
      <c r="X18">
        <v>0.47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 t="s">
        <v>6</v>
      </c>
      <c r="AG18">
        <v>0.47</v>
      </c>
      <c r="AH18">
        <v>3</v>
      </c>
      <c r="AI18">
        <v>-1</v>
      </c>
      <c r="AJ18" t="s">
        <v>6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ROW(Source!A32)</f>
        <v>32</v>
      </c>
      <c r="B19">
        <v>16814221</v>
      </c>
      <c r="C19">
        <v>16814220</v>
      </c>
      <c r="D19">
        <v>15430517</v>
      </c>
      <c r="E19">
        <v>1</v>
      </c>
      <c r="F19">
        <v>1</v>
      </c>
      <c r="G19">
        <v>1</v>
      </c>
      <c r="H19">
        <v>1</v>
      </c>
      <c r="I19" t="s">
        <v>797</v>
      </c>
      <c r="J19" t="s">
        <v>6</v>
      </c>
      <c r="K19" t="s">
        <v>798</v>
      </c>
      <c r="L19">
        <v>1191</v>
      </c>
      <c r="N19">
        <v>1013</v>
      </c>
      <c r="O19" t="s">
        <v>773</v>
      </c>
      <c r="P19" t="s">
        <v>773</v>
      </c>
      <c r="Q19">
        <v>1</v>
      </c>
      <c r="X19">
        <v>46.01</v>
      </c>
      <c r="Y19">
        <v>0</v>
      </c>
      <c r="Z19">
        <v>0</v>
      </c>
      <c r="AA19">
        <v>0</v>
      </c>
      <c r="AB19">
        <v>7.8</v>
      </c>
      <c r="AC19">
        <v>0</v>
      </c>
      <c r="AD19">
        <v>1</v>
      </c>
      <c r="AE19">
        <v>1</v>
      </c>
      <c r="AF19" t="s">
        <v>6</v>
      </c>
      <c r="AG19">
        <v>46.01</v>
      </c>
      <c r="AH19">
        <v>2</v>
      </c>
      <c r="AI19">
        <v>16814221</v>
      </c>
      <c r="AJ19">
        <v>15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ROW(Source!A32)</f>
        <v>32</v>
      </c>
      <c r="B20">
        <v>16814222</v>
      </c>
      <c r="C20">
        <v>16814220</v>
      </c>
      <c r="D20">
        <v>15430395</v>
      </c>
      <c r="E20">
        <v>1</v>
      </c>
      <c r="F20">
        <v>1</v>
      </c>
      <c r="G20">
        <v>1</v>
      </c>
      <c r="H20">
        <v>1</v>
      </c>
      <c r="I20" t="s">
        <v>774</v>
      </c>
      <c r="J20" t="s">
        <v>6</v>
      </c>
      <c r="K20" t="s">
        <v>775</v>
      </c>
      <c r="L20">
        <v>1191</v>
      </c>
      <c r="N20">
        <v>1013</v>
      </c>
      <c r="O20" t="s">
        <v>773</v>
      </c>
      <c r="P20" t="s">
        <v>773</v>
      </c>
      <c r="Q20">
        <v>1</v>
      </c>
      <c r="X20">
        <v>1.76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2</v>
      </c>
      <c r="AF20" t="s">
        <v>6</v>
      </c>
      <c r="AG20">
        <v>1.76</v>
      </c>
      <c r="AH20">
        <v>2</v>
      </c>
      <c r="AI20">
        <v>16814222</v>
      </c>
      <c r="AJ20">
        <v>16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ROW(Source!A32)</f>
        <v>32</v>
      </c>
      <c r="B21">
        <v>16814223</v>
      </c>
      <c r="C21">
        <v>16814220</v>
      </c>
      <c r="D21">
        <v>15247974</v>
      </c>
      <c r="E21">
        <v>1</v>
      </c>
      <c r="F21">
        <v>1</v>
      </c>
      <c r="G21">
        <v>1</v>
      </c>
      <c r="H21">
        <v>2</v>
      </c>
      <c r="I21" t="s">
        <v>776</v>
      </c>
      <c r="J21" t="s">
        <v>777</v>
      </c>
      <c r="K21" t="s">
        <v>778</v>
      </c>
      <c r="L21">
        <v>1368</v>
      </c>
      <c r="N21">
        <v>1011</v>
      </c>
      <c r="O21" t="s">
        <v>779</v>
      </c>
      <c r="P21" t="s">
        <v>779</v>
      </c>
      <c r="Q21">
        <v>1</v>
      </c>
      <c r="X21">
        <v>1.76</v>
      </c>
      <c r="Y21">
        <v>0</v>
      </c>
      <c r="Z21">
        <v>31.26</v>
      </c>
      <c r="AA21">
        <v>13.5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1.76</v>
      </c>
      <c r="AH21">
        <v>2</v>
      </c>
      <c r="AI21">
        <v>16814223</v>
      </c>
      <c r="AJ21">
        <v>17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ROW(Source!A33)</f>
        <v>33</v>
      </c>
      <c r="B22">
        <v>16813033</v>
      </c>
      <c r="C22">
        <v>16813026</v>
      </c>
      <c r="D22">
        <v>15430767</v>
      </c>
      <c r="E22">
        <v>1</v>
      </c>
      <c r="F22">
        <v>1</v>
      </c>
      <c r="G22">
        <v>1</v>
      </c>
      <c r="H22">
        <v>1</v>
      </c>
      <c r="I22" t="s">
        <v>799</v>
      </c>
      <c r="J22" t="s">
        <v>6</v>
      </c>
      <c r="K22" t="s">
        <v>800</v>
      </c>
      <c r="L22">
        <v>1191</v>
      </c>
      <c r="N22">
        <v>1013</v>
      </c>
      <c r="O22" t="s">
        <v>773</v>
      </c>
      <c r="P22" t="s">
        <v>773</v>
      </c>
      <c r="Q22">
        <v>1</v>
      </c>
      <c r="X22">
        <v>46.19</v>
      </c>
      <c r="Y22">
        <v>0</v>
      </c>
      <c r="Z22">
        <v>0</v>
      </c>
      <c r="AA22">
        <v>0</v>
      </c>
      <c r="AB22">
        <v>8.5299999999999994</v>
      </c>
      <c r="AC22">
        <v>0</v>
      </c>
      <c r="AD22">
        <v>1</v>
      </c>
      <c r="AE22">
        <v>1</v>
      </c>
      <c r="AF22" t="s">
        <v>6</v>
      </c>
      <c r="AG22">
        <v>46.19</v>
      </c>
      <c r="AH22">
        <v>2</v>
      </c>
      <c r="AI22">
        <v>16813027</v>
      </c>
      <c r="AJ22">
        <v>18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ROW(Source!A33)</f>
        <v>33</v>
      </c>
      <c r="B23">
        <v>16813034</v>
      </c>
      <c r="C23">
        <v>16813026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774</v>
      </c>
      <c r="J23" t="s">
        <v>6</v>
      </c>
      <c r="K23" t="s">
        <v>775</v>
      </c>
      <c r="L23">
        <v>1191</v>
      </c>
      <c r="N23">
        <v>1013</v>
      </c>
      <c r="O23" t="s">
        <v>773</v>
      </c>
      <c r="P23" t="s">
        <v>773</v>
      </c>
      <c r="Q23">
        <v>1</v>
      </c>
      <c r="X23">
        <v>0.01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6</v>
      </c>
      <c r="AG23">
        <v>0.01</v>
      </c>
      <c r="AH23">
        <v>2</v>
      </c>
      <c r="AI23">
        <v>16813028</v>
      </c>
      <c r="AJ23">
        <v>19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ROW(Source!A33)</f>
        <v>33</v>
      </c>
      <c r="B24">
        <v>16813035</v>
      </c>
      <c r="C24">
        <v>16813026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776</v>
      </c>
      <c r="J24" t="s">
        <v>777</v>
      </c>
      <c r="K24" t="s">
        <v>778</v>
      </c>
      <c r="L24">
        <v>1368</v>
      </c>
      <c r="N24">
        <v>1011</v>
      </c>
      <c r="O24" t="s">
        <v>779</v>
      </c>
      <c r="P24" t="s">
        <v>779</v>
      </c>
      <c r="Q24">
        <v>1</v>
      </c>
      <c r="X24">
        <v>0.01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0.01</v>
      </c>
      <c r="AH24">
        <v>2</v>
      </c>
      <c r="AI24">
        <v>16813029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ROW(Source!A33)</f>
        <v>33</v>
      </c>
      <c r="B25">
        <v>16813036</v>
      </c>
      <c r="C25">
        <v>16813026</v>
      </c>
      <c r="D25">
        <v>15167286</v>
      </c>
      <c r="E25">
        <v>1</v>
      </c>
      <c r="F25">
        <v>1</v>
      </c>
      <c r="G25">
        <v>1</v>
      </c>
      <c r="H25">
        <v>3</v>
      </c>
      <c r="I25" t="s">
        <v>801</v>
      </c>
      <c r="J25" t="s">
        <v>802</v>
      </c>
      <c r="K25" t="s">
        <v>803</v>
      </c>
      <c r="L25">
        <v>1339</v>
      </c>
      <c r="N25">
        <v>1007</v>
      </c>
      <c r="O25" t="s">
        <v>141</v>
      </c>
      <c r="P25" t="s">
        <v>141</v>
      </c>
      <c r="Q25">
        <v>1</v>
      </c>
      <c r="X25">
        <v>0.02</v>
      </c>
      <c r="Y25">
        <v>2.44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0.02</v>
      </c>
      <c r="AH25">
        <v>2</v>
      </c>
      <c r="AI25">
        <v>16813030</v>
      </c>
      <c r="AJ25">
        <v>21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ROW(Source!A33)</f>
        <v>33</v>
      </c>
      <c r="B26">
        <v>16813037</v>
      </c>
      <c r="C26">
        <v>16813026</v>
      </c>
      <c r="D26">
        <v>15164566</v>
      </c>
      <c r="E26">
        <v>17</v>
      </c>
      <c r="F26">
        <v>1</v>
      </c>
      <c r="G26">
        <v>1</v>
      </c>
      <c r="H26">
        <v>3</v>
      </c>
      <c r="I26" t="s">
        <v>338</v>
      </c>
      <c r="J26" t="s">
        <v>6</v>
      </c>
      <c r="K26" t="s">
        <v>339</v>
      </c>
      <c r="L26">
        <v>1348</v>
      </c>
      <c r="N26">
        <v>1009</v>
      </c>
      <c r="O26" t="s">
        <v>145</v>
      </c>
      <c r="P26" t="s">
        <v>145</v>
      </c>
      <c r="Q26">
        <v>1000</v>
      </c>
      <c r="X26">
        <v>7.0000000000000007E-2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7.0000000000000007E-2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ROW(Source!A33)</f>
        <v>33</v>
      </c>
      <c r="B27">
        <v>16813038</v>
      </c>
      <c r="C27">
        <v>16813026</v>
      </c>
      <c r="D27">
        <v>15171982</v>
      </c>
      <c r="E27">
        <v>1</v>
      </c>
      <c r="F27">
        <v>1</v>
      </c>
      <c r="G27">
        <v>1</v>
      </c>
      <c r="H27">
        <v>3</v>
      </c>
      <c r="I27" t="s">
        <v>804</v>
      </c>
      <c r="J27" t="s">
        <v>805</v>
      </c>
      <c r="K27" t="s">
        <v>806</v>
      </c>
      <c r="L27">
        <v>1348</v>
      </c>
      <c r="N27">
        <v>1009</v>
      </c>
      <c r="O27" t="s">
        <v>145</v>
      </c>
      <c r="P27" t="s">
        <v>145</v>
      </c>
      <c r="Q27">
        <v>1000</v>
      </c>
      <c r="X27">
        <v>0.05</v>
      </c>
      <c r="Y27">
        <v>729.98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0.05</v>
      </c>
      <c r="AH27">
        <v>2</v>
      </c>
      <c r="AI27">
        <v>16813031</v>
      </c>
      <c r="AJ27">
        <v>22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ROW(Source!A33)</f>
        <v>33</v>
      </c>
      <c r="B28">
        <v>16813039</v>
      </c>
      <c r="C28">
        <v>16813026</v>
      </c>
      <c r="D28">
        <v>15162551</v>
      </c>
      <c r="E28">
        <v>17</v>
      </c>
      <c r="F28">
        <v>1</v>
      </c>
      <c r="G28">
        <v>1</v>
      </c>
      <c r="H28">
        <v>3</v>
      </c>
      <c r="I28" t="s">
        <v>1116</v>
      </c>
      <c r="J28" t="s">
        <v>6</v>
      </c>
      <c r="K28" t="s">
        <v>1117</v>
      </c>
      <c r="L28">
        <v>1354</v>
      </c>
      <c r="N28">
        <v>1010</v>
      </c>
      <c r="O28" t="s">
        <v>62</v>
      </c>
      <c r="P28" t="s">
        <v>62</v>
      </c>
      <c r="Q28">
        <v>1</v>
      </c>
      <c r="X28">
        <v>100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 t="s">
        <v>6</v>
      </c>
      <c r="AG28">
        <v>100</v>
      </c>
      <c r="AH28">
        <v>3</v>
      </c>
      <c r="AI28">
        <v>-1</v>
      </c>
      <c r="AJ28" t="s">
        <v>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ROW(Source!A35)</f>
        <v>35</v>
      </c>
      <c r="B29">
        <v>16813043</v>
      </c>
      <c r="C29">
        <v>16813041</v>
      </c>
      <c r="D29">
        <v>15430517</v>
      </c>
      <c r="E29">
        <v>1</v>
      </c>
      <c r="F29">
        <v>1</v>
      </c>
      <c r="G29">
        <v>1</v>
      </c>
      <c r="H29">
        <v>1</v>
      </c>
      <c r="I29" t="s">
        <v>797</v>
      </c>
      <c r="J29" t="s">
        <v>6</v>
      </c>
      <c r="K29" t="s">
        <v>798</v>
      </c>
      <c r="L29">
        <v>1191</v>
      </c>
      <c r="N29">
        <v>1013</v>
      </c>
      <c r="O29" t="s">
        <v>773</v>
      </c>
      <c r="P29" t="s">
        <v>773</v>
      </c>
      <c r="Q29">
        <v>1</v>
      </c>
      <c r="X29">
        <v>22.82</v>
      </c>
      <c r="Y29">
        <v>0</v>
      </c>
      <c r="Z29">
        <v>0</v>
      </c>
      <c r="AA29">
        <v>0</v>
      </c>
      <c r="AB29">
        <v>7.8</v>
      </c>
      <c r="AC29">
        <v>0</v>
      </c>
      <c r="AD29">
        <v>1</v>
      </c>
      <c r="AE29">
        <v>1</v>
      </c>
      <c r="AF29" t="s">
        <v>6</v>
      </c>
      <c r="AG29">
        <v>22.82</v>
      </c>
      <c r="AH29">
        <v>2</v>
      </c>
      <c r="AI29">
        <v>16813042</v>
      </c>
      <c r="AJ29">
        <v>24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ROW(Source!A36)</f>
        <v>36</v>
      </c>
      <c r="B30">
        <v>16814225</v>
      </c>
      <c r="C30">
        <v>16814224</v>
      </c>
      <c r="D30">
        <v>15446300</v>
      </c>
      <c r="E30">
        <v>1</v>
      </c>
      <c r="F30">
        <v>1</v>
      </c>
      <c r="G30">
        <v>1</v>
      </c>
      <c r="H30">
        <v>1</v>
      </c>
      <c r="I30" t="s">
        <v>780</v>
      </c>
      <c r="J30" t="s">
        <v>6</v>
      </c>
      <c r="K30" t="s">
        <v>781</v>
      </c>
      <c r="L30">
        <v>1191</v>
      </c>
      <c r="N30">
        <v>1013</v>
      </c>
      <c r="O30" t="s">
        <v>773</v>
      </c>
      <c r="P30" t="s">
        <v>773</v>
      </c>
      <c r="Q30">
        <v>1</v>
      </c>
      <c r="X30">
        <v>19</v>
      </c>
      <c r="Y30">
        <v>0</v>
      </c>
      <c r="Z30">
        <v>0</v>
      </c>
      <c r="AA30">
        <v>0</v>
      </c>
      <c r="AB30">
        <v>9.92</v>
      </c>
      <c r="AC30">
        <v>0</v>
      </c>
      <c r="AD30">
        <v>1</v>
      </c>
      <c r="AE30">
        <v>1</v>
      </c>
      <c r="AF30" t="s">
        <v>74</v>
      </c>
      <c r="AG30">
        <v>7.6000000000000005</v>
      </c>
      <c r="AH30">
        <v>2</v>
      </c>
      <c r="AI30">
        <v>16814225</v>
      </c>
      <c r="AJ30">
        <v>25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ROW(Source!A36)</f>
        <v>36</v>
      </c>
      <c r="B31">
        <v>16814226</v>
      </c>
      <c r="C31">
        <v>16814224</v>
      </c>
      <c r="D31">
        <v>15430395</v>
      </c>
      <c r="E31">
        <v>1</v>
      </c>
      <c r="F31">
        <v>1</v>
      </c>
      <c r="G31">
        <v>1</v>
      </c>
      <c r="H31">
        <v>1</v>
      </c>
      <c r="I31" t="s">
        <v>774</v>
      </c>
      <c r="J31" t="s">
        <v>6</v>
      </c>
      <c r="K31" t="s">
        <v>775</v>
      </c>
      <c r="L31">
        <v>1191</v>
      </c>
      <c r="N31">
        <v>1013</v>
      </c>
      <c r="O31" t="s">
        <v>773</v>
      </c>
      <c r="P31" t="s">
        <v>773</v>
      </c>
      <c r="Q31">
        <v>1</v>
      </c>
      <c r="X31">
        <v>0.2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2</v>
      </c>
      <c r="AF31" t="s">
        <v>74</v>
      </c>
      <c r="AG31">
        <v>8.0000000000000016E-2</v>
      </c>
      <c r="AH31">
        <v>2</v>
      </c>
      <c r="AI31">
        <v>16814226</v>
      </c>
      <c r="AJ31">
        <v>26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ROW(Source!A36)</f>
        <v>36</v>
      </c>
      <c r="B32">
        <v>16814227</v>
      </c>
      <c r="C32">
        <v>16814224</v>
      </c>
      <c r="D32">
        <v>15249073</v>
      </c>
      <c r="E32">
        <v>1</v>
      </c>
      <c r="F32">
        <v>1</v>
      </c>
      <c r="G32">
        <v>1</v>
      </c>
      <c r="H32">
        <v>2</v>
      </c>
      <c r="I32" t="s">
        <v>782</v>
      </c>
      <c r="J32" t="s">
        <v>783</v>
      </c>
      <c r="K32" t="s">
        <v>784</v>
      </c>
      <c r="L32">
        <v>1368</v>
      </c>
      <c r="N32">
        <v>1011</v>
      </c>
      <c r="O32" t="s">
        <v>779</v>
      </c>
      <c r="P32" t="s">
        <v>779</v>
      </c>
      <c r="Q32">
        <v>1</v>
      </c>
      <c r="X32">
        <v>0.2</v>
      </c>
      <c r="Y32">
        <v>0</v>
      </c>
      <c r="Z32">
        <v>65.709999999999994</v>
      </c>
      <c r="AA32">
        <v>11.6</v>
      </c>
      <c r="AB32">
        <v>0</v>
      </c>
      <c r="AC32">
        <v>0</v>
      </c>
      <c r="AD32">
        <v>1</v>
      </c>
      <c r="AE32">
        <v>0</v>
      </c>
      <c r="AF32" t="s">
        <v>74</v>
      </c>
      <c r="AG32">
        <v>8.0000000000000016E-2</v>
      </c>
      <c r="AH32">
        <v>2</v>
      </c>
      <c r="AI32">
        <v>16814227</v>
      </c>
      <c r="AJ32">
        <v>27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ROW(Source!A36)</f>
        <v>36</v>
      </c>
      <c r="B33">
        <v>16814228</v>
      </c>
      <c r="C33">
        <v>16814224</v>
      </c>
      <c r="D33">
        <v>15167963</v>
      </c>
      <c r="E33">
        <v>1</v>
      </c>
      <c r="F33">
        <v>1</v>
      </c>
      <c r="G33">
        <v>1</v>
      </c>
      <c r="H33">
        <v>3</v>
      </c>
      <c r="I33" t="s">
        <v>807</v>
      </c>
      <c r="J33" t="s">
        <v>808</v>
      </c>
      <c r="K33" t="s">
        <v>809</v>
      </c>
      <c r="L33">
        <v>1346</v>
      </c>
      <c r="N33">
        <v>1009</v>
      </c>
      <c r="O33" t="s">
        <v>277</v>
      </c>
      <c r="P33" t="s">
        <v>277</v>
      </c>
      <c r="Q33">
        <v>1</v>
      </c>
      <c r="X33">
        <v>0.02</v>
      </c>
      <c r="Y33">
        <v>37.29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31</v>
      </c>
      <c r="AG33">
        <v>0</v>
      </c>
      <c r="AH33">
        <v>2</v>
      </c>
      <c r="AI33">
        <v>16814228</v>
      </c>
      <c r="AJ33">
        <v>28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ROW(Source!A36)</f>
        <v>36</v>
      </c>
      <c r="B34">
        <v>16814229</v>
      </c>
      <c r="C34">
        <v>16814224</v>
      </c>
      <c r="D34">
        <v>15203740</v>
      </c>
      <c r="E34">
        <v>1</v>
      </c>
      <c r="F34">
        <v>1</v>
      </c>
      <c r="G34">
        <v>1</v>
      </c>
      <c r="H34">
        <v>3</v>
      </c>
      <c r="I34" t="s">
        <v>810</v>
      </c>
      <c r="J34" t="s">
        <v>811</v>
      </c>
      <c r="K34" t="s">
        <v>812</v>
      </c>
      <c r="L34">
        <v>1348</v>
      </c>
      <c r="N34">
        <v>1009</v>
      </c>
      <c r="O34" t="s">
        <v>145</v>
      </c>
      <c r="P34" t="s">
        <v>145</v>
      </c>
      <c r="Q34">
        <v>1000</v>
      </c>
      <c r="X34">
        <v>4.0000000000000003E-5</v>
      </c>
      <c r="Y34">
        <v>15119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31</v>
      </c>
      <c r="AG34">
        <v>0</v>
      </c>
      <c r="AH34">
        <v>2</v>
      </c>
      <c r="AI34">
        <v>16814229</v>
      </c>
      <c r="AJ34">
        <v>29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ROW(Source!A36)</f>
        <v>36</v>
      </c>
      <c r="B35">
        <v>16814230</v>
      </c>
      <c r="C35">
        <v>16814224</v>
      </c>
      <c r="D35">
        <v>15204468</v>
      </c>
      <c r="E35">
        <v>1</v>
      </c>
      <c r="F35">
        <v>1</v>
      </c>
      <c r="G35">
        <v>1</v>
      </c>
      <c r="H35">
        <v>3</v>
      </c>
      <c r="I35" t="s">
        <v>813</v>
      </c>
      <c r="J35" t="s">
        <v>814</v>
      </c>
      <c r="K35" t="s">
        <v>815</v>
      </c>
      <c r="L35">
        <v>1348</v>
      </c>
      <c r="N35">
        <v>1009</v>
      </c>
      <c r="O35" t="s">
        <v>145</v>
      </c>
      <c r="P35" t="s">
        <v>145</v>
      </c>
      <c r="Q35">
        <v>1000</v>
      </c>
      <c r="X35">
        <v>2.0000000000000002E-5</v>
      </c>
      <c r="Y35">
        <v>16950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31</v>
      </c>
      <c r="AG35">
        <v>0</v>
      </c>
      <c r="AH35">
        <v>2</v>
      </c>
      <c r="AI35">
        <v>16814230</v>
      </c>
      <c r="AJ35">
        <v>30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ROW(Source!A37)</f>
        <v>37</v>
      </c>
      <c r="B36">
        <v>16813054</v>
      </c>
      <c r="C36">
        <v>16813044</v>
      </c>
      <c r="D36">
        <v>15435721</v>
      </c>
      <c r="E36">
        <v>1</v>
      </c>
      <c r="F36">
        <v>1</v>
      </c>
      <c r="G36">
        <v>1</v>
      </c>
      <c r="H36">
        <v>1</v>
      </c>
      <c r="I36" t="s">
        <v>816</v>
      </c>
      <c r="J36" t="s">
        <v>6</v>
      </c>
      <c r="K36" t="s">
        <v>817</v>
      </c>
      <c r="L36">
        <v>1191</v>
      </c>
      <c r="N36">
        <v>1013</v>
      </c>
      <c r="O36" t="s">
        <v>773</v>
      </c>
      <c r="P36" t="s">
        <v>773</v>
      </c>
      <c r="Q36">
        <v>1</v>
      </c>
      <c r="X36">
        <v>50.6</v>
      </c>
      <c r="Y36">
        <v>0</v>
      </c>
      <c r="Z36">
        <v>0</v>
      </c>
      <c r="AA36">
        <v>0</v>
      </c>
      <c r="AB36">
        <v>9.51</v>
      </c>
      <c r="AC36">
        <v>0</v>
      </c>
      <c r="AD36">
        <v>1</v>
      </c>
      <c r="AE36">
        <v>1</v>
      </c>
      <c r="AF36" t="s">
        <v>83</v>
      </c>
      <c r="AG36">
        <v>40.480000000000004</v>
      </c>
      <c r="AH36">
        <v>2</v>
      </c>
      <c r="AI36">
        <v>16813045</v>
      </c>
      <c r="AJ36">
        <v>31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ROW(Source!A37)</f>
        <v>37</v>
      </c>
      <c r="B37">
        <v>16813055</v>
      </c>
      <c r="C37">
        <v>16813044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774</v>
      </c>
      <c r="J37" t="s">
        <v>6</v>
      </c>
      <c r="K37" t="s">
        <v>775</v>
      </c>
      <c r="L37">
        <v>1191</v>
      </c>
      <c r="N37">
        <v>1013</v>
      </c>
      <c r="O37" t="s">
        <v>773</v>
      </c>
      <c r="P37" t="s">
        <v>773</v>
      </c>
      <c r="Q37">
        <v>1</v>
      </c>
      <c r="X37">
        <v>1.42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83</v>
      </c>
      <c r="AG37">
        <v>1.1359999999999999</v>
      </c>
      <c r="AH37">
        <v>2</v>
      </c>
      <c r="AI37">
        <v>16813046</v>
      </c>
      <c r="AJ37">
        <v>32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ROW(Source!A37)</f>
        <v>37</v>
      </c>
      <c r="B38">
        <v>16813056</v>
      </c>
      <c r="C38">
        <v>16813044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776</v>
      </c>
      <c r="J38" t="s">
        <v>777</v>
      </c>
      <c r="K38" t="s">
        <v>778</v>
      </c>
      <c r="L38">
        <v>1368</v>
      </c>
      <c r="N38">
        <v>1011</v>
      </c>
      <c r="O38" t="s">
        <v>779</v>
      </c>
      <c r="P38" t="s">
        <v>779</v>
      </c>
      <c r="Q38">
        <v>1</v>
      </c>
      <c r="X38">
        <v>0.22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83</v>
      </c>
      <c r="AG38">
        <v>0.17600000000000002</v>
      </c>
      <c r="AH38">
        <v>2</v>
      </c>
      <c r="AI38">
        <v>16813047</v>
      </c>
      <c r="AJ38">
        <v>33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ROW(Source!A37)</f>
        <v>37</v>
      </c>
      <c r="B39">
        <v>16813057</v>
      </c>
      <c r="C39">
        <v>16813044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782</v>
      </c>
      <c r="J39" t="s">
        <v>783</v>
      </c>
      <c r="K39" t="s">
        <v>784</v>
      </c>
      <c r="L39">
        <v>1368</v>
      </c>
      <c r="N39">
        <v>1011</v>
      </c>
      <c r="O39" t="s">
        <v>779</v>
      </c>
      <c r="P39" t="s">
        <v>779</v>
      </c>
      <c r="Q39">
        <v>1</v>
      </c>
      <c r="X39">
        <v>1.2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83</v>
      </c>
      <c r="AG39">
        <v>0.96</v>
      </c>
      <c r="AH39">
        <v>2</v>
      </c>
      <c r="AI39">
        <v>16813048</v>
      </c>
      <c r="AJ39">
        <v>34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ROW(Source!A37)</f>
        <v>37</v>
      </c>
      <c r="B40">
        <v>16813058</v>
      </c>
      <c r="C40">
        <v>16813044</v>
      </c>
      <c r="D40">
        <v>15167277</v>
      </c>
      <c r="E40">
        <v>1</v>
      </c>
      <c r="F40">
        <v>1</v>
      </c>
      <c r="G40">
        <v>1</v>
      </c>
      <c r="H40">
        <v>3</v>
      </c>
      <c r="I40" t="s">
        <v>818</v>
      </c>
      <c r="J40" t="s">
        <v>819</v>
      </c>
      <c r="K40" t="s">
        <v>820</v>
      </c>
      <c r="L40">
        <v>1348</v>
      </c>
      <c r="N40">
        <v>1009</v>
      </c>
      <c r="O40" t="s">
        <v>145</v>
      </c>
      <c r="P40" t="s">
        <v>145</v>
      </c>
      <c r="Q40">
        <v>1000</v>
      </c>
      <c r="X40">
        <v>0.01</v>
      </c>
      <c r="Y40">
        <v>5650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31</v>
      </c>
      <c r="AG40">
        <v>0</v>
      </c>
      <c r="AH40">
        <v>2</v>
      </c>
      <c r="AI40">
        <v>16813049</v>
      </c>
      <c r="AJ40">
        <v>35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ROW(Source!A37)</f>
        <v>37</v>
      </c>
      <c r="B41">
        <v>16813059</v>
      </c>
      <c r="C41">
        <v>16813044</v>
      </c>
      <c r="D41">
        <v>15170447</v>
      </c>
      <c r="E41">
        <v>1</v>
      </c>
      <c r="F41">
        <v>1</v>
      </c>
      <c r="G41">
        <v>1</v>
      </c>
      <c r="H41">
        <v>3</v>
      </c>
      <c r="I41" t="s">
        <v>821</v>
      </c>
      <c r="J41" t="s">
        <v>822</v>
      </c>
      <c r="K41" t="s">
        <v>823</v>
      </c>
      <c r="L41">
        <v>1348</v>
      </c>
      <c r="N41">
        <v>1009</v>
      </c>
      <c r="O41" t="s">
        <v>145</v>
      </c>
      <c r="P41" t="s">
        <v>145</v>
      </c>
      <c r="Q41">
        <v>1000</v>
      </c>
      <c r="X41">
        <v>8.4000000000000003E-4</v>
      </c>
      <c r="Y41">
        <v>11350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31</v>
      </c>
      <c r="AG41">
        <v>0</v>
      </c>
      <c r="AH41">
        <v>2</v>
      </c>
      <c r="AI41">
        <v>16813050</v>
      </c>
      <c r="AJ41">
        <v>36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ROW(Source!A37)</f>
        <v>37</v>
      </c>
      <c r="B42">
        <v>16813060</v>
      </c>
      <c r="C42">
        <v>16813044</v>
      </c>
      <c r="D42">
        <v>15171018</v>
      </c>
      <c r="E42">
        <v>1</v>
      </c>
      <c r="F42">
        <v>1</v>
      </c>
      <c r="G42">
        <v>1</v>
      </c>
      <c r="H42">
        <v>3</v>
      </c>
      <c r="I42" t="s">
        <v>824</v>
      </c>
      <c r="J42" t="s">
        <v>825</v>
      </c>
      <c r="K42" t="s">
        <v>826</v>
      </c>
      <c r="L42">
        <v>1346</v>
      </c>
      <c r="N42">
        <v>1009</v>
      </c>
      <c r="O42" t="s">
        <v>277</v>
      </c>
      <c r="P42" t="s">
        <v>277</v>
      </c>
      <c r="Q42">
        <v>1</v>
      </c>
      <c r="X42">
        <v>0.2</v>
      </c>
      <c r="Y42">
        <v>1.82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31</v>
      </c>
      <c r="AG42">
        <v>0</v>
      </c>
      <c r="AH42">
        <v>2</v>
      </c>
      <c r="AI42">
        <v>16813051</v>
      </c>
      <c r="AJ42">
        <v>37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ROW(Source!A37)</f>
        <v>37</v>
      </c>
      <c r="B43">
        <v>16813061</v>
      </c>
      <c r="C43">
        <v>16813044</v>
      </c>
      <c r="D43">
        <v>15162988</v>
      </c>
      <c r="E43">
        <v>17</v>
      </c>
      <c r="F43">
        <v>1</v>
      </c>
      <c r="G43">
        <v>1</v>
      </c>
      <c r="H43">
        <v>3</v>
      </c>
      <c r="I43" t="s">
        <v>1118</v>
      </c>
      <c r="J43" t="s">
        <v>6</v>
      </c>
      <c r="K43" t="s">
        <v>1119</v>
      </c>
      <c r="L43">
        <v>1327</v>
      </c>
      <c r="N43">
        <v>1005</v>
      </c>
      <c r="O43" t="s">
        <v>28</v>
      </c>
      <c r="P43" t="s">
        <v>28</v>
      </c>
      <c r="Q43">
        <v>1</v>
      </c>
      <c r="X43">
        <v>102.5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 t="s">
        <v>31</v>
      </c>
      <c r="AG43">
        <v>0</v>
      </c>
      <c r="AH43">
        <v>3</v>
      </c>
      <c r="AI43">
        <v>-1</v>
      </c>
      <c r="AJ43" t="s">
        <v>6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ROW(Source!A37)</f>
        <v>37</v>
      </c>
      <c r="B44">
        <v>16813062</v>
      </c>
      <c r="C44">
        <v>16813044</v>
      </c>
      <c r="D44">
        <v>15203980</v>
      </c>
      <c r="E44">
        <v>1</v>
      </c>
      <c r="F44">
        <v>1</v>
      </c>
      <c r="G44">
        <v>1</v>
      </c>
      <c r="H44">
        <v>3</v>
      </c>
      <c r="I44" t="s">
        <v>827</v>
      </c>
      <c r="J44" t="s">
        <v>828</v>
      </c>
      <c r="K44" t="s">
        <v>829</v>
      </c>
      <c r="L44">
        <v>1348</v>
      </c>
      <c r="N44">
        <v>1009</v>
      </c>
      <c r="O44" t="s">
        <v>145</v>
      </c>
      <c r="P44" t="s">
        <v>145</v>
      </c>
      <c r="Q44">
        <v>1000</v>
      </c>
      <c r="X44">
        <v>1.1000000000000001E-3</v>
      </c>
      <c r="Y44">
        <v>33640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31</v>
      </c>
      <c r="AG44">
        <v>0</v>
      </c>
      <c r="AH44">
        <v>2</v>
      </c>
      <c r="AI44">
        <v>16813052</v>
      </c>
      <c r="AJ44">
        <v>38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ROW(Source!A37)</f>
        <v>37</v>
      </c>
      <c r="B45">
        <v>16813063</v>
      </c>
      <c r="C45">
        <v>16813044</v>
      </c>
      <c r="D45">
        <v>15204665</v>
      </c>
      <c r="E45">
        <v>1</v>
      </c>
      <c r="F45">
        <v>1</v>
      </c>
      <c r="G45">
        <v>1</v>
      </c>
      <c r="H45">
        <v>3</v>
      </c>
      <c r="I45" t="s">
        <v>830</v>
      </c>
      <c r="J45" t="s">
        <v>831</v>
      </c>
      <c r="K45" t="s">
        <v>832</v>
      </c>
      <c r="L45">
        <v>1348</v>
      </c>
      <c r="N45">
        <v>1009</v>
      </c>
      <c r="O45" t="s">
        <v>145</v>
      </c>
      <c r="P45" t="s">
        <v>145</v>
      </c>
      <c r="Q45">
        <v>1000</v>
      </c>
      <c r="X45">
        <v>3.0000000000000001E-3</v>
      </c>
      <c r="Y45">
        <v>5479.9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31</v>
      </c>
      <c r="AG45">
        <v>0</v>
      </c>
      <c r="AH45">
        <v>2</v>
      </c>
      <c r="AI45">
        <v>16813053</v>
      </c>
      <c r="AJ45">
        <v>39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ROW(Source!A38)</f>
        <v>38</v>
      </c>
      <c r="B46">
        <v>16813087</v>
      </c>
      <c r="C46">
        <v>16813084</v>
      </c>
      <c r="D46">
        <v>15436556</v>
      </c>
      <c r="E46">
        <v>1</v>
      </c>
      <c r="F46">
        <v>1</v>
      </c>
      <c r="G46">
        <v>1</v>
      </c>
      <c r="H46">
        <v>1</v>
      </c>
      <c r="I46" t="s">
        <v>833</v>
      </c>
      <c r="J46" t="s">
        <v>6</v>
      </c>
      <c r="K46" t="s">
        <v>834</v>
      </c>
      <c r="L46">
        <v>1191</v>
      </c>
      <c r="N46">
        <v>1013</v>
      </c>
      <c r="O46" t="s">
        <v>773</v>
      </c>
      <c r="P46" t="s">
        <v>773</v>
      </c>
      <c r="Q46">
        <v>1</v>
      </c>
      <c r="X46">
        <v>2.8</v>
      </c>
      <c r="Y46">
        <v>0</v>
      </c>
      <c r="Z46">
        <v>0</v>
      </c>
      <c r="AA46">
        <v>0</v>
      </c>
      <c r="AB46">
        <v>9.6199999999999992</v>
      </c>
      <c r="AC46">
        <v>0</v>
      </c>
      <c r="AD46">
        <v>1</v>
      </c>
      <c r="AE46">
        <v>1</v>
      </c>
      <c r="AF46" t="s">
        <v>74</v>
      </c>
      <c r="AG46">
        <v>1.1199999999999999</v>
      </c>
      <c r="AH46">
        <v>2</v>
      </c>
      <c r="AI46">
        <v>16813085</v>
      </c>
      <c r="AJ46">
        <v>40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ROW(Source!A38)</f>
        <v>38</v>
      </c>
      <c r="B47">
        <v>16813088</v>
      </c>
      <c r="C47">
        <v>16813084</v>
      </c>
      <c r="D47">
        <v>15163011</v>
      </c>
      <c r="E47">
        <v>17</v>
      </c>
      <c r="F47">
        <v>1</v>
      </c>
      <c r="G47">
        <v>1</v>
      </c>
      <c r="H47">
        <v>3</v>
      </c>
      <c r="I47" t="s">
        <v>1120</v>
      </c>
      <c r="J47" t="s">
        <v>6</v>
      </c>
      <c r="K47" t="s">
        <v>1121</v>
      </c>
      <c r="L47">
        <v>1358</v>
      </c>
      <c r="N47">
        <v>1010</v>
      </c>
      <c r="O47" t="s">
        <v>516</v>
      </c>
      <c r="P47" t="s">
        <v>516</v>
      </c>
      <c r="Q47">
        <v>10</v>
      </c>
      <c r="X47">
        <v>2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 t="s">
        <v>31</v>
      </c>
      <c r="AG47">
        <v>0</v>
      </c>
      <c r="AH47">
        <v>3</v>
      </c>
      <c r="AI47">
        <v>-1</v>
      </c>
      <c r="AJ47" t="s">
        <v>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ROW(Source!A38)</f>
        <v>38</v>
      </c>
      <c r="B48">
        <v>16813089</v>
      </c>
      <c r="C48">
        <v>16813084</v>
      </c>
      <c r="D48">
        <v>15162072</v>
      </c>
      <c r="E48">
        <v>17</v>
      </c>
      <c r="F48">
        <v>1</v>
      </c>
      <c r="G48">
        <v>1</v>
      </c>
      <c r="H48">
        <v>3</v>
      </c>
      <c r="I48" t="s">
        <v>1122</v>
      </c>
      <c r="J48" t="s">
        <v>6</v>
      </c>
      <c r="K48" t="s">
        <v>1123</v>
      </c>
      <c r="L48">
        <v>1348</v>
      </c>
      <c r="N48">
        <v>1009</v>
      </c>
      <c r="O48" t="s">
        <v>145</v>
      </c>
      <c r="P48" t="s">
        <v>145</v>
      </c>
      <c r="Q48">
        <v>1000</v>
      </c>
      <c r="X48">
        <v>1.3999999999999999E-4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31</v>
      </c>
      <c r="AG48">
        <v>0</v>
      </c>
      <c r="AH48">
        <v>3</v>
      </c>
      <c r="AI48">
        <v>-1</v>
      </c>
      <c r="AJ48" t="s">
        <v>6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ROW(Source!A38)</f>
        <v>38</v>
      </c>
      <c r="B49">
        <v>16813090</v>
      </c>
      <c r="C49">
        <v>16813084</v>
      </c>
      <c r="D49">
        <v>15189796</v>
      </c>
      <c r="E49">
        <v>1</v>
      </c>
      <c r="F49">
        <v>1</v>
      </c>
      <c r="G49">
        <v>1</v>
      </c>
      <c r="H49">
        <v>3</v>
      </c>
      <c r="I49" t="s">
        <v>835</v>
      </c>
      <c r="J49" t="s">
        <v>836</v>
      </c>
      <c r="K49" t="s">
        <v>837</v>
      </c>
      <c r="L49">
        <v>1348</v>
      </c>
      <c r="N49">
        <v>1009</v>
      </c>
      <c r="O49" t="s">
        <v>145</v>
      </c>
      <c r="P49" t="s">
        <v>145</v>
      </c>
      <c r="Q49">
        <v>1000</v>
      </c>
      <c r="X49">
        <v>1E-4</v>
      </c>
      <c r="Y49">
        <v>5989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31</v>
      </c>
      <c r="AG49">
        <v>0</v>
      </c>
      <c r="AH49">
        <v>2</v>
      </c>
      <c r="AI49">
        <v>16813086</v>
      </c>
      <c r="AJ49">
        <v>41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ROW(Source!A38)</f>
        <v>38</v>
      </c>
      <c r="B50">
        <v>16813091</v>
      </c>
      <c r="C50">
        <v>16813084</v>
      </c>
      <c r="D50">
        <v>15163210</v>
      </c>
      <c r="E50">
        <v>17</v>
      </c>
      <c r="F50">
        <v>1</v>
      </c>
      <c r="G50">
        <v>1</v>
      </c>
      <c r="H50">
        <v>3</v>
      </c>
      <c r="I50" t="s">
        <v>1124</v>
      </c>
      <c r="J50" t="s">
        <v>6</v>
      </c>
      <c r="K50" t="s">
        <v>1125</v>
      </c>
      <c r="L50">
        <v>1354</v>
      </c>
      <c r="N50">
        <v>1010</v>
      </c>
      <c r="O50" t="s">
        <v>62</v>
      </c>
      <c r="P50" t="s">
        <v>62</v>
      </c>
      <c r="Q50">
        <v>1</v>
      </c>
      <c r="X50">
        <v>10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31</v>
      </c>
      <c r="AG50">
        <v>0</v>
      </c>
      <c r="AH50">
        <v>3</v>
      </c>
      <c r="AI50">
        <v>-1</v>
      </c>
      <c r="AJ50" t="s">
        <v>6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ROW(Source!A39)</f>
        <v>39</v>
      </c>
      <c r="B51">
        <v>16813096</v>
      </c>
      <c r="C51">
        <v>16813092</v>
      </c>
      <c r="D51">
        <v>15436556</v>
      </c>
      <c r="E51">
        <v>1</v>
      </c>
      <c r="F51">
        <v>1</v>
      </c>
      <c r="G51">
        <v>1</v>
      </c>
      <c r="H51">
        <v>1</v>
      </c>
      <c r="I51" t="s">
        <v>833</v>
      </c>
      <c r="J51" t="s">
        <v>6</v>
      </c>
      <c r="K51" t="s">
        <v>834</v>
      </c>
      <c r="L51">
        <v>1191</v>
      </c>
      <c r="N51">
        <v>1013</v>
      </c>
      <c r="O51" t="s">
        <v>773</v>
      </c>
      <c r="P51" t="s">
        <v>773</v>
      </c>
      <c r="Q51">
        <v>1</v>
      </c>
      <c r="X51">
        <v>2.8</v>
      </c>
      <c r="Y51">
        <v>0</v>
      </c>
      <c r="Z51">
        <v>0</v>
      </c>
      <c r="AA51">
        <v>0</v>
      </c>
      <c r="AB51">
        <v>9.6199999999999992</v>
      </c>
      <c r="AC51">
        <v>0</v>
      </c>
      <c r="AD51">
        <v>1</v>
      </c>
      <c r="AE51">
        <v>1</v>
      </c>
      <c r="AF51" t="s">
        <v>6</v>
      </c>
      <c r="AG51">
        <v>2.8</v>
      </c>
      <c r="AH51">
        <v>2</v>
      </c>
      <c r="AI51">
        <v>16813093</v>
      </c>
      <c r="AJ51">
        <v>42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ROW(Source!A39)</f>
        <v>39</v>
      </c>
      <c r="B52">
        <v>16813097</v>
      </c>
      <c r="C52">
        <v>16813092</v>
      </c>
      <c r="D52">
        <v>15163011</v>
      </c>
      <c r="E52">
        <v>17</v>
      </c>
      <c r="F52">
        <v>1</v>
      </c>
      <c r="G52">
        <v>1</v>
      </c>
      <c r="H52">
        <v>3</v>
      </c>
      <c r="I52" t="s">
        <v>1120</v>
      </c>
      <c r="J52" t="s">
        <v>6</v>
      </c>
      <c r="K52" t="s">
        <v>1121</v>
      </c>
      <c r="L52">
        <v>1358</v>
      </c>
      <c r="N52">
        <v>1010</v>
      </c>
      <c r="O52" t="s">
        <v>516</v>
      </c>
      <c r="P52" t="s">
        <v>516</v>
      </c>
      <c r="Q52">
        <v>10</v>
      </c>
      <c r="X52">
        <v>2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6</v>
      </c>
      <c r="AG52">
        <v>2</v>
      </c>
      <c r="AH52">
        <v>3</v>
      </c>
      <c r="AI52">
        <v>-1</v>
      </c>
      <c r="AJ52" t="s">
        <v>6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ROW(Source!A39)</f>
        <v>39</v>
      </c>
      <c r="B53">
        <v>16813098</v>
      </c>
      <c r="C53">
        <v>16813092</v>
      </c>
      <c r="D53">
        <v>15162072</v>
      </c>
      <c r="E53">
        <v>17</v>
      </c>
      <c r="F53">
        <v>1</v>
      </c>
      <c r="G53">
        <v>1</v>
      </c>
      <c r="H53">
        <v>3</v>
      </c>
      <c r="I53" t="s">
        <v>1122</v>
      </c>
      <c r="J53" t="s">
        <v>6</v>
      </c>
      <c r="K53" t="s">
        <v>1123</v>
      </c>
      <c r="L53">
        <v>1348</v>
      </c>
      <c r="N53">
        <v>1009</v>
      </c>
      <c r="O53" t="s">
        <v>145</v>
      </c>
      <c r="P53" t="s">
        <v>145</v>
      </c>
      <c r="Q53">
        <v>1000</v>
      </c>
      <c r="X53">
        <v>1.3999999999999999E-4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 t="s">
        <v>6</v>
      </c>
      <c r="AG53">
        <v>1.3999999999999999E-4</v>
      </c>
      <c r="AH53">
        <v>3</v>
      </c>
      <c r="AI53">
        <v>-1</v>
      </c>
      <c r="AJ53" t="s">
        <v>6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ROW(Source!A39)</f>
        <v>39</v>
      </c>
      <c r="B54">
        <v>16813099</v>
      </c>
      <c r="C54">
        <v>16813092</v>
      </c>
      <c r="D54">
        <v>15189796</v>
      </c>
      <c r="E54">
        <v>1</v>
      </c>
      <c r="F54">
        <v>1</v>
      </c>
      <c r="G54">
        <v>1</v>
      </c>
      <c r="H54">
        <v>3</v>
      </c>
      <c r="I54" t="s">
        <v>835</v>
      </c>
      <c r="J54" t="s">
        <v>836</v>
      </c>
      <c r="K54" t="s">
        <v>837</v>
      </c>
      <c r="L54">
        <v>1348</v>
      </c>
      <c r="N54">
        <v>1009</v>
      </c>
      <c r="O54" t="s">
        <v>145</v>
      </c>
      <c r="P54" t="s">
        <v>145</v>
      </c>
      <c r="Q54">
        <v>1000</v>
      </c>
      <c r="X54">
        <v>1E-4</v>
      </c>
      <c r="Y54">
        <v>5989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6</v>
      </c>
      <c r="AG54">
        <v>1E-4</v>
      </c>
      <c r="AH54">
        <v>2</v>
      </c>
      <c r="AI54">
        <v>16813094</v>
      </c>
      <c r="AJ54">
        <v>43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ROW(Source!A39)</f>
        <v>39</v>
      </c>
      <c r="B55">
        <v>16813100</v>
      </c>
      <c r="C55">
        <v>16813092</v>
      </c>
      <c r="D55">
        <v>15163210</v>
      </c>
      <c r="E55">
        <v>17</v>
      </c>
      <c r="F55">
        <v>1</v>
      </c>
      <c r="G55">
        <v>1</v>
      </c>
      <c r="H55">
        <v>3</v>
      </c>
      <c r="I55" t="s">
        <v>1124</v>
      </c>
      <c r="J55" t="s">
        <v>6</v>
      </c>
      <c r="K55" t="s">
        <v>1125</v>
      </c>
      <c r="L55">
        <v>1354</v>
      </c>
      <c r="N55">
        <v>1010</v>
      </c>
      <c r="O55" t="s">
        <v>62</v>
      </c>
      <c r="P55" t="s">
        <v>62</v>
      </c>
      <c r="Q55">
        <v>1</v>
      </c>
      <c r="X55">
        <v>10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6</v>
      </c>
      <c r="AG55">
        <v>10</v>
      </c>
      <c r="AH55">
        <v>3</v>
      </c>
      <c r="AI55">
        <v>-1</v>
      </c>
      <c r="AJ55" t="s">
        <v>6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ROW(Source!A41)</f>
        <v>41</v>
      </c>
      <c r="B56">
        <v>16813112</v>
      </c>
      <c r="C56">
        <v>16813102</v>
      </c>
      <c r="D56">
        <v>15446300</v>
      </c>
      <c r="E56">
        <v>1</v>
      </c>
      <c r="F56">
        <v>1</v>
      </c>
      <c r="G56">
        <v>1</v>
      </c>
      <c r="H56">
        <v>1</v>
      </c>
      <c r="I56" t="s">
        <v>780</v>
      </c>
      <c r="J56" t="s">
        <v>6</v>
      </c>
      <c r="K56" t="s">
        <v>781</v>
      </c>
      <c r="L56">
        <v>1191</v>
      </c>
      <c r="N56">
        <v>1013</v>
      </c>
      <c r="O56" t="s">
        <v>773</v>
      </c>
      <c r="P56" t="s">
        <v>773</v>
      </c>
      <c r="Q56">
        <v>1</v>
      </c>
      <c r="X56">
        <v>2.4</v>
      </c>
      <c r="Y56">
        <v>0</v>
      </c>
      <c r="Z56">
        <v>0</v>
      </c>
      <c r="AA56">
        <v>0</v>
      </c>
      <c r="AB56">
        <v>9.92</v>
      </c>
      <c r="AC56">
        <v>0</v>
      </c>
      <c r="AD56">
        <v>1</v>
      </c>
      <c r="AE56">
        <v>1</v>
      </c>
      <c r="AF56" t="s">
        <v>104</v>
      </c>
      <c r="AG56">
        <v>2.76</v>
      </c>
      <c r="AH56">
        <v>2</v>
      </c>
      <c r="AI56">
        <v>16813103</v>
      </c>
      <c r="AJ56">
        <v>45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ROW(Source!A41)</f>
        <v>41</v>
      </c>
      <c r="B57">
        <v>16813113</v>
      </c>
      <c r="C57">
        <v>16813102</v>
      </c>
      <c r="D57">
        <v>15430395</v>
      </c>
      <c r="E57">
        <v>1</v>
      </c>
      <c r="F57">
        <v>1</v>
      </c>
      <c r="G57">
        <v>1</v>
      </c>
      <c r="H57">
        <v>1</v>
      </c>
      <c r="I57" t="s">
        <v>774</v>
      </c>
      <c r="J57" t="s">
        <v>6</v>
      </c>
      <c r="K57" t="s">
        <v>775</v>
      </c>
      <c r="L57">
        <v>1191</v>
      </c>
      <c r="N57">
        <v>1013</v>
      </c>
      <c r="O57" t="s">
        <v>773</v>
      </c>
      <c r="P57" t="s">
        <v>773</v>
      </c>
      <c r="Q57">
        <v>1</v>
      </c>
      <c r="X57">
        <v>0.17</v>
      </c>
      <c r="Y57">
        <v>0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2</v>
      </c>
      <c r="AF57" t="s">
        <v>103</v>
      </c>
      <c r="AG57">
        <v>0.21250000000000002</v>
      </c>
      <c r="AH57">
        <v>2</v>
      </c>
      <c r="AI57">
        <v>16813104</v>
      </c>
      <c r="AJ57">
        <v>46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ROW(Source!A41)</f>
        <v>41</v>
      </c>
      <c r="B58">
        <v>16813114</v>
      </c>
      <c r="C58">
        <v>16813102</v>
      </c>
      <c r="D58">
        <v>15249073</v>
      </c>
      <c r="E58">
        <v>1</v>
      </c>
      <c r="F58">
        <v>1</v>
      </c>
      <c r="G58">
        <v>1</v>
      </c>
      <c r="H58">
        <v>2</v>
      </c>
      <c r="I58" t="s">
        <v>782</v>
      </c>
      <c r="J58" t="s">
        <v>783</v>
      </c>
      <c r="K58" t="s">
        <v>784</v>
      </c>
      <c r="L58">
        <v>1368</v>
      </c>
      <c r="N58">
        <v>1011</v>
      </c>
      <c r="O58" t="s">
        <v>779</v>
      </c>
      <c r="P58" t="s">
        <v>779</v>
      </c>
      <c r="Q58">
        <v>1</v>
      </c>
      <c r="X58">
        <v>0.17</v>
      </c>
      <c r="Y58">
        <v>0</v>
      </c>
      <c r="Z58">
        <v>65.709999999999994</v>
      </c>
      <c r="AA58">
        <v>11.6</v>
      </c>
      <c r="AB58">
        <v>0</v>
      </c>
      <c r="AC58">
        <v>0</v>
      </c>
      <c r="AD58">
        <v>1</v>
      </c>
      <c r="AE58">
        <v>0</v>
      </c>
      <c r="AF58" t="s">
        <v>103</v>
      </c>
      <c r="AG58">
        <v>0.21250000000000002</v>
      </c>
      <c r="AH58">
        <v>2</v>
      </c>
      <c r="AI58">
        <v>16813105</v>
      </c>
      <c r="AJ58">
        <v>47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ROW(Source!A41)</f>
        <v>41</v>
      </c>
      <c r="B59">
        <v>16813115</v>
      </c>
      <c r="C59">
        <v>16813102</v>
      </c>
      <c r="D59">
        <v>15249377</v>
      </c>
      <c r="E59">
        <v>1</v>
      </c>
      <c r="F59">
        <v>1</v>
      </c>
      <c r="G59">
        <v>1</v>
      </c>
      <c r="H59">
        <v>2</v>
      </c>
      <c r="I59" t="s">
        <v>785</v>
      </c>
      <c r="J59" t="s">
        <v>786</v>
      </c>
      <c r="K59" t="s">
        <v>787</v>
      </c>
      <c r="L59">
        <v>1368</v>
      </c>
      <c r="N59">
        <v>1011</v>
      </c>
      <c r="O59" t="s">
        <v>779</v>
      </c>
      <c r="P59" t="s">
        <v>779</v>
      </c>
      <c r="Q59">
        <v>1</v>
      </c>
      <c r="X59">
        <v>0.4</v>
      </c>
      <c r="Y59">
        <v>0</v>
      </c>
      <c r="Z59">
        <v>8.1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103</v>
      </c>
      <c r="AG59">
        <v>0.5</v>
      </c>
      <c r="AH59">
        <v>2</v>
      </c>
      <c r="AI59">
        <v>16813106</v>
      </c>
      <c r="AJ59">
        <v>48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ROW(Source!A41)</f>
        <v>41</v>
      </c>
      <c r="B60">
        <v>16813116</v>
      </c>
      <c r="C60">
        <v>16813102</v>
      </c>
      <c r="D60">
        <v>15162381</v>
      </c>
      <c r="E60">
        <v>17</v>
      </c>
      <c r="F60">
        <v>1</v>
      </c>
      <c r="G60">
        <v>1</v>
      </c>
      <c r="H60">
        <v>3</v>
      </c>
      <c r="I60" t="s">
        <v>1112</v>
      </c>
      <c r="J60" t="s">
        <v>6</v>
      </c>
      <c r="K60" t="s">
        <v>1113</v>
      </c>
      <c r="L60">
        <v>1035</v>
      </c>
      <c r="N60">
        <v>1013</v>
      </c>
      <c r="O60" t="s">
        <v>127</v>
      </c>
      <c r="P60" t="s">
        <v>127</v>
      </c>
      <c r="Q60">
        <v>1</v>
      </c>
      <c r="X60">
        <v>0</v>
      </c>
      <c r="Y60">
        <v>0</v>
      </c>
      <c r="Z60">
        <v>0</v>
      </c>
      <c r="AA60">
        <v>0</v>
      </c>
      <c r="AB60">
        <v>0</v>
      </c>
      <c r="AC60">
        <v>1</v>
      </c>
      <c r="AD60">
        <v>0</v>
      </c>
      <c r="AE60">
        <v>0</v>
      </c>
      <c r="AF60" t="s">
        <v>6</v>
      </c>
      <c r="AG60">
        <v>0</v>
      </c>
      <c r="AH60">
        <v>3</v>
      </c>
      <c r="AI60">
        <v>-1</v>
      </c>
      <c r="AJ60" t="s">
        <v>6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ROW(Source!A41)</f>
        <v>41</v>
      </c>
      <c r="B61">
        <v>16813117</v>
      </c>
      <c r="C61">
        <v>16813102</v>
      </c>
      <c r="D61">
        <v>15168750</v>
      </c>
      <c r="E61">
        <v>1</v>
      </c>
      <c r="F61">
        <v>1</v>
      </c>
      <c r="G61">
        <v>1</v>
      </c>
      <c r="H61">
        <v>3</v>
      </c>
      <c r="I61" t="s">
        <v>788</v>
      </c>
      <c r="J61" t="s">
        <v>789</v>
      </c>
      <c r="K61" t="s">
        <v>790</v>
      </c>
      <c r="L61">
        <v>1348</v>
      </c>
      <c r="N61">
        <v>1009</v>
      </c>
      <c r="O61" t="s">
        <v>145</v>
      </c>
      <c r="P61" t="s">
        <v>145</v>
      </c>
      <c r="Q61">
        <v>1000</v>
      </c>
      <c r="X61">
        <v>1E-4</v>
      </c>
      <c r="Y61">
        <v>10315.01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6</v>
      </c>
      <c r="AG61">
        <v>1E-4</v>
      </c>
      <c r="AH61">
        <v>2</v>
      </c>
      <c r="AI61">
        <v>16813107</v>
      </c>
      <c r="AJ61">
        <v>49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ROW(Source!A41)</f>
        <v>41</v>
      </c>
      <c r="B62">
        <v>16813118</v>
      </c>
      <c r="C62">
        <v>16813102</v>
      </c>
      <c r="D62">
        <v>15162386</v>
      </c>
      <c r="E62">
        <v>17</v>
      </c>
      <c r="F62">
        <v>1</v>
      </c>
      <c r="G62">
        <v>1</v>
      </c>
      <c r="H62">
        <v>3</v>
      </c>
      <c r="I62" t="s">
        <v>1114</v>
      </c>
      <c r="J62" t="s">
        <v>6</v>
      </c>
      <c r="K62" t="s">
        <v>1115</v>
      </c>
      <c r="L62">
        <v>1327</v>
      </c>
      <c r="N62">
        <v>1005</v>
      </c>
      <c r="O62" t="s">
        <v>28</v>
      </c>
      <c r="P62" t="s">
        <v>28</v>
      </c>
      <c r="Q62">
        <v>1</v>
      </c>
      <c r="X62">
        <v>1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 t="s">
        <v>6</v>
      </c>
      <c r="AG62">
        <v>1</v>
      </c>
      <c r="AH62">
        <v>3</v>
      </c>
      <c r="AI62">
        <v>-1</v>
      </c>
      <c r="AJ62" t="s">
        <v>6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ROW(Source!A41)</f>
        <v>41</v>
      </c>
      <c r="B63">
        <v>16813119</v>
      </c>
      <c r="C63">
        <v>16813102</v>
      </c>
      <c r="D63">
        <v>15192019</v>
      </c>
      <c r="E63">
        <v>1</v>
      </c>
      <c r="F63">
        <v>1</v>
      </c>
      <c r="G63">
        <v>1</v>
      </c>
      <c r="H63">
        <v>3</v>
      </c>
      <c r="I63" t="s">
        <v>791</v>
      </c>
      <c r="J63" t="s">
        <v>792</v>
      </c>
      <c r="K63" t="s">
        <v>793</v>
      </c>
      <c r="L63">
        <v>1348</v>
      </c>
      <c r="N63">
        <v>1009</v>
      </c>
      <c r="O63" t="s">
        <v>145</v>
      </c>
      <c r="P63" t="s">
        <v>145</v>
      </c>
      <c r="Q63">
        <v>1000</v>
      </c>
      <c r="X63">
        <v>3.0000000000000001E-3</v>
      </c>
      <c r="Y63">
        <v>5804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6</v>
      </c>
      <c r="AG63">
        <v>3.0000000000000001E-3</v>
      </c>
      <c r="AH63">
        <v>2</v>
      </c>
      <c r="AI63">
        <v>16813110</v>
      </c>
      <c r="AJ63">
        <v>53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ROW(Source!A41)</f>
        <v>41</v>
      </c>
      <c r="B64">
        <v>16813120</v>
      </c>
      <c r="C64">
        <v>16813102</v>
      </c>
      <c r="D64">
        <v>15204330</v>
      </c>
      <c r="E64">
        <v>1</v>
      </c>
      <c r="F64">
        <v>1</v>
      </c>
      <c r="G64">
        <v>1</v>
      </c>
      <c r="H64">
        <v>3</v>
      </c>
      <c r="I64" t="s">
        <v>794</v>
      </c>
      <c r="J64" t="s">
        <v>795</v>
      </c>
      <c r="K64" t="s">
        <v>796</v>
      </c>
      <c r="L64">
        <v>1354</v>
      </c>
      <c r="N64">
        <v>1010</v>
      </c>
      <c r="O64" t="s">
        <v>62</v>
      </c>
      <c r="P64" t="s">
        <v>62</v>
      </c>
      <c r="Q64">
        <v>1</v>
      </c>
      <c r="X64">
        <v>0.1</v>
      </c>
      <c r="Y64">
        <v>72.8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6</v>
      </c>
      <c r="AG64">
        <v>0.1</v>
      </c>
      <c r="AH64">
        <v>2</v>
      </c>
      <c r="AI64">
        <v>16813111</v>
      </c>
      <c r="AJ64">
        <v>54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ROW(Source!A45)</f>
        <v>45</v>
      </c>
      <c r="B65">
        <v>16814239</v>
      </c>
      <c r="C65">
        <v>16814238</v>
      </c>
      <c r="D65">
        <v>15430397</v>
      </c>
      <c r="E65">
        <v>1</v>
      </c>
      <c r="F65">
        <v>1</v>
      </c>
      <c r="G65">
        <v>1</v>
      </c>
      <c r="H65">
        <v>1</v>
      </c>
      <c r="I65" t="s">
        <v>838</v>
      </c>
      <c r="J65" t="s">
        <v>6</v>
      </c>
      <c r="K65" t="s">
        <v>839</v>
      </c>
      <c r="L65">
        <v>1191</v>
      </c>
      <c r="N65">
        <v>1013</v>
      </c>
      <c r="O65" t="s">
        <v>773</v>
      </c>
      <c r="P65" t="s">
        <v>773</v>
      </c>
      <c r="Q65">
        <v>1</v>
      </c>
      <c r="X65">
        <v>81.09</v>
      </c>
      <c r="Y65">
        <v>0</v>
      </c>
      <c r="Z65">
        <v>0</v>
      </c>
      <c r="AA65">
        <v>0</v>
      </c>
      <c r="AB65">
        <v>9.4</v>
      </c>
      <c r="AC65">
        <v>0</v>
      </c>
      <c r="AD65">
        <v>1</v>
      </c>
      <c r="AE65">
        <v>1</v>
      </c>
      <c r="AF65" t="s">
        <v>6</v>
      </c>
      <c r="AG65">
        <v>81.09</v>
      </c>
      <c r="AH65">
        <v>2</v>
      </c>
      <c r="AI65">
        <v>16814239</v>
      </c>
      <c r="AJ65">
        <v>55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16814240</v>
      </c>
      <c r="C66">
        <v>16814238</v>
      </c>
      <c r="D66">
        <v>15430395</v>
      </c>
      <c r="E66">
        <v>1</v>
      </c>
      <c r="F66">
        <v>1</v>
      </c>
      <c r="G66">
        <v>1</v>
      </c>
      <c r="H66">
        <v>1</v>
      </c>
      <c r="I66" t="s">
        <v>774</v>
      </c>
      <c r="J66" t="s">
        <v>6</v>
      </c>
      <c r="K66" t="s">
        <v>775</v>
      </c>
      <c r="L66">
        <v>1191</v>
      </c>
      <c r="N66">
        <v>1013</v>
      </c>
      <c r="O66" t="s">
        <v>773</v>
      </c>
      <c r="P66" t="s">
        <v>773</v>
      </c>
      <c r="Q66">
        <v>1</v>
      </c>
      <c r="X66">
        <v>9.15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2</v>
      </c>
      <c r="AF66" t="s">
        <v>6</v>
      </c>
      <c r="AG66">
        <v>9.15</v>
      </c>
      <c r="AH66">
        <v>2</v>
      </c>
      <c r="AI66">
        <v>16814240</v>
      </c>
      <c r="AJ66">
        <v>56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ROW(Source!A45)</f>
        <v>45</v>
      </c>
      <c r="B67">
        <v>16814241</v>
      </c>
      <c r="C67">
        <v>16814238</v>
      </c>
      <c r="D67">
        <v>15247578</v>
      </c>
      <c r="E67">
        <v>1</v>
      </c>
      <c r="F67">
        <v>1</v>
      </c>
      <c r="G67">
        <v>1</v>
      </c>
      <c r="H67">
        <v>2</v>
      </c>
      <c r="I67" t="s">
        <v>840</v>
      </c>
      <c r="J67" t="s">
        <v>841</v>
      </c>
      <c r="K67" t="s">
        <v>842</v>
      </c>
      <c r="L67">
        <v>1368</v>
      </c>
      <c r="N67">
        <v>1011</v>
      </c>
      <c r="O67" t="s">
        <v>779</v>
      </c>
      <c r="P67" t="s">
        <v>779</v>
      </c>
      <c r="Q67">
        <v>1</v>
      </c>
      <c r="X67">
        <v>7.08</v>
      </c>
      <c r="Y67">
        <v>0</v>
      </c>
      <c r="Z67">
        <v>86.4</v>
      </c>
      <c r="AA67">
        <v>13.5</v>
      </c>
      <c r="AB67">
        <v>0</v>
      </c>
      <c r="AC67">
        <v>0</v>
      </c>
      <c r="AD67">
        <v>1</v>
      </c>
      <c r="AE67">
        <v>0</v>
      </c>
      <c r="AF67" t="s">
        <v>6</v>
      </c>
      <c r="AG67">
        <v>7.08</v>
      </c>
      <c r="AH67">
        <v>2</v>
      </c>
      <c r="AI67">
        <v>16814241</v>
      </c>
      <c r="AJ67">
        <v>57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16814242</v>
      </c>
      <c r="C68">
        <v>16814238</v>
      </c>
      <c r="D68">
        <v>15249073</v>
      </c>
      <c r="E68">
        <v>1</v>
      </c>
      <c r="F68">
        <v>1</v>
      </c>
      <c r="G68">
        <v>1</v>
      </c>
      <c r="H68">
        <v>2</v>
      </c>
      <c r="I68" t="s">
        <v>782</v>
      </c>
      <c r="J68" t="s">
        <v>783</v>
      </c>
      <c r="K68" t="s">
        <v>784</v>
      </c>
      <c r="L68">
        <v>1368</v>
      </c>
      <c r="N68">
        <v>1011</v>
      </c>
      <c r="O68" t="s">
        <v>779</v>
      </c>
      <c r="P68" t="s">
        <v>779</v>
      </c>
      <c r="Q68">
        <v>1</v>
      </c>
      <c r="X68">
        <v>2.0699999999999998</v>
      </c>
      <c r="Y68">
        <v>0</v>
      </c>
      <c r="Z68">
        <v>65.709999999999994</v>
      </c>
      <c r="AA68">
        <v>11.6</v>
      </c>
      <c r="AB68">
        <v>0</v>
      </c>
      <c r="AC68">
        <v>0</v>
      </c>
      <c r="AD68">
        <v>1</v>
      </c>
      <c r="AE68">
        <v>0</v>
      </c>
      <c r="AF68" t="s">
        <v>6</v>
      </c>
      <c r="AG68">
        <v>2.0699999999999998</v>
      </c>
      <c r="AH68">
        <v>2</v>
      </c>
      <c r="AI68">
        <v>16814242</v>
      </c>
      <c r="AJ68">
        <v>58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ROW(Source!A45)</f>
        <v>45</v>
      </c>
      <c r="B69">
        <v>16814243</v>
      </c>
      <c r="C69">
        <v>16814238</v>
      </c>
      <c r="D69">
        <v>15162381</v>
      </c>
      <c r="E69">
        <v>17</v>
      </c>
      <c r="F69">
        <v>1</v>
      </c>
      <c r="G69">
        <v>1</v>
      </c>
      <c r="H69">
        <v>3</v>
      </c>
      <c r="I69" t="s">
        <v>1112</v>
      </c>
      <c r="J69" t="s">
        <v>6</v>
      </c>
      <c r="K69" t="s">
        <v>1113</v>
      </c>
      <c r="L69">
        <v>1035</v>
      </c>
      <c r="N69">
        <v>1013</v>
      </c>
      <c r="O69" t="s">
        <v>127</v>
      </c>
      <c r="P69" t="s">
        <v>127</v>
      </c>
      <c r="Q69">
        <v>1</v>
      </c>
      <c r="X69">
        <v>0</v>
      </c>
      <c r="Y69">
        <v>0</v>
      </c>
      <c r="Z69">
        <v>0</v>
      </c>
      <c r="AA69">
        <v>0</v>
      </c>
      <c r="AB69">
        <v>0</v>
      </c>
      <c r="AC69">
        <v>1</v>
      </c>
      <c r="AD69">
        <v>0</v>
      </c>
      <c r="AE69">
        <v>0</v>
      </c>
      <c r="AF69" t="s">
        <v>6</v>
      </c>
      <c r="AG69">
        <v>0</v>
      </c>
      <c r="AH69">
        <v>3</v>
      </c>
      <c r="AI69">
        <v>-1</v>
      </c>
      <c r="AJ69" t="s">
        <v>6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ROW(Source!A45)</f>
        <v>45</v>
      </c>
      <c r="B70">
        <v>16814244</v>
      </c>
      <c r="C70">
        <v>16814238</v>
      </c>
      <c r="D70">
        <v>15170039</v>
      </c>
      <c r="E70">
        <v>1</v>
      </c>
      <c r="F70">
        <v>1</v>
      </c>
      <c r="G70">
        <v>1</v>
      </c>
      <c r="H70">
        <v>3</v>
      </c>
      <c r="I70" t="s">
        <v>843</v>
      </c>
      <c r="J70" t="s">
        <v>844</v>
      </c>
      <c r="K70" t="s">
        <v>845</v>
      </c>
      <c r="L70">
        <v>1348</v>
      </c>
      <c r="N70">
        <v>1009</v>
      </c>
      <c r="O70" t="s">
        <v>145</v>
      </c>
      <c r="P70" t="s">
        <v>145</v>
      </c>
      <c r="Q70">
        <v>1000</v>
      </c>
      <c r="X70">
        <v>1.6800000000000001E-3</v>
      </c>
      <c r="Y70">
        <v>11978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6</v>
      </c>
      <c r="AG70">
        <v>1.6800000000000001E-3</v>
      </c>
      <c r="AH70">
        <v>2</v>
      </c>
      <c r="AI70">
        <v>16814244</v>
      </c>
      <c r="AJ70">
        <v>60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ROW(Source!A45)</f>
        <v>45</v>
      </c>
      <c r="B71">
        <v>16814245</v>
      </c>
      <c r="C71">
        <v>16814238</v>
      </c>
      <c r="D71">
        <v>15172818</v>
      </c>
      <c r="E71">
        <v>1</v>
      </c>
      <c r="F71">
        <v>1</v>
      </c>
      <c r="G71">
        <v>1</v>
      </c>
      <c r="H71">
        <v>3</v>
      </c>
      <c r="I71" t="s">
        <v>846</v>
      </c>
      <c r="J71" t="s">
        <v>847</v>
      </c>
      <c r="K71" t="s">
        <v>848</v>
      </c>
      <c r="L71">
        <v>1339</v>
      </c>
      <c r="N71">
        <v>1007</v>
      </c>
      <c r="O71" t="s">
        <v>141</v>
      </c>
      <c r="P71" t="s">
        <v>141</v>
      </c>
      <c r="Q71">
        <v>1</v>
      </c>
      <c r="X71">
        <v>7.5999999999999998E-2</v>
      </c>
      <c r="Y71">
        <v>458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6</v>
      </c>
      <c r="AG71">
        <v>7.5999999999999998E-2</v>
      </c>
      <c r="AH71">
        <v>2</v>
      </c>
      <c r="AI71">
        <v>16814245</v>
      </c>
      <c r="AJ71">
        <v>61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ROW(Source!A45)</f>
        <v>45</v>
      </c>
      <c r="B72">
        <v>16814246</v>
      </c>
      <c r="C72">
        <v>16814238</v>
      </c>
      <c r="D72">
        <v>15162455</v>
      </c>
      <c r="E72">
        <v>17</v>
      </c>
      <c r="F72">
        <v>1</v>
      </c>
      <c r="G72">
        <v>1</v>
      </c>
      <c r="H72">
        <v>3</v>
      </c>
      <c r="I72" t="s">
        <v>1126</v>
      </c>
      <c r="J72" t="s">
        <v>6</v>
      </c>
      <c r="K72" t="s">
        <v>1127</v>
      </c>
      <c r="L72">
        <v>1346</v>
      </c>
      <c r="N72">
        <v>1009</v>
      </c>
      <c r="O72" t="s">
        <v>277</v>
      </c>
      <c r="P72" t="s">
        <v>277</v>
      </c>
      <c r="Q72">
        <v>1</v>
      </c>
      <c r="X72">
        <v>22.41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6</v>
      </c>
      <c r="AG72">
        <v>22.41</v>
      </c>
      <c r="AH72">
        <v>3</v>
      </c>
      <c r="AI72">
        <v>-1</v>
      </c>
      <c r="AJ72" t="s">
        <v>6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ROW(Source!A45)</f>
        <v>45</v>
      </c>
      <c r="B73">
        <v>16814247</v>
      </c>
      <c r="C73">
        <v>16814238</v>
      </c>
      <c r="D73">
        <v>15196008</v>
      </c>
      <c r="E73">
        <v>1</v>
      </c>
      <c r="F73">
        <v>1</v>
      </c>
      <c r="G73">
        <v>1</v>
      </c>
      <c r="H73">
        <v>3</v>
      </c>
      <c r="I73" t="s">
        <v>849</v>
      </c>
      <c r="J73" t="s">
        <v>850</v>
      </c>
      <c r="K73" t="s">
        <v>851</v>
      </c>
      <c r="L73">
        <v>1339</v>
      </c>
      <c r="N73">
        <v>1007</v>
      </c>
      <c r="O73" t="s">
        <v>141</v>
      </c>
      <c r="P73" t="s">
        <v>141</v>
      </c>
      <c r="Q73">
        <v>1</v>
      </c>
      <c r="X73">
        <v>7.0000000000000007E-2</v>
      </c>
      <c r="Y73">
        <v>1100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6</v>
      </c>
      <c r="AG73">
        <v>7.0000000000000007E-2</v>
      </c>
      <c r="AH73">
        <v>2</v>
      </c>
      <c r="AI73">
        <v>16814247</v>
      </c>
      <c r="AJ73">
        <v>62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ROW(Source!A45)</f>
        <v>45</v>
      </c>
      <c r="B74">
        <v>16814248</v>
      </c>
      <c r="C74">
        <v>16814238</v>
      </c>
      <c r="D74">
        <v>15162477</v>
      </c>
      <c r="E74">
        <v>17</v>
      </c>
      <c r="F74">
        <v>1</v>
      </c>
      <c r="G74">
        <v>1</v>
      </c>
      <c r="H74">
        <v>3</v>
      </c>
      <c r="I74" t="s">
        <v>1128</v>
      </c>
      <c r="J74" t="s">
        <v>6</v>
      </c>
      <c r="K74" t="s">
        <v>1129</v>
      </c>
      <c r="L74">
        <v>1327</v>
      </c>
      <c r="N74">
        <v>1005</v>
      </c>
      <c r="O74" t="s">
        <v>28</v>
      </c>
      <c r="P74" t="s">
        <v>28</v>
      </c>
      <c r="Q74">
        <v>1</v>
      </c>
      <c r="X74">
        <v>100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 t="s">
        <v>6</v>
      </c>
      <c r="AG74">
        <v>100</v>
      </c>
      <c r="AH74">
        <v>3</v>
      </c>
      <c r="AI74">
        <v>-1</v>
      </c>
      <c r="AJ74" t="s">
        <v>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ROW(Source!A45)</f>
        <v>45</v>
      </c>
      <c r="B75">
        <v>16814249</v>
      </c>
      <c r="C75">
        <v>16814238</v>
      </c>
      <c r="D75">
        <v>15204315</v>
      </c>
      <c r="E75">
        <v>1</v>
      </c>
      <c r="F75">
        <v>1</v>
      </c>
      <c r="G75">
        <v>1</v>
      </c>
      <c r="H75">
        <v>3</v>
      </c>
      <c r="I75" t="s">
        <v>852</v>
      </c>
      <c r="J75" t="s">
        <v>853</v>
      </c>
      <c r="K75" t="s">
        <v>854</v>
      </c>
      <c r="L75">
        <v>1296</v>
      </c>
      <c r="N75">
        <v>1002</v>
      </c>
      <c r="O75" t="s">
        <v>855</v>
      </c>
      <c r="P75" t="s">
        <v>855</v>
      </c>
      <c r="Q75">
        <v>1</v>
      </c>
      <c r="X75">
        <v>22.2</v>
      </c>
      <c r="Y75">
        <v>46.86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6</v>
      </c>
      <c r="AG75">
        <v>22.2</v>
      </c>
      <c r="AH75">
        <v>2</v>
      </c>
      <c r="AI75">
        <v>16814249</v>
      </c>
      <c r="AJ75">
        <v>64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ROW(Source!A48)</f>
        <v>48</v>
      </c>
      <c r="B76">
        <v>16813130</v>
      </c>
      <c r="C76">
        <v>16813123</v>
      </c>
      <c r="D76">
        <v>15430767</v>
      </c>
      <c r="E76">
        <v>1</v>
      </c>
      <c r="F76">
        <v>1</v>
      </c>
      <c r="G76">
        <v>1</v>
      </c>
      <c r="H76">
        <v>1</v>
      </c>
      <c r="I76" t="s">
        <v>799</v>
      </c>
      <c r="J76" t="s">
        <v>6</v>
      </c>
      <c r="K76" t="s">
        <v>800</v>
      </c>
      <c r="L76">
        <v>1191</v>
      </c>
      <c r="N76">
        <v>1013</v>
      </c>
      <c r="O76" t="s">
        <v>773</v>
      </c>
      <c r="P76" t="s">
        <v>773</v>
      </c>
      <c r="Q76">
        <v>1</v>
      </c>
      <c r="X76">
        <v>124.23</v>
      </c>
      <c r="Y76">
        <v>0</v>
      </c>
      <c r="Z76">
        <v>0</v>
      </c>
      <c r="AA76">
        <v>0</v>
      </c>
      <c r="AB76">
        <v>8.5299999999999994</v>
      </c>
      <c r="AC76">
        <v>0</v>
      </c>
      <c r="AD76">
        <v>1</v>
      </c>
      <c r="AE76">
        <v>1</v>
      </c>
      <c r="AF76" t="s">
        <v>6</v>
      </c>
      <c r="AG76">
        <v>124.23</v>
      </c>
      <c r="AH76">
        <v>2</v>
      </c>
      <c r="AI76">
        <v>16813124</v>
      </c>
      <c r="AJ76">
        <v>65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ROW(Source!A48)</f>
        <v>48</v>
      </c>
      <c r="B77">
        <v>16813131</v>
      </c>
      <c r="C77">
        <v>16813123</v>
      </c>
      <c r="D77">
        <v>15249402</v>
      </c>
      <c r="E77">
        <v>1</v>
      </c>
      <c r="F77">
        <v>1</v>
      </c>
      <c r="G77">
        <v>1</v>
      </c>
      <c r="H77">
        <v>2</v>
      </c>
      <c r="I77" t="s">
        <v>856</v>
      </c>
      <c r="J77" t="s">
        <v>857</v>
      </c>
      <c r="K77" t="s">
        <v>858</v>
      </c>
      <c r="L77">
        <v>1368</v>
      </c>
      <c r="N77">
        <v>1011</v>
      </c>
      <c r="O77" t="s">
        <v>779</v>
      </c>
      <c r="P77" t="s">
        <v>779</v>
      </c>
      <c r="Q77">
        <v>1</v>
      </c>
      <c r="X77">
        <v>1.38</v>
      </c>
      <c r="Y77">
        <v>0</v>
      </c>
      <c r="Z77">
        <v>32.5</v>
      </c>
      <c r="AA77">
        <v>0</v>
      </c>
      <c r="AB77">
        <v>0</v>
      </c>
      <c r="AC77">
        <v>0</v>
      </c>
      <c r="AD77">
        <v>1</v>
      </c>
      <c r="AE77">
        <v>0</v>
      </c>
      <c r="AF77" t="s">
        <v>6</v>
      </c>
      <c r="AG77">
        <v>1.38</v>
      </c>
      <c r="AH77">
        <v>2</v>
      </c>
      <c r="AI77">
        <v>16813125</v>
      </c>
      <c r="AJ77">
        <v>66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ROW(Source!A48)</f>
        <v>48</v>
      </c>
      <c r="B78">
        <v>16813132</v>
      </c>
      <c r="C78">
        <v>16813123</v>
      </c>
      <c r="D78">
        <v>15249998</v>
      </c>
      <c r="E78">
        <v>1</v>
      </c>
      <c r="F78">
        <v>1</v>
      </c>
      <c r="G78">
        <v>1</v>
      </c>
      <c r="H78">
        <v>2</v>
      </c>
      <c r="I78" t="s">
        <v>859</v>
      </c>
      <c r="J78" t="s">
        <v>860</v>
      </c>
      <c r="K78" t="s">
        <v>861</v>
      </c>
      <c r="L78">
        <v>1368</v>
      </c>
      <c r="N78">
        <v>1011</v>
      </c>
      <c r="O78" t="s">
        <v>779</v>
      </c>
      <c r="P78" t="s">
        <v>779</v>
      </c>
      <c r="Q78">
        <v>1</v>
      </c>
      <c r="X78">
        <v>1.38</v>
      </c>
      <c r="Y78">
        <v>0</v>
      </c>
      <c r="Z78">
        <v>1.53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</v>
      </c>
      <c r="AG78">
        <v>1.38</v>
      </c>
      <c r="AH78">
        <v>2</v>
      </c>
      <c r="AI78">
        <v>16813126</v>
      </c>
      <c r="AJ78">
        <v>67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ROW(Source!A48)</f>
        <v>48</v>
      </c>
      <c r="B79">
        <v>16813133</v>
      </c>
      <c r="C79">
        <v>16813123</v>
      </c>
      <c r="D79">
        <v>15167286</v>
      </c>
      <c r="E79">
        <v>1</v>
      </c>
      <c r="F79">
        <v>1</v>
      </c>
      <c r="G79">
        <v>1</v>
      </c>
      <c r="H79">
        <v>3</v>
      </c>
      <c r="I79" t="s">
        <v>801</v>
      </c>
      <c r="J79" t="s">
        <v>802</v>
      </c>
      <c r="K79" t="s">
        <v>803</v>
      </c>
      <c r="L79">
        <v>1339</v>
      </c>
      <c r="N79">
        <v>1007</v>
      </c>
      <c r="O79" t="s">
        <v>141</v>
      </c>
      <c r="P79" t="s">
        <v>141</v>
      </c>
      <c r="Q79">
        <v>1</v>
      </c>
      <c r="X79">
        <v>0.1</v>
      </c>
      <c r="Y79">
        <v>2.44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6</v>
      </c>
      <c r="AG79">
        <v>0.1</v>
      </c>
      <c r="AH79">
        <v>2</v>
      </c>
      <c r="AI79">
        <v>16813127</v>
      </c>
      <c r="AJ79">
        <v>68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ROW(Source!A48)</f>
        <v>48</v>
      </c>
      <c r="B80">
        <v>16813134</v>
      </c>
      <c r="C80">
        <v>16813123</v>
      </c>
      <c r="D80">
        <v>15164566</v>
      </c>
      <c r="E80">
        <v>17</v>
      </c>
      <c r="F80">
        <v>1</v>
      </c>
      <c r="G80">
        <v>1</v>
      </c>
      <c r="H80">
        <v>3</v>
      </c>
      <c r="I80" t="s">
        <v>338</v>
      </c>
      <c r="J80" t="s">
        <v>6</v>
      </c>
      <c r="K80" t="s">
        <v>339</v>
      </c>
      <c r="L80">
        <v>1348</v>
      </c>
      <c r="N80">
        <v>1009</v>
      </c>
      <c r="O80" t="s">
        <v>145</v>
      </c>
      <c r="P80" t="s">
        <v>145</v>
      </c>
      <c r="Q80">
        <v>1000</v>
      </c>
      <c r="X80">
        <v>1.48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6</v>
      </c>
      <c r="AG80">
        <v>1.48</v>
      </c>
      <c r="AH80">
        <v>3</v>
      </c>
      <c r="AI80">
        <v>-1</v>
      </c>
      <c r="AJ80" t="s">
        <v>6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ROW(Source!A48)</f>
        <v>48</v>
      </c>
      <c r="B81">
        <v>16813135</v>
      </c>
      <c r="C81">
        <v>16813123</v>
      </c>
      <c r="D81">
        <v>15161975</v>
      </c>
      <c r="E81">
        <v>17</v>
      </c>
      <c r="F81">
        <v>1</v>
      </c>
      <c r="G81">
        <v>1</v>
      </c>
      <c r="H81">
        <v>3</v>
      </c>
      <c r="I81" t="s">
        <v>1130</v>
      </c>
      <c r="J81" t="s">
        <v>6</v>
      </c>
      <c r="K81" t="s">
        <v>1131</v>
      </c>
      <c r="L81">
        <v>1348</v>
      </c>
      <c r="N81">
        <v>1009</v>
      </c>
      <c r="O81" t="s">
        <v>145</v>
      </c>
      <c r="P81" t="s">
        <v>145</v>
      </c>
      <c r="Q81">
        <v>1000</v>
      </c>
      <c r="X81">
        <v>4.4999999999999998E-2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6</v>
      </c>
      <c r="AG81">
        <v>4.4999999999999998E-2</v>
      </c>
      <c r="AH81">
        <v>3</v>
      </c>
      <c r="AI81">
        <v>-1</v>
      </c>
      <c r="AJ81" t="s">
        <v>6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ROW(Source!A48)</f>
        <v>48</v>
      </c>
      <c r="B82">
        <v>16813136</v>
      </c>
      <c r="C82">
        <v>16813123</v>
      </c>
      <c r="D82">
        <v>15161703</v>
      </c>
      <c r="E82">
        <v>17</v>
      </c>
      <c r="F82">
        <v>1</v>
      </c>
      <c r="G82">
        <v>1</v>
      </c>
      <c r="H82">
        <v>3</v>
      </c>
      <c r="I82" t="s">
        <v>139</v>
      </c>
      <c r="J82" t="s">
        <v>6</v>
      </c>
      <c r="K82" t="s">
        <v>140</v>
      </c>
      <c r="L82">
        <v>1339</v>
      </c>
      <c r="N82">
        <v>1007</v>
      </c>
      <c r="O82" t="s">
        <v>141</v>
      </c>
      <c r="P82" t="s">
        <v>141</v>
      </c>
      <c r="Q82">
        <v>1</v>
      </c>
      <c r="X82">
        <v>2.14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6</v>
      </c>
      <c r="AG82">
        <v>2.14</v>
      </c>
      <c r="AH82">
        <v>2</v>
      </c>
      <c r="AI82">
        <v>16813128</v>
      </c>
      <c r="AJ82">
        <v>69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ROW(Source!A51)</f>
        <v>51</v>
      </c>
      <c r="B83">
        <v>16813147</v>
      </c>
      <c r="C83">
        <v>16813139</v>
      </c>
      <c r="D83">
        <v>15430767</v>
      </c>
      <c r="E83">
        <v>1</v>
      </c>
      <c r="F83">
        <v>1</v>
      </c>
      <c r="G83">
        <v>1</v>
      </c>
      <c r="H83">
        <v>1</v>
      </c>
      <c r="I83" t="s">
        <v>799</v>
      </c>
      <c r="J83" t="s">
        <v>6</v>
      </c>
      <c r="K83" t="s">
        <v>800</v>
      </c>
      <c r="L83">
        <v>1191</v>
      </c>
      <c r="N83">
        <v>1013</v>
      </c>
      <c r="O83" t="s">
        <v>773</v>
      </c>
      <c r="P83" t="s">
        <v>773</v>
      </c>
      <c r="Q83">
        <v>1</v>
      </c>
      <c r="X83">
        <v>37.67</v>
      </c>
      <c r="Y83">
        <v>0</v>
      </c>
      <c r="Z83">
        <v>0</v>
      </c>
      <c r="AA83">
        <v>0</v>
      </c>
      <c r="AB83">
        <v>8.5299999999999994</v>
      </c>
      <c r="AC83">
        <v>0</v>
      </c>
      <c r="AD83">
        <v>1</v>
      </c>
      <c r="AE83">
        <v>1</v>
      </c>
      <c r="AF83" t="s">
        <v>104</v>
      </c>
      <c r="AG83">
        <v>43.320499999999996</v>
      </c>
      <c r="AH83">
        <v>2</v>
      </c>
      <c r="AI83">
        <v>16813140</v>
      </c>
      <c r="AJ83">
        <v>71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ROW(Source!A51)</f>
        <v>51</v>
      </c>
      <c r="B84">
        <v>16813148</v>
      </c>
      <c r="C84">
        <v>16813139</v>
      </c>
      <c r="D84">
        <v>15430395</v>
      </c>
      <c r="E84">
        <v>1</v>
      </c>
      <c r="F84">
        <v>1</v>
      </c>
      <c r="G84">
        <v>1</v>
      </c>
      <c r="H84">
        <v>1</v>
      </c>
      <c r="I84" t="s">
        <v>774</v>
      </c>
      <c r="J84" t="s">
        <v>6</v>
      </c>
      <c r="K84" t="s">
        <v>775</v>
      </c>
      <c r="L84">
        <v>1191</v>
      </c>
      <c r="N84">
        <v>1013</v>
      </c>
      <c r="O84" t="s">
        <v>773</v>
      </c>
      <c r="P84" t="s">
        <v>773</v>
      </c>
      <c r="Q84">
        <v>1</v>
      </c>
      <c r="X84">
        <v>0.17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2</v>
      </c>
      <c r="AF84" t="s">
        <v>103</v>
      </c>
      <c r="AG84">
        <v>0.21250000000000002</v>
      </c>
      <c r="AH84">
        <v>2</v>
      </c>
      <c r="AI84">
        <v>16813141</v>
      </c>
      <c r="AJ84">
        <v>72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ROW(Source!A51)</f>
        <v>51</v>
      </c>
      <c r="B85">
        <v>16813149</v>
      </c>
      <c r="C85">
        <v>16813139</v>
      </c>
      <c r="D85">
        <v>15247970</v>
      </c>
      <c r="E85">
        <v>1</v>
      </c>
      <c r="F85">
        <v>1</v>
      </c>
      <c r="G85">
        <v>1</v>
      </c>
      <c r="H85">
        <v>2</v>
      </c>
      <c r="I85" t="s">
        <v>862</v>
      </c>
      <c r="J85" t="s">
        <v>863</v>
      </c>
      <c r="K85" t="s">
        <v>864</v>
      </c>
      <c r="L85">
        <v>1368</v>
      </c>
      <c r="N85">
        <v>1011</v>
      </c>
      <c r="O85" t="s">
        <v>779</v>
      </c>
      <c r="P85" t="s">
        <v>779</v>
      </c>
      <c r="Q85">
        <v>1</v>
      </c>
      <c r="X85">
        <v>0.13</v>
      </c>
      <c r="Y85">
        <v>0</v>
      </c>
      <c r="Z85">
        <v>27.66</v>
      </c>
      <c r="AA85">
        <v>11.6</v>
      </c>
      <c r="AB85">
        <v>0</v>
      </c>
      <c r="AC85">
        <v>0</v>
      </c>
      <c r="AD85">
        <v>1</v>
      </c>
      <c r="AE85">
        <v>0</v>
      </c>
      <c r="AF85" t="s">
        <v>103</v>
      </c>
      <c r="AG85">
        <v>0.16250000000000001</v>
      </c>
      <c r="AH85">
        <v>2</v>
      </c>
      <c r="AI85">
        <v>16813142</v>
      </c>
      <c r="AJ85">
        <v>73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ROW(Source!A51)</f>
        <v>51</v>
      </c>
      <c r="B86">
        <v>16813150</v>
      </c>
      <c r="C86">
        <v>16813139</v>
      </c>
      <c r="D86">
        <v>15249073</v>
      </c>
      <c r="E86">
        <v>1</v>
      </c>
      <c r="F86">
        <v>1</v>
      </c>
      <c r="G86">
        <v>1</v>
      </c>
      <c r="H86">
        <v>2</v>
      </c>
      <c r="I86" t="s">
        <v>782</v>
      </c>
      <c r="J86" t="s">
        <v>783</v>
      </c>
      <c r="K86" t="s">
        <v>784</v>
      </c>
      <c r="L86">
        <v>1368</v>
      </c>
      <c r="N86">
        <v>1011</v>
      </c>
      <c r="O86" t="s">
        <v>779</v>
      </c>
      <c r="P86" t="s">
        <v>779</v>
      </c>
      <c r="Q86">
        <v>1</v>
      </c>
      <c r="X86">
        <v>0.04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103</v>
      </c>
      <c r="AG86">
        <v>0.05</v>
      </c>
      <c r="AH86">
        <v>2</v>
      </c>
      <c r="AI86">
        <v>16813143</v>
      </c>
      <c r="AJ86">
        <v>74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ROW(Source!A51)</f>
        <v>51</v>
      </c>
      <c r="B87">
        <v>16813151</v>
      </c>
      <c r="C87">
        <v>16813139</v>
      </c>
      <c r="D87">
        <v>15167286</v>
      </c>
      <c r="E87">
        <v>1</v>
      </c>
      <c r="F87">
        <v>1</v>
      </c>
      <c r="G87">
        <v>1</v>
      </c>
      <c r="H87">
        <v>3</v>
      </c>
      <c r="I87" t="s">
        <v>801</v>
      </c>
      <c r="J87" t="s">
        <v>802</v>
      </c>
      <c r="K87" t="s">
        <v>803</v>
      </c>
      <c r="L87">
        <v>1339</v>
      </c>
      <c r="N87">
        <v>1007</v>
      </c>
      <c r="O87" t="s">
        <v>141</v>
      </c>
      <c r="P87" t="s">
        <v>141</v>
      </c>
      <c r="Q87">
        <v>1</v>
      </c>
      <c r="X87">
        <v>0.17399999999999999</v>
      </c>
      <c r="Y87">
        <v>2.44</v>
      </c>
      <c r="Z87">
        <v>0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</v>
      </c>
      <c r="AG87">
        <v>0.17399999999999999</v>
      </c>
      <c r="AH87">
        <v>2</v>
      </c>
      <c r="AI87">
        <v>16813144</v>
      </c>
      <c r="AJ87">
        <v>75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ROW(Source!A51)</f>
        <v>51</v>
      </c>
      <c r="B88">
        <v>16813152</v>
      </c>
      <c r="C88">
        <v>16813139</v>
      </c>
      <c r="D88">
        <v>15172906</v>
      </c>
      <c r="E88">
        <v>1</v>
      </c>
      <c r="F88">
        <v>1</v>
      </c>
      <c r="G88">
        <v>1</v>
      </c>
      <c r="H88">
        <v>3</v>
      </c>
      <c r="I88" t="s">
        <v>865</v>
      </c>
      <c r="J88" t="s">
        <v>866</v>
      </c>
      <c r="K88" t="s">
        <v>867</v>
      </c>
      <c r="L88">
        <v>1348</v>
      </c>
      <c r="N88">
        <v>1009</v>
      </c>
      <c r="O88" t="s">
        <v>145</v>
      </c>
      <c r="P88" t="s">
        <v>145</v>
      </c>
      <c r="Q88">
        <v>1000</v>
      </c>
      <c r="X88">
        <v>0.9</v>
      </c>
      <c r="Y88">
        <v>11381.57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6</v>
      </c>
      <c r="AG88">
        <v>0.9</v>
      </c>
      <c r="AH88">
        <v>2</v>
      </c>
      <c r="AI88">
        <v>16813145</v>
      </c>
      <c r="AJ88">
        <v>76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ROW(Source!A51)</f>
        <v>51</v>
      </c>
      <c r="B89">
        <v>16813153</v>
      </c>
      <c r="C89">
        <v>16813139</v>
      </c>
      <c r="D89">
        <v>15203485</v>
      </c>
      <c r="E89">
        <v>1</v>
      </c>
      <c r="F89">
        <v>1</v>
      </c>
      <c r="G89">
        <v>1</v>
      </c>
      <c r="H89">
        <v>3</v>
      </c>
      <c r="I89" t="s">
        <v>868</v>
      </c>
      <c r="J89" t="s">
        <v>869</v>
      </c>
      <c r="K89" t="s">
        <v>870</v>
      </c>
      <c r="L89">
        <v>1346</v>
      </c>
      <c r="N89">
        <v>1009</v>
      </c>
      <c r="O89" t="s">
        <v>277</v>
      </c>
      <c r="P89" t="s">
        <v>277</v>
      </c>
      <c r="Q89">
        <v>1</v>
      </c>
      <c r="X89">
        <v>30</v>
      </c>
      <c r="Y89">
        <v>15.25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6</v>
      </c>
      <c r="AG89">
        <v>30</v>
      </c>
      <c r="AH89">
        <v>2</v>
      </c>
      <c r="AI89">
        <v>16813146</v>
      </c>
      <c r="AJ89">
        <v>77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ROW(Source!A52)</f>
        <v>52</v>
      </c>
      <c r="B90">
        <v>16813161</v>
      </c>
      <c r="C90">
        <v>16813154</v>
      </c>
      <c r="D90">
        <v>15430767</v>
      </c>
      <c r="E90">
        <v>1</v>
      </c>
      <c r="F90">
        <v>1</v>
      </c>
      <c r="G90">
        <v>1</v>
      </c>
      <c r="H90">
        <v>1</v>
      </c>
      <c r="I90" t="s">
        <v>799</v>
      </c>
      <c r="J90" t="s">
        <v>6</v>
      </c>
      <c r="K90" t="s">
        <v>800</v>
      </c>
      <c r="L90">
        <v>1191</v>
      </c>
      <c r="N90">
        <v>1013</v>
      </c>
      <c r="O90" t="s">
        <v>773</v>
      </c>
      <c r="P90" t="s">
        <v>773</v>
      </c>
      <c r="Q90">
        <v>1</v>
      </c>
      <c r="X90">
        <v>2.42</v>
      </c>
      <c r="Y90">
        <v>0</v>
      </c>
      <c r="Z90">
        <v>0</v>
      </c>
      <c r="AA90">
        <v>0</v>
      </c>
      <c r="AB90">
        <v>8.5299999999999994</v>
      </c>
      <c r="AC90">
        <v>0</v>
      </c>
      <c r="AD90">
        <v>1</v>
      </c>
      <c r="AE90">
        <v>1</v>
      </c>
      <c r="AF90" t="s">
        <v>158</v>
      </c>
      <c r="AG90">
        <v>13.914999999999999</v>
      </c>
      <c r="AH90">
        <v>2</v>
      </c>
      <c r="AI90">
        <v>16813155</v>
      </c>
      <c r="AJ90">
        <v>78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ROW(Source!A52)</f>
        <v>52</v>
      </c>
      <c r="B91">
        <v>16813162</v>
      </c>
      <c r="C91">
        <v>16813154</v>
      </c>
      <c r="D91">
        <v>15430395</v>
      </c>
      <c r="E91">
        <v>1</v>
      </c>
      <c r="F91">
        <v>1</v>
      </c>
      <c r="G91">
        <v>1</v>
      </c>
      <c r="H91">
        <v>1</v>
      </c>
      <c r="I91" t="s">
        <v>774</v>
      </c>
      <c r="J91" t="s">
        <v>6</v>
      </c>
      <c r="K91" t="s">
        <v>775</v>
      </c>
      <c r="L91">
        <v>1191</v>
      </c>
      <c r="N91">
        <v>1013</v>
      </c>
      <c r="O91" t="s">
        <v>773</v>
      </c>
      <c r="P91" t="s">
        <v>773</v>
      </c>
      <c r="Q91">
        <v>1</v>
      </c>
      <c r="X91">
        <v>0.03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2</v>
      </c>
      <c r="AF91" t="s">
        <v>157</v>
      </c>
      <c r="AG91">
        <v>0.1875</v>
      </c>
      <c r="AH91">
        <v>2</v>
      </c>
      <c r="AI91">
        <v>16813156</v>
      </c>
      <c r="AJ91">
        <v>79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ROW(Source!A52)</f>
        <v>52</v>
      </c>
      <c r="B92">
        <v>16813163</v>
      </c>
      <c r="C92">
        <v>16813154</v>
      </c>
      <c r="D92">
        <v>15247970</v>
      </c>
      <c r="E92">
        <v>1</v>
      </c>
      <c r="F92">
        <v>1</v>
      </c>
      <c r="G92">
        <v>1</v>
      </c>
      <c r="H92">
        <v>2</v>
      </c>
      <c r="I92" t="s">
        <v>862</v>
      </c>
      <c r="J92" t="s">
        <v>863</v>
      </c>
      <c r="K92" t="s">
        <v>864</v>
      </c>
      <c r="L92">
        <v>1368</v>
      </c>
      <c r="N92">
        <v>1011</v>
      </c>
      <c r="O92" t="s">
        <v>779</v>
      </c>
      <c r="P92" t="s">
        <v>779</v>
      </c>
      <c r="Q92">
        <v>1</v>
      </c>
      <c r="X92">
        <v>0.02</v>
      </c>
      <c r="Y92">
        <v>0</v>
      </c>
      <c r="Z92">
        <v>27.66</v>
      </c>
      <c r="AA92">
        <v>11.6</v>
      </c>
      <c r="AB92">
        <v>0</v>
      </c>
      <c r="AC92">
        <v>0</v>
      </c>
      <c r="AD92">
        <v>1</v>
      </c>
      <c r="AE92">
        <v>0</v>
      </c>
      <c r="AF92" t="s">
        <v>157</v>
      </c>
      <c r="AG92">
        <v>0.125</v>
      </c>
      <c r="AH92">
        <v>2</v>
      </c>
      <c r="AI92">
        <v>16813157</v>
      </c>
      <c r="AJ92">
        <v>80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ROW(Source!A52)</f>
        <v>52</v>
      </c>
      <c r="B93">
        <v>16813164</v>
      </c>
      <c r="C93">
        <v>16813154</v>
      </c>
      <c r="D93">
        <v>15249073</v>
      </c>
      <c r="E93">
        <v>1</v>
      </c>
      <c r="F93">
        <v>1</v>
      </c>
      <c r="G93">
        <v>1</v>
      </c>
      <c r="H93">
        <v>2</v>
      </c>
      <c r="I93" t="s">
        <v>782</v>
      </c>
      <c r="J93" t="s">
        <v>783</v>
      </c>
      <c r="K93" t="s">
        <v>784</v>
      </c>
      <c r="L93">
        <v>1368</v>
      </c>
      <c r="N93">
        <v>1011</v>
      </c>
      <c r="O93" t="s">
        <v>779</v>
      </c>
      <c r="P93" t="s">
        <v>779</v>
      </c>
      <c r="Q93">
        <v>1</v>
      </c>
      <c r="X93">
        <v>0.01</v>
      </c>
      <c r="Y93">
        <v>0</v>
      </c>
      <c r="Z93">
        <v>65.709999999999994</v>
      </c>
      <c r="AA93">
        <v>11.6</v>
      </c>
      <c r="AB93">
        <v>0</v>
      </c>
      <c r="AC93">
        <v>0</v>
      </c>
      <c r="AD93">
        <v>1</v>
      </c>
      <c r="AE93">
        <v>0</v>
      </c>
      <c r="AF93" t="s">
        <v>157</v>
      </c>
      <c r="AG93">
        <v>6.25E-2</v>
      </c>
      <c r="AH93">
        <v>2</v>
      </c>
      <c r="AI93">
        <v>16813158</v>
      </c>
      <c r="AJ93">
        <v>81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ROW(Source!A52)</f>
        <v>52</v>
      </c>
      <c r="B94">
        <v>16813165</v>
      </c>
      <c r="C94">
        <v>16813154</v>
      </c>
      <c r="D94">
        <v>15167286</v>
      </c>
      <c r="E94">
        <v>1</v>
      </c>
      <c r="F94">
        <v>1</v>
      </c>
      <c r="G94">
        <v>1</v>
      </c>
      <c r="H94">
        <v>3</v>
      </c>
      <c r="I94" t="s">
        <v>801</v>
      </c>
      <c r="J94" t="s">
        <v>802</v>
      </c>
      <c r="K94" t="s">
        <v>803</v>
      </c>
      <c r="L94">
        <v>1339</v>
      </c>
      <c r="N94">
        <v>1007</v>
      </c>
      <c r="O94" t="s">
        <v>141</v>
      </c>
      <c r="P94" t="s">
        <v>141</v>
      </c>
      <c r="Q94">
        <v>1</v>
      </c>
      <c r="X94">
        <v>0.03</v>
      </c>
      <c r="Y94">
        <v>2.44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156</v>
      </c>
      <c r="AG94">
        <v>0.15</v>
      </c>
      <c r="AH94">
        <v>2</v>
      </c>
      <c r="AI94">
        <v>16813159</v>
      </c>
      <c r="AJ94">
        <v>82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ROW(Source!A52)</f>
        <v>52</v>
      </c>
      <c r="B95">
        <v>16813166</v>
      </c>
      <c r="C95">
        <v>16813154</v>
      </c>
      <c r="D95">
        <v>15172906</v>
      </c>
      <c r="E95">
        <v>1</v>
      </c>
      <c r="F95">
        <v>1</v>
      </c>
      <c r="G95">
        <v>1</v>
      </c>
      <c r="H95">
        <v>3</v>
      </c>
      <c r="I95" t="s">
        <v>865</v>
      </c>
      <c r="J95" t="s">
        <v>866</v>
      </c>
      <c r="K95" t="s">
        <v>867</v>
      </c>
      <c r="L95">
        <v>1348</v>
      </c>
      <c r="N95">
        <v>1009</v>
      </c>
      <c r="O95" t="s">
        <v>145</v>
      </c>
      <c r="P95" t="s">
        <v>145</v>
      </c>
      <c r="Q95">
        <v>1000</v>
      </c>
      <c r="X95">
        <v>0.18</v>
      </c>
      <c r="Y95">
        <v>11381.57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156</v>
      </c>
      <c r="AG95">
        <v>0.89999999999999991</v>
      </c>
      <c r="AH95">
        <v>2</v>
      </c>
      <c r="AI95">
        <v>16813160</v>
      </c>
      <c r="AJ95">
        <v>83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ROW(Source!A53)</f>
        <v>53</v>
      </c>
      <c r="B96">
        <v>16814258</v>
      </c>
      <c r="C96">
        <v>16814257</v>
      </c>
      <c r="D96">
        <v>15430397</v>
      </c>
      <c r="E96">
        <v>1</v>
      </c>
      <c r="F96">
        <v>1</v>
      </c>
      <c r="G96">
        <v>1</v>
      </c>
      <c r="H96">
        <v>1</v>
      </c>
      <c r="I96" t="s">
        <v>838</v>
      </c>
      <c r="J96" t="s">
        <v>6</v>
      </c>
      <c r="K96" t="s">
        <v>839</v>
      </c>
      <c r="L96">
        <v>1191</v>
      </c>
      <c r="N96">
        <v>1013</v>
      </c>
      <c r="O96" t="s">
        <v>773</v>
      </c>
      <c r="P96" t="s">
        <v>773</v>
      </c>
      <c r="Q96">
        <v>1</v>
      </c>
      <c r="X96">
        <v>25.61</v>
      </c>
      <c r="Y96">
        <v>0</v>
      </c>
      <c r="Z96">
        <v>0</v>
      </c>
      <c r="AA96">
        <v>0</v>
      </c>
      <c r="AB96">
        <v>9.4</v>
      </c>
      <c r="AC96">
        <v>0</v>
      </c>
      <c r="AD96">
        <v>1</v>
      </c>
      <c r="AE96">
        <v>1</v>
      </c>
      <c r="AF96" t="s">
        <v>104</v>
      </c>
      <c r="AG96">
        <v>29.451499999999996</v>
      </c>
      <c r="AH96">
        <v>2</v>
      </c>
      <c r="AI96">
        <v>16814258</v>
      </c>
      <c r="AJ96">
        <v>84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ROW(Source!A53)</f>
        <v>53</v>
      </c>
      <c r="B97">
        <v>16814259</v>
      </c>
      <c r="C97">
        <v>16814257</v>
      </c>
      <c r="D97">
        <v>15430395</v>
      </c>
      <c r="E97">
        <v>1</v>
      </c>
      <c r="F97">
        <v>1</v>
      </c>
      <c r="G97">
        <v>1</v>
      </c>
      <c r="H97">
        <v>1</v>
      </c>
      <c r="I97" t="s">
        <v>774</v>
      </c>
      <c r="J97" t="s">
        <v>6</v>
      </c>
      <c r="K97" t="s">
        <v>775</v>
      </c>
      <c r="L97">
        <v>1191</v>
      </c>
      <c r="N97">
        <v>1013</v>
      </c>
      <c r="O97" t="s">
        <v>773</v>
      </c>
      <c r="P97" t="s">
        <v>773</v>
      </c>
      <c r="Q97">
        <v>1</v>
      </c>
      <c r="X97">
        <v>0.1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2</v>
      </c>
      <c r="AF97" t="s">
        <v>103</v>
      </c>
      <c r="AG97">
        <v>0.125</v>
      </c>
      <c r="AH97">
        <v>2</v>
      </c>
      <c r="AI97">
        <v>16814259</v>
      </c>
      <c r="AJ97">
        <v>85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ROW(Source!A53)</f>
        <v>53</v>
      </c>
      <c r="B98">
        <v>16814260</v>
      </c>
      <c r="C98">
        <v>16814257</v>
      </c>
      <c r="D98">
        <v>15249073</v>
      </c>
      <c r="E98">
        <v>1</v>
      </c>
      <c r="F98">
        <v>1</v>
      </c>
      <c r="G98">
        <v>1</v>
      </c>
      <c r="H98">
        <v>2</v>
      </c>
      <c r="I98" t="s">
        <v>782</v>
      </c>
      <c r="J98" t="s">
        <v>783</v>
      </c>
      <c r="K98" t="s">
        <v>784</v>
      </c>
      <c r="L98">
        <v>1368</v>
      </c>
      <c r="N98">
        <v>1011</v>
      </c>
      <c r="O98" t="s">
        <v>779</v>
      </c>
      <c r="P98" t="s">
        <v>779</v>
      </c>
      <c r="Q98">
        <v>1</v>
      </c>
      <c r="X98">
        <v>0.1</v>
      </c>
      <c r="Y98">
        <v>0</v>
      </c>
      <c r="Z98">
        <v>65.709999999999994</v>
      </c>
      <c r="AA98">
        <v>11.6</v>
      </c>
      <c r="AB98">
        <v>0</v>
      </c>
      <c r="AC98">
        <v>0</v>
      </c>
      <c r="AD98">
        <v>1</v>
      </c>
      <c r="AE98">
        <v>0</v>
      </c>
      <c r="AF98" t="s">
        <v>103</v>
      </c>
      <c r="AG98">
        <v>0.125</v>
      </c>
      <c r="AH98">
        <v>2</v>
      </c>
      <c r="AI98">
        <v>16814260</v>
      </c>
      <c r="AJ98">
        <v>86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ROW(Source!A53)</f>
        <v>53</v>
      </c>
      <c r="B99">
        <v>16814261</v>
      </c>
      <c r="C99">
        <v>16814257</v>
      </c>
      <c r="D99">
        <v>15162728</v>
      </c>
      <c r="E99">
        <v>17</v>
      </c>
      <c r="F99">
        <v>1</v>
      </c>
      <c r="G99">
        <v>1</v>
      </c>
      <c r="H99">
        <v>3</v>
      </c>
      <c r="I99" t="s">
        <v>164</v>
      </c>
      <c r="J99" t="s">
        <v>6</v>
      </c>
      <c r="K99" t="s">
        <v>165</v>
      </c>
      <c r="L99">
        <v>1327</v>
      </c>
      <c r="N99">
        <v>1005</v>
      </c>
      <c r="O99" t="s">
        <v>28</v>
      </c>
      <c r="P99" t="s">
        <v>28</v>
      </c>
      <c r="Q99">
        <v>1</v>
      </c>
      <c r="X99">
        <v>102.5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6</v>
      </c>
      <c r="AG99">
        <v>102.5</v>
      </c>
      <c r="AH99">
        <v>2</v>
      </c>
      <c r="AI99">
        <v>16814261</v>
      </c>
      <c r="AJ99">
        <v>87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ROW(Source!A53)</f>
        <v>53</v>
      </c>
      <c r="B100">
        <v>16814262</v>
      </c>
      <c r="C100">
        <v>16814257</v>
      </c>
      <c r="D100">
        <v>15197694</v>
      </c>
      <c r="E100">
        <v>1</v>
      </c>
      <c r="F100">
        <v>1</v>
      </c>
      <c r="G100">
        <v>1</v>
      </c>
      <c r="H100">
        <v>3</v>
      </c>
      <c r="I100" t="s">
        <v>871</v>
      </c>
      <c r="J100" t="s">
        <v>872</v>
      </c>
      <c r="K100" t="s">
        <v>873</v>
      </c>
      <c r="L100">
        <v>1330</v>
      </c>
      <c r="N100">
        <v>1005</v>
      </c>
      <c r="O100" t="s">
        <v>300</v>
      </c>
      <c r="P100" t="s">
        <v>300</v>
      </c>
      <c r="Q100">
        <v>10</v>
      </c>
      <c r="X100">
        <v>10.5</v>
      </c>
      <c r="Y100">
        <v>34.9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10.5</v>
      </c>
      <c r="AH100">
        <v>2</v>
      </c>
      <c r="AI100">
        <v>16814262</v>
      </c>
      <c r="AJ100">
        <v>89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ROW(Source!A56)</f>
        <v>56</v>
      </c>
      <c r="B101">
        <v>16813207</v>
      </c>
      <c r="C101">
        <v>16813188</v>
      </c>
      <c r="D101">
        <v>15438286</v>
      </c>
      <c r="E101">
        <v>1</v>
      </c>
      <c r="F101">
        <v>1</v>
      </c>
      <c r="G101">
        <v>1</v>
      </c>
      <c r="H101">
        <v>1</v>
      </c>
      <c r="I101" t="s">
        <v>874</v>
      </c>
      <c r="J101" t="s">
        <v>6</v>
      </c>
      <c r="K101" t="s">
        <v>875</v>
      </c>
      <c r="L101">
        <v>1191</v>
      </c>
      <c r="N101">
        <v>1013</v>
      </c>
      <c r="O101" t="s">
        <v>773</v>
      </c>
      <c r="P101" t="s">
        <v>773</v>
      </c>
      <c r="Q101">
        <v>1</v>
      </c>
      <c r="X101">
        <v>6.68</v>
      </c>
      <c r="Y101">
        <v>0</v>
      </c>
      <c r="Z101">
        <v>0</v>
      </c>
      <c r="AA101">
        <v>0</v>
      </c>
      <c r="AB101">
        <v>9.18</v>
      </c>
      <c r="AC101">
        <v>0</v>
      </c>
      <c r="AD101">
        <v>1</v>
      </c>
      <c r="AE101">
        <v>1</v>
      </c>
      <c r="AF101" t="s">
        <v>104</v>
      </c>
      <c r="AG101">
        <v>7.6819999999999995</v>
      </c>
      <c r="AH101">
        <v>2</v>
      </c>
      <c r="AI101">
        <v>16813189</v>
      </c>
      <c r="AJ101">
        <v>90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ROW(Source!A56)</f>
        <v>56</v>
      </c>
      <c r="B102">
        <v>16813208</v>
      </c>
      <c r="C102">
        <v>16813188</v>
      </c>
      <c r="D102">
        <v>15430395</v>
      </c>
      <c r="E102">
        <v>1</v>
      </c>
      <c r="F102">
        <v>1</v>
      </c>
      <c r="G102">
        <v>1</v>
      </c>
      <c r="H102">
        <v>1</v>
      </c>
      <c r="I102" t="s">
        <v>774</v>
      </c>
      <c r="J102" t="s">
        <v>6</v>
      </c>
      <c r="K102" t="s">
        <v>775</v>
      </c>
      <c r="L102">
        <v>1191</v>
      </c>
      <c r="N102">
        <v>1013</v>
      </c>
      <c r="O102" t="s">
        <v>773</v>
      </c>
      <c r="P102" t="s">
        <v>773</v>
      </c>
      <c r="Q102">
        <v>1</v>
      </c>
      <c r="X102">
        <v>0.04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103</v>
      </c>
      <c r="AG102">
        <v>0.05</v>
      </c>
      <c r="AH102">
        <v>2</v>
      </c>
      <c r="AI102">
        <v>16813190</v>
      </c>
      <c r="AJ102">
        <v>91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ROW(Source!A56)</f>
        <v>56</v>
      </c>
      <c r="B103">
        <v>16813209</v>
      </c>
      <c r="C103">
        <v>16813188</v>
      </c>
      <c r="D103">
        <v>15247974</v>
      </c>
      <c r="E103">
        <v>1</v>
      </c>
      <c r="F103">
        <v>1</v>
      </c>
      <c r="G103">
        <v>1</v>
      </c>
      <c r="H103">
        <v>2</v>
      </c>
      <c r="I103" t="s">
        <v>776</v>
      </c>
      <c r="J103" t="s">
        <v>777</v>
      </c>
      <c r="K103" t="s">
        <v>778</v>
      </c>
      <c r="L103">
        <v>1368</v>
      </c>
      <c r="N103">
        <v>1011</v>
      </c>
      <c r="O103" t="s">
        <v>779</v>
      </c>
      <c r="P103" t="s">
        <v>779</v>
      </c>
      <c r="Q103">
        <v>1</v>
      </c>
      <c r="X103">
        <v>5.0000000000000001E-3</v>
      </c>
      <c r="Y103">
        <v>0</v>
      </c>
      <c r="Z103">
        <v>31.26</v>
      </c>
      <c r="AA103">
        <v>13.5</v>
      </c>
      <c r="AB103">
        <v>0</v>
      </c>
      <c r="AC103">
        <v>0</v>
      </c>
      <c r="AD103">
        <v>1</v>
      </c>
      <c r="AE103">
        <v>0</v>
      </c>
      <c r="AF103" t="s">
        <v>103</v>
      </c>
      <c r="AG103">
        <v>6.2500000000000003E-3</v>
      </c>
      <c r="AH103">
        <v>2</v>
      </c>
      <c r="AI103">
        <v>16813191</v>
      </c>
      <c r="AJ103">
        <v>92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ROW(Source!A56)</f>
        <v>56</v>
      </c>
      <c r="B104">
        <v>16813210</v>
      </c>
      <c r="C104">
        <v>16813188</v>
      </c>
      <c r="D104">
        <v>15249073</v>
      </c>
      <c r="E104">
        <v>1</v>
      </c>
      <c r="F104">
        <v>1</v>
      </c>
      <c r="G104">
        <v>1</v>
      </c>
      <c r="H104">
        <v>2</v>
      </c>
      <c r="I104" t="s">
        <v>782</v>
      </c>
      <c r="J104" t="s">
        <v>783</v>
      </c>
      <c r="K104" t="s">
        <v>784</v>
      </c>
      <c r="L104">
        <v>1368</v>
      </c>
      <c r="N104">
        <v>1011</v>
      </c>
      <c r="O104" t="s">
        <v>779</v>
      </c>
      <c r="P104" t="s">
        <v>779</v>
      </c>
      <c r="Q104">
        <v>1</v>
      </c>
      <c r="X104">
        <v>0.03</v>
      </c>
      <c r="Y104">
        <v>0</v>
      </c>
      <c r="Z104">
        <v>65.709999999999994</v>
      </c>
      <c r="AA104">
        <v>11.6</v>
      </c>
      <c r="AB104">
        <v>0</v>
      </c>
      <c r="AC104">
        <v>0</v>
      </c>
      <c r="AD104">
        <v>1</v>
      </c>
      <c r="AE104">
        <v>0</v>
      </c>
      <c r="AF104" t="s">
        <v>103</v>
      </c>
      <c r="AG104">
        <v>3.7499999999999999E-2</v>
      </c>
      <c r="AH104">
        <v>2</v>
      </c>
      <c r="AI104">
        <v>16813192</v>
      </c>
      <c r="AJ104">
        <v>93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ROW(Source!A56)</f>
        <v>56</v>
      </c>
      <c r="B105">
        <v>16813211</v>
      </c>
      <c r="C105">
        <v>16813188</v>
      </c>
      <c r="D105">
        <v>15169972</v>
      </c>
      <c r="E105">
        <v>1</v>
      </c>
      <c r="F105">
        <v>1</v>
      </c>
      <c r="G105">
        <v>1</v>
      </c>
      <c r="H105">
        <v>3</v>
      </c>
      <c r="I105" t="s">
        <v>876</v>
      </c>
      <c r="J105" t="s">
        <v>877</v>
      </c>
      <c r="K105" t="s">
        <v>878</v>
      </c>
      <c r="L105">
        <v>1355</v>
      </c>
      <c r="N105">
        <v>1010</v>
      </c>
      <c r="O105" t="s">
        <v>188</v>
      </c>
      <c r="P105" t="s">
        <v>188</v>
      </c>
      <c r="Q105">
        <v>100</v>
      </c>
      <c r="X105">
        <v>2.63</v>
      </c>
      <c r="Y105">
        <v>12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6</v>
      </c>
      <c r="AG105">
        <v>2.63</v>
      </c>
      <c r="AH105">
        <v>2</v>
      </c>
      <c r="AI105">
        <v>16813193</v>
      </c>
      <c r="AJ105">
        <v>94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ROW(Source!A56)</f>
        <v>56</v>
      </c>
      <c r="B106">
        <v>16813212</v>
      </c>
      <c r="C106">
        <v>16813188</v>
      </c>
      <c r="D106">
        <v>15170075</v>
      </c>
      <c r="E106">
        <v>1</v>
      </c>
      <c r="F106">
        <v>1</v>
      </c>
      <c r="G106">
        <v>1</v>
      </c>
      <c r="H106">
        <v>3</v>
      </c>
      <c r="I106" t="s">
        <v>879</v>
      </c>
      <c r="J106" t="s">
        <v>880</v>
      </c>
      <c r="K106" t="s">
        <v>881</v>
      </c>
      <c r="L106">
        <v>1356</v>
      </c>
      <c r="N106">
        <v>1010</v>
      </c>
      <c r="O106" t="s">
        <v>882</v>
      </c>
      <c r="P106" t="s">
        <v>882</v>
      </c>
      <c r="Q106">
        <v>1000</v>
      </c>
      <c r="X106">
        <v>0.26300000000000001</v>
      </c>
      <c r="Y106">
        <v>160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0.26300000000000001</v>
      </c>
      <c r="AH106">
        <v>2</v>
      </c>
      <c r="AI106">
        <v>16813194</v>
      </c>
      <c r="AJ106">
        <v>95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ROW(Source!A56)</f>
        <v>56</v>
      </c>
      <c r="B107">
        <v>16813213</v>
      </c>
      <c r="C107">
        <v>16813188</v>
      </c>
      <c r="D107">
        <v>15162756</v>
      </c>
      <c r="E107">
        <v>17</v>
      </c>
      <c r="F107">
        <v>1</v>
      </c>
      <c r="G107">
        <v>1</v>
      </c>
      <c r="H107">
        <v>3</v>
      </c>
      <c r="I107" t="s">
        <v>175</v>
      </c>
      <c r="J107" t="s">
        <v>6</v>
      </c>
      <c r="K107" t="s">
        <v>176</v>
      </c>
      <c r="L107">
        <v>1301</v>
      </c>
      <c r="N107">
        <v>1003</v>
      </c>
      <c r="O107" t="s">
        <v>177</v>
      </c>
      <c r="P107" t="s">
        <v>177</v>
      </c>
      <c r="Q107">
        <v>1</v>
      </c>
      <c r="X107">
        <v>101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 t="s">
        <v>6</v>
      </c>
      <c r="AG107">
        <v>101</v>
      </c>
      <c r="AH107">
        <v>2</v>
      </c>
      <c r="AI107">
        <v>16813195</v>
      </c>
      <c r="AJ107">
        <v>96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ROW(Source!A56)</f>
        <v>56</v>
      </c>
      <c r="B108">
        <v>16813214</v>
      </c>
      <c r="C108">
        <v>16813188</v>
      </c>
      <c r="D108">
        <v>15162759</v>
      </c>
      <c r="E108">
        <v>17</v>
      </c>
      <c r="F108">
        <v>1</v>
      </c>
      <c r="G108">
        <v>1</v>
      </c>
      <c r="H108">
        <v>3</v>
      </c>
      <c r="I108" t="s">
        <v>183</v>
      </c>
      <c r="J108" t="s">
        <v>6</v>
      </c>
      <c r="K108" t="s">
        <v>184</v>
      </c>
      <c r="L108">
        <v>1354</v>
      </c>
      <c r="N108">
        <v>1010</v>
      </c>
      <c r="O108" t="s">
        <v>62</v>
      </c>
      <c r="P108" t="s">
        <v>62</v>
      </c>
      <c r="Q108">
        <v>1</v>
      </c>
      <c r="X108">
        <v>7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6</v>
      </c>
      <c r="AG108">
        <v>7</v>
      </c>
      <c r="AH108">
        <v>2</v>
      </c>
      <c r="AI108">
        <v>16813197</v>
      </c>
      <c r="AJ108">
        <v>98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ROW(Source!A56)</f>
        <v>56</v>
      </c>
      <c r="B109">
        <v>16813215</v>
      </c>
      <c r="C109">
        <v>16813188</v>
      </c>
      <c r="D109">
        <v>15162759</v>
      </c>
      <c r="E109">
        <v>17</v>
      </c>
      <c r="F109">
        <v>1</v>
      </c>
      <c r="G109">
        <v>1</v>
      </c>
      <c r="H109">
        <v>3</v>
      </c>
      <c r="I109" t="s">
        <v>183</v>
      </c>
      <c r="J109" t="s">
        <v>6</v>
      </c>
      <c r="K109" t="s">
        <v>207</v>
      </c>
      <c r="L109">
        <v>1354</v>
      </c>
      <c r="N109">
        <v>1010</v>
      </c>
      <c r="O109" t="s">
        <v>62</v>
      </c>
      <c r="P109" t="s">
        <v>62</v>
      </c>
      <c r="Q109">
        <v>1</v>
      </c>
      <c r="X109">
        <v>7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6</v>
      </c>
      <c r="AG109">
        <v>7</v>
      </c>
      <c r="AH109">
        <v>2</v>
      </c>
      <c r="AI109">
        <v>16813198</v>
      </c>
      <c r="AJ109">
        <v>99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ROW(Source!A56)</f>
        <v>56</v>
      </c>
      <c r="B110">
        <v>16813216</v>
      </c>
      <c r="C110">
        <v>16813188</v>
      </c>
      <c r="D110">
        <v>15162759</v>
      </c>
      <c r="E110">
        <v>17</v>
      </c>
      <c r="F110">
        <v>1</v>
      </c>
      <c r="G110">
        <v>1</v>
      </c>
      <c r="H110">
        <v>3</v>
      </c>
      <c r="I110" t="s">
        <v>183</v>
      </c>
      <c r="J110" t="s">
        <v>6</v>
      </c>
      <c r="K110" t="s">
        <v>209</v>
      </c>
      <c r="L110">
        <v>1354</v>
      </c>
      <c r="N110">
        <v>1010</v>
      </c>
      <c r="O110" t="s">
        <v>62</v>
      </c>
      <c r="P110" t="s">
        <v>62</v>
      </c>
      <c r="Q110">
        <v>1</v>
      </c>
      <c r="X110">
        <v>40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6</v>
      </c>
      <c r="AG110">
        <v>40</v>
      </c>
      <c r="AH110">
        <v>2</v>
      </c>
      <c r="AI110">
        <v>16813199</v>
      </c>
      <c r="AJ110">
        <v>100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ROW(Source!A56)</f>
        <v>56</v>
      </c>
      <c r="B111">
        <v>16813217</v>
      </c>
      <c r="C111">
        <v>16813188</v>
      </c>
      <c r="D111">
        <v>15162759</v>
      </c>
      <c r="E111">
        <v>17</v>
      </c>
      <c r="F111">
        <v>1</v>
      </c>
      <c r="G111">
        <v>1</v>
      </c>
      <c r="H111">
        <v>3</v>
      </c>
      <c r="I111" t="s">
        <v>183</v>
      </c>
      <c r="J111" t="s">
        <v>6</v>
      </c>
      <c r="K111" t="s">
        <v>211</v>
      </c>
      <c r="L111">
        <v>1354</v>
      </c>
      <c r="N111">
        <v>1010</v>
      </c>
      <c r="O111" t="s">
        <v>62</v>
      </c>
      <c r="P111" t="s">
        <v>62</v>
      </c>
      <c r="Q111">
        <v>1</v>
      </c>
      <c r="X111">
        <v>8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 t="s">
        <v>6</v>
      </c>
      <c r="AG111">
        <v>8</v>
      </c>
      <c r="AH111">
        <v>2</v>
      </c>
      <c r="AI111">
        <v>16813200</v>
      </c>
      <c r="AJ111">
        <v>101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ROW(Source!A56)</f>
        <v>56</v>
      </c>
      <c r="B112">
        <v>16813218</v>
      </c>
      <c r="C112">
        <v>16813188</v>
      </c>
      <c r="D112">
        <v>15162759</v>
      </c>
      <c r="E112">
        <v>17</v>
      </c>
      <c r="F112">
        <v>1</v>
      </c>
      <c r="G112">
        <v>1</v>
      </c>
      <c r="H112">
        <v>3</v>
      </c>
      <c r="I112" t="s">
        <v>183</v>
      </c>
      <c r="J112" t="s">
        <v>6</v>
      </c>
      <c r="K112" t="s">
        <v>213</v>
      </c>
      <c r="L112">
        <v>1354</v>
      </c>
      <c r="N112">
        <v>1010</v>
      </c>
      <c r="O112" t="s">
        <v>62</v>
      </c>
      <c r="P112" t="s">
        <v>62</v>
      </c>
      <c r="Q112">
        <v>1</v>
      </c>
      <c r="X112">
        <v>8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6</v>
      </c>
      <c r="AG112">
        <v>8</v>
      </c>
      <c r="AH112">
        <v>2</v>
      </c>
      <c r="AI112">
        <v>16813201</v>
      </c>
      <c r="AJ112">
        <v>102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ROW(Source!A69)</f>
        <v>69</v>
      </c>
      <c r="B113">
        <v>16813237</v>
      </c>
      <c r="C113">
        <v>16813231</v>
      </c>
      <c r="D113">
        <v>15436014</v>
      </c>
      <c r="E113">
        <v>1</v>
      </c>
      <c r="F113">
        <v>1</v>
      </c>
      <c r="G113">
        <v>1</v>
      </c>
      <c r="H113">
        <v>1</v>
      </c>
      <c r="I113" t="s">
        <v>883</v>
      </c>
      <c r="J113" t="s">
        <v>6</v>
      </c>
      <c r="K113" t="s">
        <v>884</v>
      </c>
      <c r="L113">
        <v>1191</v>
      </c>
      <c r="N113">
        <v>1013</v>
      </c>
      <c r="O113" t="s">
        <v>773</v>
      </c>
      <c r="P113" t="s">
        <v>773</v>
      </c>
      <c r="Q113">
        <v>1</v>
      </c>
      <c r="X113">
        <v>16.64</v>
      </c>
      <c r="Y113">
        <v>0</v>
      </c>
      <c r="Z113">
        <v>0</v>
      </c>
      <c r="AA113">
        <v>0</v>
      </c>
      <c r="AB113">
        <v>8.74</v>
      </c>
      <c r="AC113">
        <v>0</v>
      </c>
      <c r="AD113">
        <v>1</v>
      </c>
      <c r="AE113">
        <v>1</v>
      </c>
      <c r="AF113" t="s">
        <v>104</v>
      </c>
      <c r="AG113">
        <v>19.135999999999999</v>
      </c>
      <c r="AH113">
        <v>2</v>
      </c>
      <c r="AI113">
        <v>16813232</v>
      </c>
      <c r="AJ113">
        <v>108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ROW(Source!A69)</f>
        <v>69</v>
      </c>
      <c r="B114">
        <v>16813238</v>
      </c>
      <c r="C114">
        <v>16813231</v>
      </c>
      <c r="D114">
        <v>15169972</v>
      </c>
      <c r="E114">
        <v>1</v>
      </c>
      <c r="F114">
        <v>1</v>
      </c>
      <c r="G114">
        <v>1</v>
      </c>
      <c r="H114">
        <v>3</v>
      </c>
      <c r="I114" t="s">
        <v>876</v>
      </c>
      <c r="J114" t="s">
        <v>877</v>
      </c>
      <c r="K114" t="s">
        <v>878</v>
      </c>
      <c r="L114">
        <v>1355</v>
      </c>
      <c r="N114">
        <v>1010</v>
      </c>
      <c r="O114" t="s">
        <v>188</v>
      </c>
      <c r="P114" t="s">
        <v>188</v>
      </c>
      <c r="Q114">
        <v>100</v>
      </c>
      <c r="X114">
        <v>6.7</v>
      </c>
      <c r="Y114">
        <v>12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6.7</v>
      </c>
      <c r="AH114">
        <v>2</v>
      </c>
      <c r="AI114">
        <v>16813233</v>
      </c>
      <c r="AJ114">
        <v>109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ROW(Source!A69)</f>
        <v>69</v>
      </c>
      <c r="B115">
        <v>16813239</v>
      </c>
      <c r="C115">
        <v>16813231</v>
      </c>
      <c r="D115">
        <v>15162775</v>
      </c>
      <c r="E115">
        <v>17</v>
      </c>
      <c r="F115">
        <v>1</v>
      </c>
      <c r="G115">
        <v>1</v>
      </c>
      <c r="H115">
        <v>3</v>
      </c>
      <c r="I115" t="s">
        <v>227</v>
      </c>
      <c r="J115" t="s">
        <v>6</v>
      </c>
      <c r="K115" t="s">
        <v>228</v>
      </c>
      <c r="L115">
        <v>1301</v>
      </c>
      <c r="N115">
        <v>1003</v>
      </c>
      <c r="O115" t="s">
        <v>177</v>
      </c>
      <c r="P115" t="s">
        <v>177</v>
      </c>
      <c r="Q115">
        <v>1</v>
      </c>
      <c r="X115">
        <v>105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 t="s">
        <v>6</v>
      </c>
      <c r="AG115">
        <v>105</v>
      </c>
      <c r="AH115">
        <v>2</v>
      </c>
      <c r="AI115">
        <v>16813234</v>
      </c>
      <c r="AJ115">
        <v>110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ROW(Source!A73)</f>
        <v>73</v>
      </c>
      <c r="B116">
        <v>16813266</v>
      </c>
      <c r="C116">
        <v>16813260</v>
      </c>
      <c r="D116">
        <v>15430397</v>
      </c>
      <c r="E116">
        <v>1</v>
      </c>
      <c r="F116">
        <v>1</v>
      </c>
      <c r="G116">
        <v>1</v>
      </c>
      <c r="H116">
        <v>1</v>
      </c>
      <c r="I116" t="s">
        <v>838</v>
      </c>
      <c r="J116" t="s">
        <v>6</v>
      </c>
      <c r="K116" t="s">
        <v>839</v>
      </c>
      <c r="L116">
        <v>1191</v>
      </c>
      <c r="N116">
        <v>1013</v>
      </c>
      <c r="O116" t="s">
        <v>773</v>
      </c>
      <c r="P116" t="s">
        <v>773</v>
      </c>
      <c r="Q116">
        <v>1</v>
      </c>
      <c r="X116">
        <v>102.46</v>
      </c>
      <c r="Y116">
        <v>0</v>
      </c>
      <c r="Z116">
        <v>0</v>
      </c>
      <c r="AA116">
        <v>0</v>
      </c>
      <c r="AB116">
        <v>9.4</v>
      </c>
      <c r="AC116">
        <v>0</v>
      </c>
      <c r="AD116">
        <v>1</v>
      </c>
      <c r="AE116">
        <v>1</v>
      </c>
      <c r="AF116" t="s">
        <v>104</v>
      </c>
      <c r="AG116">
        <v>117.82899999999998</v>
      </c>
      <c r="AH116">
        <v>2</v>
      </c>
      <c r="AI116">
        <v>16813261</v>
      </c>
      <c r="AJ116">
        <v>113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ROW(Source!A73)</f>
        <v>73</v>
      </c>
      <c r="B117">
        <v>16813267</v>
      </c>
      <c r="C117">
        <v>16813260</v>
      </c>
      <c r="D117">
        <v>15430395</v>
      </c>
      <c r="E117">
        <v>1</v>
      </c>
      <c r="F117">
        <v>1</v>
      </c>
      <c r="G117">
        <v>1</v>
      </c>
      <c r="H117">
        <v>1</v>
      </c>
      <c r="I117" t="s">
        <v>774</v>
      </c>
      <c r="J117" t="s">
        <v>6</v>
      </c>
      <c r="K117" t="s">
        <v>775</v>
      </c>
      <c r="L117">
        <v>1191</v>
      </c>
      <c r="N117">
        <v>1013</v>
      </c>
      <c r="O117" t="s">
        <v>773</v>
      </c>
      <c r="P117" t="s">
        <v>773</v>
      </c>
      <c r="Q117">
        <v>1</v>
      </c>
      <c r="X117">
        <v>5.34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103</v>
      </c>
      <c r="AG117">
        <v>6.6749999999999998</v>
      </c>
      <c r="AH117">
        <v>2</v>
      </c>
      <c r="AI117">
        <v>16813262</v>
      </c>
      <c r="AJ117">
        <v>114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ROW(Source!A73)</f>
        <v>73</v>
      </c>
      <c r="B118">
        <v>16813268</v>
      </c>
      <c r="C118">
        <v>16813260</v>
      </c>
      <c r="D118">
        <v>15247974</v>
      </c>
      <c r="E118">
        <v>1</v>
      </c>
      <c r="F118">
        <v>1</v>
      </c>
      <c r="G118">
        <v>1</v>
      </c>
      <c r="H118">
        <v>2</v>
      </c>
      <c r="I118" t="s">
        <v>776</v>
      </c>
      <c r="J118" t="s">
        <v>777</v>
      </c>
      <c r="K118" t="s">
        <v>778</v>
      </c>
      <c r="L118">
        <v>1368</v>
      </c>
      <c r="N118">
        <v>1011</v>
      </c>
      <c r="O118" t="s">
        <v>779</v>
      </c>
      <c r="P118" t="s">
        <v>779</v>
      </c>
      <c r="Q118">
        <v>1</v>
      </c>
      <c r="X118">
        <v>0.76</v>
      </c>
      <c r="Y118">
        <v>0</v>
      </c>
      <c r="Z118">
        <v>31.26</v>
      </c>
      <c r="AA118">
        <v>13.5</v>
      </c>
      <c r="AB118">
        <v>0</v>
      </c>
      <c r="AC118">
        <v>0</v>
      </c>
      <c r="AD118">
        <v>1</v>
      </c>
      <c r="AE118">
        <v>0</v>
      </c>
      <c r="AF118" t="s">
        <v>103</v>
      </c>
      <c r="AG118">
        <v>0.95</v>
      </c>
      <c r="AH118">
        <v>2</v>
      </c>
      <c r="AI118">
        <v>16813263</v>
      </c>
      <c r="AJ118">
        <v>115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ROW(Source!A73)</f>
        <v>73</v>
      </c>
      <c r="B119">
        <v>16813269</v>
      </c>
      <c r="C119">
        <v>16813260</v>
      </c>
      <c r="D119">
        <v>15249073</v>
      </c>
      <c r="E119">
        <v>1</v>
      </c>
      <c r="F119">
        <v>1</v>
      </c>
      <c r="G119">
        <v>1</v>
      </c>
      <c r="H119">
        <v>2</v>
      </c>
      <c r="I119" t="s">
        <v>782</v>
      </c>
      <c r="J119" t="s">
        <v>783</v>
      </c>
      <c r="K119" t="s">
        <v>784</v>
      </c>
      <c r="L119">
        <v>1368</v>
      </c>
      <c r="N119">
        <v>1011</v>
      </c>
      <c r="O119" t="s">
        <v>779</v>
      </c>
      <c r="P119" t="s">
        <v>779</v>
      </c>
      <c r="Q119">
        <v>1</v>
      </c>
      <c r="X119">
        <v>4.58</v>
      </c>
      <c r="Y119">
        <v>0</v>
      </c>
      <c r="Z119">
        <v>65.709999999999994</v>
      </c>
      <c r="AA119">
        <v>11.6</v>
      </c>
      <c r="AB119">
        <v>0</v>
      </c>
      <c r="AC119">
        <v>0</v>
      </c>
      <c r="AD119">
        <v>1</v>
      </c>
      <c r="AE119">
        <v>0</v>
      </c>
      <c r="AF119" t="s">
        <v>103</v>
      </c>
      <c r="AG119">
        <v>5.7249999999999996</v>
      </c>
      <c r="AH119">
        <v>2</v>
      </c>
      <c r="AI119">
        <v>16813264</v>
      </c>
      <c r="AJ119">
        <v>116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ROW(Source!A73)</f>
        <v>73</v>
      </c>
      <c r="B120">
        <v>16813270</v>
      </c>
      <c r="C120">
        <v>16813260</v>
      </c>
      <c r="D120">
        <v>15167143</v>
      </c>
      <c r="E120">
        <v>1</v>
      </c>
      <c r="F120">
        <v>1</v>
      </c>
      <c r="G120">
        <v>1</v>
      </c>
      <c r="H120">
        <v>3</v>
      </c>
      <c r="I120" t="s">
        <v>885</v>
      </c>
      <c r="J120" t="s">
        <v>886</v>
      </c>
      <c r="K120" t="s">
        <v>887</v>
      </c>
      <c r="L120">
        <v>1327</v>
      </c>
      <c r="N120">
        <v>1005</v>
      </c>
      <c r="O120" t="s">
        <v>28</v>
      </c>
      <c r="P120" t="s">
        <v>28</v>
      </c>
      <c r="Q120">
        <v>1</v>
      </c>
      <c r="X120">
        <v>103</v>
      </c>
      <c r="Y120">
        <v>51.8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6</v>
      </c>
      <c r="AG120">
        <v>103</v>
      </c>
      <c r="AH120">
        <v>2</v>
      </c>
      <c r="AI120">
        <v>16813265</v>
      </c>
      <c r="AJ120">
        <v>117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ROW(Source!A74)</f>
        <v>74</v>
      </c>
      <c r="B121">
        <v>16814267</v>
      </c>
      <c r="C121">
        <v>16814266</v>
      </c>
      <c r="D121">
        <v>15430447</v>
      </c>
      <c r="E121">
        <v>1</v>
      </c>
      <c r="F121">
        <v>1</v>
      </c>
      <c r="G121">
        <v>1</v>
      </c>
      <c r="H121">
        <v>1</v>
      </c>
      <c r="I121" t="s">
        <v>888</v>
      </c>
      <c r="J121" t="s">
        <v>6</v>
      </c>
      <c r="K121" t="s">
        <v>889</v>
      </c>
      <c r="L121">
        <v>1191</v>
      </c>
      <c r="N121">
        <v>1013</v>
      </c>
      <c r="O121" t="s">
        <v>773</v>
      </c>
      <c r="P121" t="s">
        <v>773</v>
      </c>
      <c r="Q121">
        <v>1</v>
      </c>
      <c r="X121">
        <v>98</v>
      </c>
      <c r="Y121">
        <v>0</v>
      </c>
      <c r="Z121">
        <v>0</v>
      </c>
      <c r="AA121">
        <v>0</v>
      </c>
      <c r="AB121">
        <v>9.07</v>
      </c>
      <c r="AC121">
        <v>0</v>
      </c>
      <c r="AD121">
        <v>1</v>
      </c>
      <c r="AE121">
        <v>1</v>
      </c>
      <c r="AF121" t="s">
        <v>104</v>
      </c>
      <c r="AG121">
        <v>112.69999999999999</v>
      </c>
      <c r="AH121">
        <v>2</v>
      </c>
      <c r="AI121">
        <v>16814267</v>
      </c>
      <c r="AJ121">
        <v>118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ROW(Source!A74)</f>
        <v>74</v>
      </c>
      <c r="B122">
        <v>16814268</v>
      </c>
      <c r="C122">
        <v>16814266</v>
      </c>
      <c r="D122">
        <v>15250017</v>
      </c>
      <c r="E122">
        <v>1</v>
      </c>
      <c r="F122">
        <v>1</v>
      </c>
      <c r="G122">
        <v>1</v>
      </c>
      <c r="H122">
        <v>2</v>
      </c>
      <c r="I122" t="s">
        <v>890</v>
      </c>
      <c r="J122" t="s">
        <v>891</v>
      </c>
      <c r="K122" t="s">
        <v>892</v>
      </c>
      <c r="L122">
        <v>1368</v>
      </c>
      <c r="N122">
        <v>1011</v>
      </c>
      <c r="O122" t="s">
        <v>779</v>
      </c>
      <c r="P122" t="s">
        <v>779</v>
      </c>
      <c r="Q122">
        <v>1</v>
      </c>
      <c r="X122">
        <v>0.56000000000000005</v>
      </c>
      <c r="Y122">
        <v>0</v>
      </c>
      <c r="Z122">
        <v>33.590000000000003</v>
      </c>
      <c r="AA122">
        <v>0</v>
      </c>
      <c r="AB122">
        <v>0</v>
      </c>
      <c r="AC122">
        <v>0</v>
      </c>
      <c r="AD122">
        <v>1</v>
      </c>
      <c r="AE122">
        <v>0</v>
      </c>
      <c r="AF122" t="s">
        <v>103</v>
      </c>
      <c r="AG122">
        <v>0.70000000000000007</v>
      </c>
      <c r="AH122">
        <v>2</v>
      </c>
      <c r="AI122">
        <v>16814268</v>
      </c>
      <c r="AJ122">
        <v>119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ROW(Source!A74)</f>
        <v>74</v>
      </c>
      <c r="B123">
        <v>16814269</v>
      </c>
      <c r="C123">
        <v>16814266</v>
      </c>
      <c r="D123">
        <v>15162588</v>
      </c>
      <c r="E123">
        <v>17</v>
      </c>
      <c r="F123">
        <v>1</v>
      </c>
      <c r="G123">
        <v>1</v>
      </c>
      <c r="H123">
        <v>3</v>
      </c>
      <c r="I123" t="s">
        <v>238</v>
      </c>
      <c r="J123" t="s">
        <v>6</v>
      </c>
      <c r="K123" t="s">
        <v>239</v>
      </c>
      <c r="L123">
        <v>1327</v>
      </c>
      <c r="N123">
        <v>1005</v>
      </c>
      <c r="O123" t="s">
        <v>28</v>
      </c>
      <c r="P123" t="s">
        <v>28</v>
      </c>
      <c r="Q123">
        <v>1</v>
      </c>
      <c r="X123">
        <v>210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 t="s">
        <v>6</v>
      </c>
      <c r="AG123">
        <v>210</v>
      </c>
      <c r="AH123">
        <v>2</v>
      </c>
      <c r="AI123">
        <v>16814269</v>
      </c>
      <c r="AJ123">
        <v>120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ROW(Source!A74)</f>
        <v>74</v>
      </c>
      <c r="B124">
        <v>16814270</v>
      </c>
      <c r="C124">
        <v>16814266</v>
      </c>
      <c r="D124">
        <v>15167286</v>
      </c>
      <c r="E124">
        <v>1</v>
      </c>
      <c r="F124">
        <v>1</v>
      </c>
      <c r="G124">
        <v>1</v>
      </c>
      <c r="H124">
        <v>3</v>
      </c>
      <c r="I124" t="s">
        <v>801</v>
      </c>
      <c r="J124" t="s">
        <v>802</v>
      </c>
      <c r="K124" t="s">
        <v>803</v>
      </c>
      <c r="L124">
        <v>1339</v>
      </c>
      <c r="N124">
        <v>1007</v>
      </c>
      <c r="O124" t="s">
        <v>141</v>
      </c>
      <c r="P124" t="s">
        <v>141</v>
      </c>
      <c r="Q124">
        <v>1</v>
      </c>
      <c r="X124">
        <v>6.7000000000000004E-2</v>
      </c>
      <c r="Y124">
        <v>2.44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6.7000000000000004E-2</v>
      </c>
      <c r="AH124">
        <v>2</v>
      </c>
      <c r="AI124">
        <v>16814270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ROW(Source!A74)</f>
        <v>74</v>
      </c>
      <c r="B125">
        <v>16814271</v>
      </c>
      <c r="C125">
        <v>16814266</v>
      </c>
      <c r="D125">
        <v>15167572</v>
      </c>
      <c r="E125">
        <v>1</v>
      </c>
      <c r="F125">
        <v>1</v>
      </c>
      <c r="G125">
        <v>1</v>
      </c>
      <c r="H125">
        <v>3</v>
      </c>
      <c r="I125" t="s">
        <v>893</v>
      </c>
      <c r="J125" t="s">
        <v>894</v>
      </c>
      <c r="K125" t="s">
        <v>895</v>
      </c>
      <c r="L125">
        <v>1301</v>
      </c>
      <c r="N125">
        <v>1003</v>
      </c>
      <c r="O125" t="s">
        <v>177</v>
      </c>
      <c r="P125" t="s">
        <v>177</v>
      </c>
      <c r="Q125">
        <v>1</v>
      </c>
      <c r="X125">
        <v>152</v>
      </c>
      <c r="Y125">
        <v>0.17</v>
      </c>
      <c r="Z125">
        <v>0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6</v>
      </c>
      <c r="AG125">
        <v>152</v>
      </c>
      <c r="AH125">
        <v>2</v>
      </c>
      <c r="AI125">
        <v>16814271</v>
      </c>
      <c r="AJ125">
        <v>124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ROW(Source!A74)</f>
        <v>74</v>
      </c>
      <c r="B126">
        <v>16814272</v>
      </c>
      <c r="C126">
        <v>16814266</v>
      </c>
      <c r="D126">
        <v>15167577</v>
      </c>
      <c r="E126">
        <v>1</v>
      </c>
      <c r="F126">
        <v>1</v>
      </c>
      <c r="G126">
        <v>1</v>
      </c>
      <c r="H126">
        <v>3</v>
      </c>
      <c r="I126" t="s">
        <v>896</v>
      </c>
      <c r="J126" t="s">
        <v>897</v>
      </c>
      <c r="K126" t="s">
        <v>898</v>
      </c>
      <c r="L126">
        <v>1308</v>
      </c>
      <c r="N126">
        <v>1003</v>
      </c>
      <c r="O126" t="s">
        <v>39</v>
      </c>
      <c r="P126" t="s">
        <v>39</v>
      </c>
      <c r="Q126">
        <v>100</v>
      </c>
      <c r="X126">
        <v>1.77</v>
      </c>
      <c r="Y126">
        <v>173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6</v>
      </c>
      <c r="AG126">
        <v>1.77</v>
      </c>
      <c r="AH126">
        <v>2</v>
      </c>
      <c r="AI126">
        <v>16814272</v>
      </c>
      <c r="AJ126">
        <v>125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ROW(Source!A74)</f>
        <v>74</v>
      </c>
      <c r="B127">
        <v>16814273</v>
      </c>
      <c r="C127">
        <v>16814266</v>
      </c>
      <c r="D127">
        <v>15162565</v>
      </c>
      <c r="E127">
        <v>17</v>
      </c>
      <c r="F127">
        <v>1</v>
      </c>
      <c r="G127">
        <v>1</v>
      </c>
      <c r="H127">
        <v>3</v>
      </c>
      <c r="I127" t="s">
        <v>249</v>
      </c>
      <c r="J127" t="s">
        <v>6</v>
      </c>
      <c r="K127" t="s">
        <v>250</v>
      </c>
      <c r="L127">
        <v>1301</v>
      </c>
      <c r="N127">
        <v>1003</v>
      </c>
      <c r="O127" t="s">
        <v>177</v>
      </c>
      <c r="P127" t="s">
        <v>177</v>
      </c>
      <c r="Q127">
        <v>1</v>
      </c>
      <c r="X127">
        <v>126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6</v>
      </c>
      <c r="AG127">
        <v>126</v>
      </c>
      <c r="AH127">
        <v>2</v>
      </c>
      <c r="AI127">
        <v>16814273</v>
      </c>
      <c r="AJ127">
        <v>126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ROW(Source!A74)</f>
        <v>74</v>
      </c>
      <c r="B128">
        <v>16814274</v>
      </c>
      <c r="C128">
        <v>16814266</v>
      </c>
      <c r="D128">
        <v>15170155</v>
      </c>
      <c r="E128">
        <v>1</v>
      </c>
      <c r="F128">
        <v>1</v>
      </c>
      <c r="G128">
        <v>1</v>
      </c>
      <c r="H128">
        <v>3</v>
      </c>
      <c r="I128" t="s">
        <v>899</v>
      </c>
      <c r="J128" t="s">
        <v>900</v>
      </c>
      <c r="K128" t="s">
        <v>901</v>
      </c>
      <c r="L128">
        <v>1355</v>
      </c>
      <c r="N128">
        <v>1010</v>
      </c>
      <c r="O128" t="s">
        <v>188</v>
      </c>
      <c r="P128" t="s">
        <v>188</v>
      </c>
      <c r="Q128">
        <v>100</v>
      </c>
      <c r="X128">
        <v>1.69</v>
      </c>
      <c r="Y128">
        <v>8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6</v>
      </c>
      <c r="AG128">
        <v>1.69</v>
      </c>
      <c r="AH128">
        <v>2</v>
      </c>
      <c r="AI128">
        <v>16814274</v>
      </c>
      <c r="AJ128">
        <v>127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ROW(Source!A74)</f>
        <v>74</v>
      </c>
      <c r="B129">
        <v>16814275</v>
      </c>
      <c r="C129">
        <v>16814266</v>
      </c>
      <c r="D129">
        <v>15170385</v>
      </c>
      <c r="E129">
        <v>1</v>
      </c>
      <c r="F129">
        <v>1</v>
      </c>
      <c r="G129">
        <v>1</v>
      </c>
      <c r="H129">
        <v>3</v>
      </c>
      <c r="I129" t="s">
        <v>902</v>
      </c>
      <c r="J129" t="s">
        <v>903</v>
      </c>
      <c r="K129" t="s">
        <v>904</v>
      </c>
      <c r="L129">
        <v>1355</v>
      </c>
      <c r="N129">
        <v>1010</v>
      </c>
      <c r="O129" t="s">
        <v>188</v>
      </c>
      <c r="P129" t="s">
        <v>188</v>
      </c>
      <c r="Q129">
        <v>100</v>
      </c>
      <c r="X129">
        <v>35.33</v>
      </c>
      <c r="Y129">
        <v>2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6</v>
      </c>
      <c r="AG129">
        <v>35.33</v>
      </c>
      <c r="AH129">
        <v>2</v>
      </c>
      <c r="AI129">
        <v>16814275</v>
      </c>
      <c r="AJ129">
        <v>128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ROW(Source!A74)</f>
        <v>74</v>
      </c>
      <c r="B130">
        <v>16814276</v>
      </c>
      <c r="C130">
        <v>16814266</v>
      </c>
      <c r="D130">
        <v>15162556</v>
      </c>
      <c r="E130">
        <v>17</v>
      </c>
      <c r="F130">
        <v>1</v>
      </c>
      <c r="G130">
        <v>1</v>
      </c>
      <c r="H130">
        <v>3</v>
      </c>
      <c r="I130" t="s">
        <v>252</v>
      </c>
      <c r="J130" t="s">
        <v>6</v>
      </c>
      <c r="K130" t="s">
        <v>253</v>
      </c>
      <c r="L130">
        <v>1301</v>
      </c>
      <c r="N130">
        <v>1003</v>
      </c>
      <c r="O130" t="s">
        <v>177</v>
      </c>
      <c r="P130" t="s">
        <v>177</v>
      </c>
      <c r="Q130">
        <v>1</v>
      </c>
      <c r="X130">
        <v>151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 t="s">
        <v>6</v>
      </c>
      <c r="AG130">
        <v>151</v>
      </c>
      <c r="AH130">
        <v>2</v>
      </c>
      <c r="AI130">
        <v>16814276</v>
      </c>
      <c r="AJ130">
        <v>129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ROW(Source!A74)</f>
        <v>74</v>
      </c>
      <c r="B131">
        <v>16814277</v>
      </c>
      <c r="C131">
        <v>16814266</v>
      </c>
      <c r="D131">
        <v>15162557</v>
      </c>
      <c r="E131">
        <v>17</v>
      </c>
      <c r="F131">
        <v>1</v>
      </c>
      <c r="G131">
        <v>1</v>
      </c>
      <c r="H131">
        <v>3</v>
      </c>
      <c r="I131" t="s">
        <v>252</v>
      </c>
      <c r="J131" t="s">
        <v>6</v>
      </c>
      <c r="K131" t="s">
        <v>263</v>
      </c>
      <c r="L131">
        <v>1301</v>
      </c>
      <c r="N131">
        <v>1003</v>
      </c>
      <c r="O131" t="s">
        <v>177</v>
      </c>
      <c r="P131" t="s">
        <v>177</v>
      </c>
      <c r="Q131">
        <v>1</v>
      </c>
      <c r="X131">
        <v>204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 t="s">
        <v>6</v>
      </c>
      <c r="AG131">
        <v>204</v>
      </c>
      <c r="AH131">
        <v>2</v>
      </c>
      <c r="AI131">
        <v>16814277</v>
      </c>
      <c r="AJ131">
        <v>130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ROW(Source!A74)</f>
        <v>74</v>
      </c>
      <c r="B132">
        <v>16814278</v>
      </c>
      <c r="C132">
        <v>16814266</v>
      </c>
      <c r="D132">
        <v>15162592</v>
      </c>
      <c r="E132">
        <v>17</v>
      </c>
      <c r="F132">
        <v>1</v>
      </c>
      <c r="G132">
        <v>1</v>
      </c>
      <c r="H132">
        <v>3</v>
      </c>
      <c r="I132" t="s">
        <v>1132</v>
      </c>
      <c r="J132" t="s">
        <v>6</v>
      </c>
      <c r="K132" t="s">
        <v>1133</v>
      </c>
      <c r="L132">
        <v>1327</v>
      </c>
      <c r="N132">
        <v>1005</v>
      </c>
      <c r="O132" t="s">
        <v>28</v>
      </c>
      <c r="P132" t="s">
        <v>28</v>
      </c>
      <c r="Q132">
        <v>1</v>
      </c>
      <c r="X132">
        <v>103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 t="s">
        <v>6</v>
      </c>
      <c r="AG132">
        <v>103</v>
      </c>
      <c r="AH132">
        <v>3</v>
      </c>
      <c r="AI132">
        <v>-1</v>
      </c>
      <c r="AJ132" t="s">
        <v>6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ROW(Source!A74)</f>
        <v>74</v>
      </c>
      <c r="B133">
        <v>16814279</v>
      </c>
      <c r="C133">
        <v>16814266</v>
      </c>
      <c r="D133">
        <v>15203471</v>
      </c>
      <c r="E133">
        <v>1</v>
      </c>
      <c r="F133">
        <v>1</v>
      </c>
      <c r="G133">
        <v>1</v>
      </c>
      <c r="H133">
        <v>3</v>
      </c>
      <c r="I133" t="s">
        <v>905</v>
      </c>
      <c r="J133" t="s">
        <v>906</v>
      </c>
      <c r="K133" t="s">
        <v>907</v>
      </c>
      <c r="L133">
        <v>1346</v>
      </c>
      <c r="N133">
        <v>1009</v>
      </c>
      <c r="O133" t="s">
        <v>277</v>
      </c>
      <c r="P133" t="s">
        <v>277</v>
      </c>
      <c r="Q133">
        <v>1</v>
      </c>
      <c r="X133">
        <v>20</v>
      </c>
      <c r="Y133">
        <v>13.08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20</v>
      </c>
      <c r="AH133">
        <v>2</v>
      </c>
      <c r="AI133">
        <v>16814279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ROW(Source!A74)</f>
        <v>74</v>
      </c>
      <c r="B134">
        <v>16814280</v>
      </c>
      <c r="C134">
        <v>16814266</v>
      </c>
      <c r="D134">
        <v>15204745</v>
      </c>
      <c r="E134">
        <v>1</v>
      </c>
      <c r="F134">
        <v>1</v>
      </c>
      <c r="G134">
        <v>1</v>
      </c>
      <c r="H134">
        <v>3</v>
      </c>
      <c r="I134" t="s">
        <v>908</v>
      </c>
      <c r="J134" t="s">
        <v>909</v>
      </c>
      <c r="K134" t="s">
        <v>910</v>
      </c>
      <c r="L134">
        <v>1346</v>
      </c>
      <c r="N134">
        <v>1009</v>
      </c>
      <c r="O134" t="s">
        <v>277</v>
      </c>
      <c r="P134" t="s">
        <v>277</v>
      </c>
      <c r="Q134">
        <v>1</v>
      </c>
      <c r="X134">
        <v>10</v>
      </c>
      <c r="Y134">
        <v>7.46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10</v>
      </c>
      <c r="AH134">
        <v>2</v>
      </c>
      <c r="AI134">
        <v>16814280</v>
      </c>
      <c r="AJ134">
        <v>134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ROW(Source!A74)</f>
        <v>74</v>
      </c>
      <c r="B135">
        <v>16814281</v>
      </c>
      <c r="C135">
        <v>16814266</v>
      </c>
      <c r="D135">
        <v>15204748</v>
      </c>
      <c r="E135">
        <v>1</v>
      </c>
      <c r="F135">
        <v>1</v>
      </c>
      <c r="G135">
        <v>1</v>
      </c>
      <c r="H135">
        <v>3</v>
      </c>
      <c r="I135" t="s">
        <v>911</v>
      </c>
      <c r="J135" t="s">
        <v>912</v>
      </c>
      <c r="K135" t="s">
        <v>913</v>
      </c>
      <c r="L135">
        <v>1346</v>
      </c>
      <c r="N135">
        <v>1009</v>
      </c>
      <c r="O135" t="s">
        <v>277</v>
      </c>
      <c r="P135" t="s">
        <v>277</v>
      </c>
      <c r="Q135">
        <v>1</v>
      </c>
      <c r="X135">
        <v>77</v>
      </c>
      <c r="Y135">
        <v>2.7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77</v>
      </c>
      <c r="AH135">
        <v>2</v>
      </c>
      <c r="AI135">
        <v>16814281</v>
      </c>
      <c r="AJ135">
        <v>135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ROW(Source!A83)</f>
        <v>83</v>
      </c>
      <c r="B136">
        <v>16813278</v>
      </c>
      <c r="C136">
        <v>16813271</v>
      </c>
      <c r="D136">
        <v>15432356</v>
      </c>
      <c r="E136">
        <v>1</v>
      </c>
      <c r="F136">
        <v>1</v>
      </c>
      <c r="G136">
        <v>1</v>
      </c>
      <c r="H136">
        <v>1</v>
      </c>
      <c r="I136" t="s">
        <v>914</v>
      </c>
      <c r="J136" t="s">
        <v>6</v>
      </c>
      <c r="K136" t="s">
        <v>915</v>
      </c>
      <c r="L136">
        <v>1191</v>
      </c>
      <c r="N136">
        <v>1013</v>
      </c>
      <c r="O136" t="s">
        <v>773</v>
      </c>
      <c r="P136" t="s">
        <v>773</v>
      </c>
      <c r="Q136">
        <v>1</v>
      </c>
      <c r="X136">
        <v>42.37</v>
      </c>
      <c r="Y136">
        <v>0</v>
      </c>
      <c r="Z136">
        <v>0</v>
      </c>
      <c r="AA136">
        <v>0</v>
      </c>
      <c r="AB136">
        <v>8.31</v>
      </c>
      <c r="AC136">
        <v>0</v>
      </c>
      <c r="AD136">
        <v>1</v>
      </c>
      <c r="AE136">
        <v>1</v>
      </c>
      <c r="AF136" t="s">
        <v>6</v>
      </c>
      <c r="AG136">
        <v>42.37</v>
      </c>
      <c r="AH136">
        <v>2</v>
      </c>
      <c r="AI136">
        <v>16813272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ROW(Source!A83)</f>
        <v>83</v>
      </c>
      <c r="B137">
        <v>16813279</v>
      </c>
      <c r="C137">
        <v>16813271</v>
      </c>
      <c r="D137">
        <v>15430395</v>
      </c>
      <c r="E137">
        <v>1</v>
      </c>
      <c r="F137">
        <v>1</v>
      </c>
      <c r="G137">
        <v>1</v>
      </c>
      <c r="H137">
        <v>1</v>
      </c>
      <c r="I137" t="s">
        <v>774</v>
      </c>
      <c r="J137" t="s">
        <v>6</v>
      </c>
      <c r="K137" t="s">
        <v>775</v>
      </c>
      <c r="L137">
        <v>1191</v>
      </c>
      <c r="N137">
        <v>1013</v>
      </c>
      <c r="O137" t="s">
        <v>773</v>
      </c>
      <c r="P137" t="s">
        <v>773</v>
      </c>
      <c r="Q137">
        <v>1</v>
      </c>
      <c r="X137">
        <v>0.64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2</v>
      </c>
      <c r="AF137" t="s">
        <v>6</v>
      </c>
      <c r="AG137">
        <v>0.64</v>
      </c>
      <c r="AH137">
        <v>2</v>
      </c>
      <c r="AI137">
        <v>16813273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ROW(Source!A83)</f>
        <v>83</v>
      </c>
      <c r="B138">
        <v>16813280</v>
      </c>
      <c r="C138">
        <v>16813271</v>
      </c>
      <c r="D138">
        <v>15247974</v>
      </c>
      <c r="E138">
        <v>1</v>
      </c>
      <c r="F138">
        <v>1</v>
      </c>
      <c r="G138">
        <v>1</v>
      </c>
      <c r="H138">
        <v>2</v>
      </c>
      <c r="I138" t="s">
        <v>776</v>
      </c>
      <c r="J138" t="s">
        <v>777</v>
      </c>
      <c r="K138" t="s">
        <v>778</v>
      </c>
      <c r="L138">
        <v>1368</v>
      </c>
      <c r="N138">
        <v>1011</v>
      </c>
      <c r="O138" t="s">
        <v>779</v>
      </c>
      <c r="P138" t="s">
        <v>779</v>
      </c>
      <c r="Q138">
        <v>1</v>
      </c>
      <c r="X138">
        <v>0.64</v>
      </c>
      <c r="Y138">
        <v>0</v>
      </c>
      <c r="Z138">
        <v>31.26</v>
      </c>
      <c r="AA138">
        <v>13.5</v>
      </c>
      <c r="AB138">
        <v>0</v>
      </c>
      <c r="AC138">
        <v>0</v>
      </c>
      <c r="AD138">
        <v>1</v>
      </c>
      <c r="AE138">
        <v>0</v>
      </c>
      <c r="AF138" t="s">
        <v>6</v>
      </c>
      <c r="AG138">
        <v>0.64</v>
      </c>
      <c r="AH138">
        <v>2</v>
      </c>
      <c r="AI138">
        <v>16813274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ROW(Source!A83)</f>
        <v>83</v>
      </c>
      <c r="B139">
        <v>16813281</v>
      </c>
      <c r="C139">
        <v>16813271</v>
      </c>
      <c r="D139">
        <v>15167286</v>
      </c>
      <c r="E139">
        <v>1</v>
      </c>
      <c r="F139">
        <v>1</v>
      </c>
      <c r="G139">
        <v>1</v>
      </c>
      <c r="H139">
        <v>3</v>
      </c>
      <c r="I139" t="s">
        <v>801</v>
      </c>
      <c r="J139" t="s">
        <v>802</v>
      </c>
      <c r="K139" t="s">
        <v>803</v>
      </c>
      <c r="L139">
        <v>1339</v>
      </c>
      <c r="N139">
        <v>1007</v>
      </c>
      <c r="O139" t="s">
        <v>141</v>
      </c>
      <c r="P139" t="s">
        <v>141</v>
      </c>
      <c r="Q139">
        <v>1</v>
      </c>
      <c r="X139">
        <v>0.35</v>
      </c>
      <c r="Y139">
        <v>2.44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0.35</v>
      </c>
      <c r="AH139">
        <v>2</v>
      </c>
      <c r="AI139">
        <v>16813275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ROW(Source!A83)</f>
        <v>83</v>
      </c>
      <c r="B140">
        <v>16813282</v>
      </c>
      <c r="C140">
        <v>16813271</v>
      </c>
      <c r="D140">
        <v>15172875</v>
      </c>
      <c r="E140">
        <v>1</v>
      </c>
      <c r="F140">
        <v>1</v>
      </c>
      <c r="G140">
        <v>1</v>
      </c>
      <c r="H140">
        <v>3</v>
      </c>
      <c r="I140" t="s">
        <v>271</v>
      </c>
      <c r="J140" t="s">
        <v>273</v>
      </c>
      <c r="K140" t="s">
        <v>272</v>
      </c>
      <c r="L140">
        <v>1339</v>
      </c>
      <c r="N140">
        <v>1007</v>
      </c>
      <c r="O140" t="s">
        <v>141</v>
      </c>
      <c r="P140" t="s">
        <v>141</v>
      </c>
      <c r="Q140">
        <v>1</v>
      </c>
      <c r="X140">
        <v>1.06</v>
      </c>
      <c r="Y140">
        <v>517.91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1.06</v>
      </c>
      <c r="AH140">
        <v>2</v>
      </c>
      <c r="AI140">
        <v>16813276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ROW(Source!A86)</f>
        <v>86</v>
      </c>
      <c r="B141">
        <v>16813293</v>
      </c>
      <c r="C141">
        <v>16813285</v>
      </c>
      <c r="D141">
        <v>15436556</v>
      </c>
      <c r="E141">
        <v>1</v>
      </c>
      <c r="F141">
        <v>1</v>
      </c>
      <c r="G141">
        <v>1</v>
      </c>
      <c r="H141">
        <v>1</v>
      </c>
      <c r="I141" t="s">
        <v>833</v>
      </c>
      <c r="J141" t="s">
        <v>6</v>
      </c>
      <c r="K141" t="s">
        <v>834</v>
      </c>
      <c r="L141">
        <v>1191</v>
      </c>
      <c r="N141">
        <v>1013</v>
      </c>
      <c r="O141" t="s">
        <v>773</v>
      </c>
      <c r="P141" t="s">
        <v>773</v>
      </c>
      <c r="Q141">
        <v>1</v>
      </c>
      <c r="X141">
        <v>16.32</v>
      </c>
      <c r="Y141">
        <v>0</v>
      </c>
      <c r="Z141">
        <v>0</v>
      </c>
      <c r="AA141">
        <v>0</v>
      </c>
      <c r="AB141">
        <v>9.6199999999999992</v>
      </c>
      <c r="AC141">
        <v>0</v>
      </c>
      <c r="AD141">
        <v>1</v>
      </c>
      <c r="AE141">
        <v>1</v>
      </c>
      <c r="AF141" t="s">
        <v>104</v>
      </c>
      <c r="AG141">
        <v>18.767999999999997</v>
      </c>
      <c r="AH141">
        <v>2</v>
      </c>
      <c r="AI141">
        <v>16813286</v>
      </c>
      <c r="AJ141">
        <v>142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ROW(Source!A86)</f>
        <v>86</v>
      </c>
      <c r="B142">
        <v>16813294</v>
      </c>
      <c r="C142">
        <v>16813285</v>
      </c>
      <c r="D142">
        <v>15430395</v>
      </c>
      <c r="E142">
        <v>1</v>
      </c>
      <c r="F142">
        <v>1</v>
      </c>
      <c r="G142">
        <v>1</v>
      </c>
      <c r="H142">
        <v>1</v>
      </c>
      <c r="I142" t="s">
        <v>774</v>
      </c>
      <c r="J142" t="s">
        <v>6</v>
      </c>
      <c r="K142" t="s">
        <v>775</v>
      </c>
      <c r="L142">
        <v>1191</v>
      </c>
      <c r="N142">
        <v>1013</v>
      </c>
      <c r="O142" t="s">
        <v>773</v>
      </c>
      <c r="P142" t="s">
        <v>773</v>
      </c>
      <c r="Q142">
        <v>1</v>
      </c>
      <c r="X142">
        <v>0.03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2</v>
      </c>
      <c r="AF142" t="s">
        <v>103</v>
      </c>
      <c r="AG142">
        <v>3.7499999999999999E-2</v>
      </c>
      <c r="AH142">
        <v>2</v>
      </c>
      <c r="AI142">
        <v>16813287</v>
      </c>
      <c r="AJ142">
        <v>143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ROW(Source!A86)</f>
        <v>86</v>
      </c>
      <c r="B143">
        <v>16813295</v>
      </c>
      <c r="C143">
        <v>16813285</v>
      </c>
      <c r="D143">
        <v>15247974</v>
      </c>
      <c r="E143">
        <v>1</v>
      </c>
      <c r="F143">
        <v>1</v>
      </c>
      <c r="G143">
        <v>1</v>
      </c>
      <c r="H143">
        <v>2</v>
      </c>
      <c r="I143" t="s">
        <v>776</v>
      </c>
      <c r="J143" t="s">
        <v>777</v>
      </c>
      <c r="K143" t="s">
        <v>778</v>
      </c>
      <c r="L143">
        <v>1368</v>
      </c>
      <c r="N143">
        <v>1011</v>
      </c>
      <c r="O143" t="s">
        <v>779</v>
      </c>
      <c r="P143" t="s">
        <v>779</v>
      </c>
      <c r="Q143">
        <v>1</v>
      </c>
      <c r="X143">
        <v>0.01</v>
      </c>
      <c r="Y143">
        <v>0</v>
      </c>
      <c r="Z143">
        <v>31.26</v>
      </c>
      <c r="AA143">
        <v>13.5</v>
      </c>
      <c r="AB143">
        <v>0</v>
      </c>
      <c r="AC143">
        <v>0</v>
      </c>
      <c r="AD143">
        <v>1</v>
      </c>
      <c r="AE143">
        <v>0</v>
      </c>
      <c r="AF143" t="s">
        <v>103</v>
      </c>
      <c r="AG143">
        <v>1.2500000000000001E-2</v>
      </c>
      <c r="AH143">
        <v>2</v>
      </c>
      <c r="AI143">
        <v>16813288</v>
      </c>
      <c r="AJ143">
        <v>144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ROW(Source!A86)</f>
        <v>86</v>
      </c>
      <c r="B144">
        <v>16813296</v>
      </c>
      <c r="C144">
        <v>16813285</v>
      </c>
      <c r="D144">
        <v>15249073</v>
      </c>
      <c r="E144">
        <v>1</v>
      </c>
      <c r="F144">
        <v>1</v>
      </c>
      <c r="G144">
        <v>1</v>
      </c>
      <c r="H144">
        <v>2</v>
      </c>
      <c r="I144" t="s">
        <v>782</v>
      </c>
      <c r="J144" t="s">
        <v>783</v>
      </c>
      <c r="K144" t="s">
        <v>784</v>
      </c>
      <c r="L144">
        <v>1368</v>
      </c>
      <c r="N144">
        <v>1011</v>
      </c>
      <c r="O144" t="s">
        <v>779</v>
      </c>
      <c r="P144" t="s">
        <v>779</v>
      </c>
      <c r="Q144">
        <v>1</v>
      </c>
      <c r="X144">
        <v>0.02</v>
      </c>
      <c r="Y144">
        <v>0</v>
      </c>
      <c r="Z144">
        <v>65.709999999999994</v>
      </c>
      <c r="AA144">
        <v>11.6</v>
      </c>
      <c r="AB144">
        <v>0</v>
      </c>
      <c r="AC144">
        <v>0</v>
      </c>
      <c r="AD144">
        <v>1</v>
      </c>
      <c r="AE144">
        <v>0</v>
      </c>
      <c r="AF144" t="s">
        <v>103</v>
      </c>
      <c r="AG144">
        <v>2.5000000000000001E-2</v>
      </c>
      <c r="AH144">
        <v>2</v>
      </c>
      <c r="AI144">
        <v>16813289</v>
      </c>
      <c r="AJ144">
        <v>145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ROW(Source!A86)</f>
        <v>86</v>
      </c>
      <c r="B145">
        <v>16813297</v>
      </c>
      <c r="C145">
        <v>16813285</v>
      </c>
      <c r="D145">
        <v>15171018</v>
      </c>
      <c r="E145">
        <v>1</v>
      </c>
      <c r="F145">
        <v>1</v>
      </c>
      <c r="G145">
        <v>1</v>
      </c>
      <c r="H145">
        <v>3</v>
      </c>
      <c r="I145" t="s">
        <v>824</v>
      </c>
      <c r="J145" t="s">
        <v>825</v>
      </c>
      <c r="K145" t="s">
        <v>826</v>
      </c>
      <c r="L145">
        <v>1346</v>
      </c>
      <c r="N145">
        <v>1009</v>
      </c>
      <c r="O145" t="s">
        <v>277</v>
      </c>
      <c r="P145" t="s">
        <v>277</v>
      </c>
      <c r="Q145">
        <v>1</v>
      </c>
      <c r="X145">
        <v>0.2</v>
      </c>
      <c r="Y145">
        <v>1.82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0</v>
      </c>
      <c r="AF145" t="s">
        <v>6</v>
      </c>
      <c r="AG145">
        <v>0.2</v>
      </c>
      <c r="AH145">
        <v>2</v>
      </c>
      <c r="AI145">
        <v>16813290</v>
      </c>
      <c r="AJ145">
        <v>146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ROW(Source!A86)</f>
        <v>86</v>
      </c>
      <c r="B146">
        <v>16813298</v>
      </c>
      <c r="C146">
        <v>16813285</v>
      </c>
      <c r="D146">
        <v>15162572</v>
      </c>
      <c r="E146">
        <v>17</v>
      </c>
      <c r="F146">
        <v>1</v>
      </c>
      <c r="G146">
        <v>1</v>
      </c>
      <c r="H146">
        <v>3</v>
      </c>
      <c r="I146" t="s">
        <v>284</v>
      </c>
      <c r="J146" t="s">
        <v>6</v>
      </c>
      <c r="K146" t="s">
        <v>285</v>
      </c>
      <c r="L146">
        <v>1348</v>
      </c>
      <c r="N146">
        <v>1009</v>
      </c>
      <c r="O146" t="s">
        <v>145</v>
      </c>
      <c r="P146" t="s">
        <v>145</v>
      </c>
      <c r="Q146">
        <v>1000</v>
      </c>
      <c r="X146">
        <v>0.02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6</v>
      </c>
      <c r="AG146">
        <v>0.02</v>
      </c>
      <c r="AH146">
        <v>2</v>
      </c>
      <c r="AI146">
        <v>16813292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ROW(Source!A89)</f>
        <v>89</v>
      </c>
      <c r="B147">
        <v>16814297</v>
      </c>
      <c r="C147">
        <v>16814296</v>
      </c>
      <c r="D147">
        <v>15430497</v>
      </c>
      <c r="E147">
        <v>1</v>
      </c>
      <c r="F147">
        <v>1</v>
      </c>
      <c r="G147">
        <v>1</v>
      </c>
      <c r="H147">
        <v>1</v>
      </c>
      <c r="I147" t="s">
        <v>916</v>
      </c>
      <c r="J147" t="s">
        <v>6</v>
      </c>
      <c r="K147" t="s">
        <v>917</v>
      </c>
      <c r="L147">
        <v>1191</v>
      </c>
      <c r="N147">
        <v>1013</v>
      </c>
      <c r="O147" t="s">
        <v>773</v>
      </c>
      <c r="P147" t="s">
        <v>773</v>
      </c>
      <c r="Q147">
        <v>1</v>
      </c>
      <c r="X147">
        <v>33.630000000000003</v>
      </c>
      <c r="Y147">
        <v>0</v>
      </c>
      <c r="Z147">
        <v>0</v>
      </c>
      <c r="AA147">
        <v>0</v>
      </c>
      <c r="AB147">
        <v>8.86</v>
      </c>
      <c r="AC147">
        <v>0</v>
      </c>
      <c r="AD147">
        <v>1</v>
      </c>
      <c r="AE147">
        <v>1</v>
      </c>
      <c r="AF147" t="s">
        <v>104</v>
      </c>
      <c r="AG147">
        <v>38.674500000000002</v>
      </c>
      <c r="AH147">
        <v>2</v>
      </c>
      <c r="AI147">
        <v>16814297</v>
      </c>
      <c r="AJ147">
        <v>149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ROW(Source!A89)</f>
        <v>89</v>
      </c>
      <c r="B148">
        <v>16814298</v>
      </c>
      <c r="C148">
        <v>16814296</v>
      </c>
      <c r="D148">
        <v>15430395</v>
      </c>
      <c r="E148">
        <v>1</v>
      </c>
      <c r="F148">
        <v>1</v>
      </c>
      <c r="G148">
        <v>1</v>
      </c>
      <c r="H148">
        <v>1</v>
      </c>
      <c r="I148" t="s">
        <v>774</v>
      </c>
      <c r="J148" t="s">
        <v>6</v>
      </c>
      <c r="K148" t="s">
        <v>775</v>
      </c>
      <c r="L148">
        <v>1191</v>
      </c>
      <c r="N148">
        <v>1013</v>
      </c>
      <c r="O148" t="s">
        <v>773</v>
      </c>
      <c r="P148" t="s">
        <v>773</v>
      </c>
      <c r="Q148">
        <v>1</v>
      </c>
      <c r="X148">
        <v>0.02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1</v>
      </c>
      <c r="AE148">
        <v>2</v>
      </c>
      <c r="AF148" t="s">
        <v>103</v>
      </c>
      <c r="AG148">
        <v>2.5000000000000001E-2</v>
      </c>
      <c r="AH148">
        <v>2</v>
      </c>
      <c r="AI148">
        <v>16814298</v>
      </c>
      <c r="AJ148">
        <v>150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ROW(Source!A89)</f>
        <v>89</v>
      </c>
      <c r="B149">
        <v>16814299</v>
      </c>
      <c r="C149">
        <v>16814296</v>
      </c>
      <c r="D149">
        <v>15247974</v>
      </c>
      <c r="E149">
        <v>1</v>
      </c>
      <c r="F149">
        <v>1</v>
      </c>
      <c r="G149">
        <v>1</v>
      </c>
      <c r="H149">
        <v>2</v>
      </c>
      <c r="I149" t="s">
        <v>776</v>
      </c>
      <c r="J149" t="s">
        <v>777</v>
      </c>
      <c r="K149" t="s">
        <v>778</v>
      </c>
      <c r="L149">
        <v>1368</v>
      </c>
      <c r="N149">
        <v>1011</v>
      </c>
      <c r="O149" t="s">
        <v>779</v>
      </c>
      <c r="P149" t="s">
        <v>779</v>
      </c>
      <c r="Q149">
        <v>1</v>
      </c>
      <c r="X149">
        <v>0.01</v>
      </c>
      <c r="Y149">
        <v>0</v>
      </c>
      <c r="Z149">
        <v>31.26</v>
      </c>
      <c r="AA149">
        <v>13.5</v>
      </c>
      <c r="AB149">
        <v>0</v>
      </c>
      <c r="AC149">
        <v>0</v>
      </c>
      <c r="AD149">
        <v>1</v>
      </c>
      <c r="AE149">
        <v>0</v>
      </c>
      <c r="AF149" t="s">
        <v>103</v>
      </c>
      <c r="AG149">
        <v>1.2500000000000001E-2</v>
      </c>
      <c r="AH149">
        <v>2</v>
      </c>
      <c r="AI149">
        <v>16814299</v>
      </c>
      <c r="AJ149">
        <v>151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ROW(Source!A89)</f>
        <v>89</v>
      </c>
      <c r="B150">
        <v>16814300</v>
      </c>
      <c r="C150">
        <v>16814296</v>
      </c>
      <c r="D150">
        <v>15249073</v>
      </c>
      <c r="E150">
        <v>1</v>
      </c>
      <c r="F150">
        <v>1</v>
      </c>
      <c r="G150">
        <v>1</v>
      </c>
      <c r="H150">
        <v>2</v>
      </c>
      <c r="I150" t="s">
        <v>782</v>
      </c>
      <c r="J150" t="s">
        <v>783</v>
      </c>
      <c r="K150" t="s">
        <v>784</v>
      </c>
      <c r="L150">
        <v>1368</v>
      </c>
      <c r="N150">
        <v>1011</v>
      </c>
      <c r="O150" t="s">
        <v>779</v>
      </c>
      <c r="P150" t="s">
        <v>779</v>
      </c>
      <c r="Q150">
        <v>1</v>
      </c>
      <c r="X150">
        <v>0.01</v>
      </c>
      <c r="Y150">
        <v>0</v>
      </c>
      <c r="Z150">
        <v>65.709999999999994</v>
      </c>
      <c r="AA150">
        <v>11.6</v>
      </c>
      <c r="AB150">
        <v>0</v>
      </c>
      <c r="AC150">
        <v>0</v>
      </c>
      <c r="AD150">
        <v>1</v>
      </c>
      <c r="AE150">
        <v>0</v>
      </c>
      <c r="AF150" t="s">
        <v>103</v>
      </c>
      <c r="AG150">
        <v>1.2500000000000001E-2</v>
      </c>
      <c r="AH150">
        <v>2</v>
      </c>
      <c r="AI150">
        <v>16814300</v>
      </c>
      <c r="AJ150">
        <v>152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ROW(Source!A89)</f>
        <v>89</v>
      </c>
      <c r="B151">
        <v>16814301</v>
      </c>
      <c r="C151">
        <v>16814296</v>
      </c>
      <c r="D151">
        <v>15163097</v>
      </c>
      <c r="E151">
        <v>17</v>
      </c>
      <c r="F151">
        <v>1</v>
      </c>
      <c r="G151">
        <v>1</v>
      </c>
      <c r="H151">
        <v>3</v>
      </c>
      <c r="I151" t="s">
        <v>295</v>
      </c>
      <c r="J151" t="s">
        <v>6</v>
      </c>
      <c r="K151" t="s">
        <v>296</v>
      </c>
      <c r="L151">
        <v>1328</v>
      </c>
      <c r="N151">
        <v>1005</v>
      </c>
      <c r="O151" t="s">
        <v>18</v>
      </c>
      <c r="P151" t="s">
        <v>18</v>
      </c>
      <c r="Q151">
        <v>100</v>
      </c>
      <c r="X151">
        <v>1.1299999999999999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6</v>
      </c>
      <c r="AG151">
        <v>1.1299999999999999</v>
      </c>
      <c r="AH151">
        <v>2</v>
      </c>
      <c r="AI151">
        <v>16814301</v>
      </c>
      <c r="AJ151">
        <v>153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ROW(Source!A89)</f>
        <v>89</v>
      </c>
      <c r="B152">
        <v>16814302</v>
      </c>
      <c r="C152">
        <v>16814296</v>
      </c>
      <c r="D152">
        <v>15167277</v>
      </c>
      <c r="E152">
        <v>1</v>
      </c>
      <c r="F152">
        <v>1</v>
      </c>
      <c r="G152">
        <v>1</v>
      </c>
      <c r="H152">
        <v>3</v>
      </c>
      <c r="I152" t="s">
        <v>818</v>
      </c>
      <c r="J152" t="s">
        <v>819</v>
      </c>
      <c r="K152" t="s">
        <v>820</v>
      </c>
      <c r="L152">
        <v>1348</v>
      </c>
      <c r="N152">
        <v>1009</v>
      </c>
      <c r="O152" t="s">
        <v>145</v>
      </c>
      <c r="P152" t="s">
        <v>145</v>
      </c>
      <c r="Q152">
        <v>1000</v>
      </c>
      <c r="X152">
        <v>7.1000000000000004E-3</v>
      </c>
      <c r="Y152">
        <v>5650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7.1000000000000004E-3</v>
      </c>
      <c r="AH152">
        <v>2</v>
      </c>
      <c r="AI152">
        <v>16814302</v>
      </c>
      <c r="AJ152">
        <v>155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ROW(Source!A89)</f>
        <v>89</v>
      </c>
      <c r="B153">
        <v>16814303</v>
      </c>
      <c r="C153">
        <v>16814296</v>
      </c>
      <c r="D153">
        <v>15167286</v>
      </c>
      <c r="E153">
        <v>1</v>
      </c>
      <c r="F153">
        <v>1</v>
      </c>
      <c r="G153">
        <v>1</v>
      </c>
      <c r="H153">
        <v>3</v>
      </c>
      <c r="I153" t="s">
        <v>801</v>
      </c>
      <c r="J153" t="s">
        <v>802</v>
      </c>
      <c r="K153" t="s">
        <v>803</v>
      </c>
      <c r="L153">
        <v>1339</v>
      </c>
      <c r="N153">
        <v>1007</v>
      </c>
      <c r="O153" t="s">
        <v>141</v>
      </c>
      <c r="P153" t="s">
        <v>141</v>
      </c>
      <c r="Q153">
        <v>1</v>
      </c>
      <c r="X153">
        <v>0.01</v>
      </c>
      <c r="Y153">
        <v>2.44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0.01</v>
      </c>
      <c r="AH153">
        <v>2</v>
      </c>
      <c r="AI153">
        <v>16814303</v>
      </c>
      <c r="AJ153">
        <v>156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ROW(Source!A89)</f>
        <v>89</v>
      </c>
      <c r="B154">
        <v>16814304</v>
      </c>
      <c r="C154">
        <v>16814296</v>
      </c>
      <c r="D154">
        <v>15171018</v>
      </c>
      <c r="E154">
        <v>1</v>
      </c>
      <c r="F154">
        <v>1</v>
      </c>
      <c r="G154">
        <v>1</v>
      </c>
      <c r="H154">
        <v>3</v>
      </c>
      <c r="I154" t="s">
        <v>824</v>
      </c>
      <c r="J154" t="s">
        <v>825</v>
      </c>
      <c r="K154" t="s">
        <v>826</v>
      </c>
      <c r="L154">
        <v>1346</v>
      </c>
      <c r="N154">
        <v>1009</v>
      </c>
      <c r="O154" t="s">
        <v>277</v>
      </c>
      <c r="P154" t="s">
        <v>277</v>
      </c>
      <c r="Q154">
        <v>1</v>
      </c>
      <c r="X154">
        <v>0.01</v>
      </c>
      <c r="Y154">
        <v>1.82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0.01</v>
      </c>
      <c r="AH154">
        <v>2</v>
      </c>
      <c r="AI154">
        <v>16814304</v>
      </c>
      <c r="AJ154">
        <v>157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ROW(Source!A89)</f>
        <v>89</v>
      </c>
      <c r="B155">
        <v>16814305</v>
      </c>
      <c r="C155">
        <v>16814296</v>
      </c>
      <c r="D155">
        <v>15171907</v>
      </c>
      <c r="E155">
        <v>1</v>
      </c>
      <c r="F155">
        <v>1</v>
      </c>
      <c r="G155">
        <v>1</v>
      </c>
      <c r="H155">
        <v>3</v>
      </c>
      <c r="I155" t="s">
        <v>918</v>
      </c>
      <c r="J155" t="s">
        <v>919</v>
      </c>
      <c r="K155" t="s">
        <v>920</v>
      </c>
      <c r="L155">
        <v>1339</v>
      </c>
      <c r="N155">
        <v>1007</v>
      </c>
      <c r="O155" t="s">
        <v>141</v>
      </c>
      <c r="P155" t="s">
        <v>141</v>
      </c>
      <c r="Q155">
        <v>1</v>
      </c>
      <c r="X155">
        <v>4.0000000000000002E-4</v>
      </c>
      <c r="Y155">
        <v>74.58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4.0000000000000002E-4</v>
      </c>
      <c r="AH155">
        <v>2</v>
      </c>
      <c r="AI155">
        <v>16814305</v>
      </c>
      <c r="AJ155">
        <v>158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ROW(Source!A89)</f>
        <v>89</v>
      </c>
      <c r="B156">
        <v>16814306</v>
      </c>
      <c r="C156">
        <v>16814296</v>
      </c>
      <c r="D156">
        <v>15202473</v>
      </c>
      <c r="E156">
        <v>1</v>
      </c>
      <c r="F156">
        <v>1</v>
      </c>
      <c r="G156">
        <v>1</v>
      </c>
      <c r="H156">
        <v>3</v>
      </c>
      <c r="I156" t="s">
        <v>921</v>
      </c>
      <c r="J156" t="s">
        <v>922</v>
      </c>
      <c r="K156" t="s">
        <v>923</v>
      </c>
      <c r="L156">
        <v>1348</v>
      </c>
      <c r="N156">
        <v>1009</v>
      </c>
      <c r="O156" t="s">
        <v>145</v>
      </c>
      <c r="P156" t="s">
        <v>145</v>
      </c>
      <c r="Q156">
        <v>1000</v>
      </c>
      <c r="X156">
        <v>2E-3</v>
      </c>
      <c r="Y156">
        <v>25990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2E-3</v>
      </c>
      <c r="AH156">
        <v>2</v>
      </c>
      <c r="AI156">
        <v>16814306</v>
      </c>
      <c r="AJ156">
        <v>159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ROW(Source!A89)</f>
        <v>89</v>
      </c>
      <c r="B157">
        <v>16814307</v>
      </c>
      <c r="C157">
        <v>16814296</v>
      </c>
      <c r="D157">
        <v>15204729</v>
      </c>
      <c r="E157">
        <v>1</v>
      </c>
      <c r="F157">
        <v>1</v>
      </c>
      <c r="G157">
        <v>1</v>
      </c>
      <c r="H157">
        <v>3</v>
      </c>
      <c r="I157" t="s">
        <v>924</v>
      </c>
      <c r="J157" t="s">
        <v>925</v>
      </c>
      <c r="K157" t="s">
        <v>926</v>
      </c>
      <c r="L157">
        <v>1348</v>
      </c>
      <c r="N157">
        <v>1009</v>
      </c>
      <c r="O157" t="s">
        <v>145</v>
      </c>
      <c r="P157" t="s">
        <v>145</v>
      </c>
      <c r="Q157">
        <v>1000</v>
      </c>
      <c r="X157">
        <v>6.7000000000000002E-3</v>
      </c>
      <c r="Y157">
        <v>4294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6</v>
      </c>
      <c r="AG157">
        <v>6.7000000000000002E-3</v>
      </c>
      <c r="AH157">
        <v>2</v>
      </c>
      <c r="AI157">
        <v>16814307</v>
      </c>
      <c r="AJ157">
        <v>160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ROW(Source!A92)</f>
        <v>92</v>
      </c>
      <c r="B158">
        <v>16815602</v>
      </c>
      <c r="C158">
        <v>16815601</v>
      </c>
      <c r="D158">
        <v>15435609</v>
      </c>
      <c r="E158">
        <v>1</v>
      </c>
      <c r="F158">
        <v>1</v>
      </c>
      <c r="G158">
        <v>1</v>
      </c>
      <c r="H158">
        <v>1</v>
      </c>
      <c r="I158" t="s">
        <v>927</v>
      </c>
      <c r="J158" t="s">
        <v>6</v>
      </c>
      <c r="K158" t="s">
        <v>928</v>
      </c>
      <c r="L158">
        <v>1191</v>
      </c>
      <c r="N158">
        <v>1013</v>
      </c>
      <c r="O158" t="s">
        <v>773</v>
      </c>
      <c r="P158" t="s">
        <v>773</v>
      </c>
      <c r="Q158">
        <v>1</v>
      </c>
      <c r="X158">
        <v>25.41</v>
      </c>
      <c r="Y158">
        <v>0</v>
      </c>
      <c r="Z158">
        <v>0</v>
      </c>
      <c r="AA158">
        <v>0</v>
      </c>
      <c r="AB158">
        <v>8.9700000000000006</v>
      </c>
      <c r="AC158">
        <v>0</v>
      </c>
      <c r="AD158">
        <v>1</v>
      </c>
      <c r="AE158">
        <v>1</v>
      </c>
      <c r="AF158" t="s">
        <v>6</v>
      </c>
      <c r="AG158">
        <v>25.41</v>
      </c>
      <c r="AH158">
        <v>2</v>
      </c>
      <c r="AI158">
        <v>16815602</v>
      </c>
      <c r="AJ158">
        <v>161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ROW(Source!A92)</f>
        <v>92</v>
      </c>
      <c r="B159">
        <v>16815603</v>
      </c>
      <c r="C159">
        <v>16815601</v>
      </c>
      <c r="D159">
        <v>15430395</v>
      </c>
      <c r="E159">
        <v>1</v>
      </c>
      <c r="F159">
        <v>1</v>
      </c>
      <c r="G159">
        <v>1</v>
      </c>
      <c r="H159">
        <v>1</v>
      </c>
      <c r="I159" t="s">
        <v>774</v>
      </c>
      <c r="J159" t="s">
        <v>6</v>
      </c>
      <c r="K159" t="s">
        <v>775</v>
      </c>
      <c r="L159">
        <v>1191</v>
      </c>
      <c r="N159">
        <v>1013</v>
      </c>
      <c r="O159" t="s">
        <v>773</v>
      </c>
      <c r="P159" t="s">
        <v>773</v>
      </c>
      <c r="Q159">
        <v>1</v>
      </c>
      <c r="X159">
        <v>0.11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2</v>
      </c>
      <c r="AF159" t="s">
        <v>6</v>
      </c>
      <c r="AG159">
        <v>0.11</v>
      </c>
      <c r="AH159">
        <v>2</v>
      </c>
      <c r="AI159">
        <v>16815603</v>
      </c>
      <c r="AJ159">
        <v>162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ROW(Source!A92)</f>
        <v>92</v>
      </c>
      <c r="B160">
        <v>16815604</v>
      </c>
      <c r="C160">
        <v>16815601</v>
      </c>
      <c r="D160">
        <v>15247974</v>
      </c>
      <c r="E160">
        <v>1</v>
      </c>
      <c r="F160">
        <v>1</v>
      </c>
      <c r="G160">
        <v>1</v>
      </c>
      <c r="H160">
        <v>2</v>
      </c>
      <c r="I160" t="s">
        <v>776</v>
      </c>
      <c r="J160" t="s">
        <v>777</v>
      </c>
      <c r="K160" t="s">
        <v>778</v>
      </c>
      <c r="L160">
        <v>1368</v>
      </c>
      <c r="N160">
        <v>1011</v>
      </c>
      <c r="O160" t="s">
        <v>779</v>
      </c>
      <c r="P160" t="s">
        <v>779</v>
      </c>
      <c r="Q160">
        <v>1</v>
      </c>
      <c r="X160">
        <v>0.01</v>
      </c>
      <c r="Y160">
        <v>0</v>
      </c>
      <c r="Z160">
        <v>31.26</v>
      </c>
      <c r="AA160">
        <v>13.5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0.01</v>
      </c>
      <c r="AH160">
        <v>2</v>
      </c>
      <c r="AI160">
        <v>16815604</v>
      </c>
      <c r="AJ160">
        <v>163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ROW(Source!A92)</f>
        <v>92</v>
      </c>
      <c r="B161">
        <v>16815605</v>
      </c>
      <c r="C161">
        <v>16815601</v>
      </c>
      <c r="D161">
        <v>15249073</v>
      </c>
      <c r="E161">
        <v>1</v>
      </c>
      <c r="F161">
        <v>1</v>
      </c>
      <c r="G161">
        <v>1</v>
      </c>
      <c r="H161">
        <v>2</v>
      </c>
      <c r="I161" t="s">
        <v>782</v>
      </c>
      <c r="J161" t="s">
        <v>783</v>
      </c>
      <c r="K161" t="s">
        <v>784</v>
      </c>
      <c r="L161">
        <v>1368</v>
      </c>
      <c r="N161">
        <v>1011</v>
      </c>
      <c r="O161" t="s">
        <v>779</v>
      </c>
      <c r="P161" t="s">
        <v>779</v>
      </c>
      <c r="Q161">
        <v>1</v>
      </c>
      <c r="X161">
        <v>0.1</v>
      </c>
      <c r="Y161">
        <v>0</v>
      </c>
      <c r="Z161">
        <v>65.709999999999994</v>
      </c>
      <c r="AA161">
        <v>11.6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0.1</v>
      </c>
      <c r="AH161">
        <v>2</v>
      </c>
      <c r="AI161">
        <v>16815605</v>
      </c>
      <c r="AJ161">
        <v>164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ROW(Source!A92)</f>
        <v>92</v>
      </c>
      <c r="B162">
        <v>16815606</v>
      </c>
      <c r="C162">
        <v>16815601</v>
      </c>
      <c r="D162">
        <v>15170682</v>
      </c>
      <c r="E162">
        <v>1</v>
      </c>
      <c r="F162">
        <v>1</v>
      </c>
      <c r="G162">
        <v>1</v>
      </c>
      <c r="H162">
        <v>3</v>
      </c>
      <c r="I162" t="s">
        <v>929</v>
      </c>
      <c r="J162" t="s">
        <v>930</v>
      </c>
      <c r="K162" t="s">
        <v>931</v>
      </c>
      <c r="L162">
        <v>1327</v>
      </c>
      <c r="N162">
        <v>1005</v>
      </c>
      <c r="O162" t="s">
        <v>28</v>
      </c>
      <c r="P162" t="s">
        <v>28</v>
      </c>
      <c r="Q162">
        <v>1</v>
      </c>
      <c r="X162">
        <v>0.84</v>
      </c>
      <c r="Y162">
        <v>72.319999999999993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0.84</v>
      </c>
      <c r="AH162">
        <v>2</v>
      </c>
      <c r="AI162">
        <v>16815606</v>
      </c>
      <c r="AJ162">
        <v>165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ROW(Source!A92)</f>
        <v>92</v>
      </c>
      <c r="B163">
        <v>16815607</v>
      </c>
      <c r="C163">
        <v>16815601</v>
      </c>
      <c r="D163">
        <v>15171018</v>
      </c>
      <c r="E163">
        <v>1</v>
      </c>
      <c r="F163">
        <v>1</v>
      </c>
      <c r="G163">
        <v>1</v>
      </c>
      <c r="H163">
        <v>3</v>
      </c>
      <c r="I163" t="s">
        <v>824</v>
      </c>
      <c r="J163" t="s">
        <v>825</v>
      </c>
      <c r="K163" t="s">
        <v>826</v>
      </c>
      <c r="L163">
        <v>1346</v>
      </c>
      <c r="N163">
        <v>1009</v>
      </c>
      <c r="O163" t="s">
        <v>277</v>
      </c>
      <c r="P163" t="s">
        <v>277</v>
      </c>
      <c r="Q163">
        <v>1</v>
      </c>
      <c r="X163">
        <v>0.31</v>
      </c>
      <c r="Y163">
        <v>1.82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6</v>
      </c>
      <c r="AG163">
        <v>0.31</v>
      </c>
      <c r="AH163">
        <v>2</v>
      </c>
      <c r="AI163">
        <v>16815607</v>
      </c>
      <c r="AJ163">
        <v>166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ROW(Source!A92)</f>
        <v>92</v>
      </c>
      <c r="B164">
        <v>16815608</v>
      </c>
      <c r="C164">
        <v>16815601</v>
      </c>
      <c r="D164">
        <v>15163054</v>
      </c>
      <c r="E164">
        <v>17</v>
      </c>
      <c r="F164">
        <v>1</v>
      </c>
      <c r="G164">
        <v>1</v>
      </c>
      <c r="H164">
        <v>3</v>
      </c>
      <c r="I164" t="s">
        <v>307</v>
      </c>
      <c r="J164" t="s">
        <v>6</v>
      </c>
      <c r="K164" t="s">
        <v>308</v>
      </c>
      <c r="L164">
        <v>1348</v>
      </c>
      <c r="N164">
        <v>1009</v>
      </c>
      <c r="O164" t="s">
        <v>145</v>
      </c>
      <c r="P164" t="s">
        <v>145</v>
      </c>
      <c r="Q164">
        <v>1000</v>
      </c>
      <c r="X164">
        <v>6.3E-2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6</v>
      </c>
      <c r="AG164">
        <v>6.3E-2</v>
      </c>
      <c r="AH164">
        <v>2</v>
      </c>
      <c r="AI164">
        <v>16815608</v>
      </c>
      <c r="AJ164">
        <v>167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ROW(Source!A92)</f>
        <v>92</v>
      </c>
      <c r="B165">
        <v>16815609</v>
      </c>
      <c r="C165">
        <v>16815601</v>
      </c>
      <c r="D165">
        <v>15204729</v>
      </c>
      <c r="E165">
        <v>1</v>
      </c>
      <c r="F165">
        <v>1</v>
      </c>
      <c r="G165">
        <v>1</v>
      </c>
      <c r="H165">
        <v>3</v>
      </c>
      <c r="I165" t="s">
        <v>924</v>
      </c>
      <c r="J165" t="s">
        <v>925</v>
      </c>
      <c r="K165" t="s">
        <v>926</v>
      </c>
      <c r="L165">
        <v>1348</v>
      </c>
      <c r="N165">
        <v>1009</v>
      </c>
      <c r="O165" t="s">
        <v>145</v>
      </c>
      <c r="P165" t="s">
        <v>145</v>
      </c>
      <c r="Q165">
        <v>1000</v>
      </c>
      <c r="X165">
        <v>5.0000000000000001E-3</v>
      </c>
      <c r="Y165">
        <v>4294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0</v>
      </c>
      <c r="AF165" t="s">
        <v>6</v>
      </c>
      <c r="AG165">
        <v>5.0000000000000001E-3</v>
      </c>
      <c r="AH165">
        <v>2</v>
      </c>
      <c r="AI165">
        <v>16815609</v>
      </c>
      <c r="AJ165">
        <v>169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ROW(Source!A95)</f>
        <v>95</v>
      </c>
      <c r="B166">
        <v>16815598</v>
      </c>
      <c r="C166">
        <v>16815597</v>
      </c>
      <c r="D166">
        <v>15436556</v>
      </c>
      <c r="E166">
        <v>1</v>
      </c>
      <c r="F166">
        <v>1</v>
      </c>
      <c r="G166">
        <v>1</v>
      </c>
      <c r="H166">
        <v>1</v>
      </c>
      <c r="I166" t="s">
        <v>833</v>
      </c>
      <c r="J166" t="s">
        <v>6</v>
      </c>
      <c r="K166" t="s">
        <v>834</v>
      </c>
      <c r="L166">
        <v>1191</v>
      </c>
      <c r="N166">
        <v>1013</v>
      </c>
      <c r="O166" t="s">
        <v>773</v>
      </c>
      <c r="P166" t="s">
        <v>773</v>
      </c>
      <c r="Q166">
        <v>1</v>
      </c>
      <c r="X166">
        <v>8.3800000000000008</v>
      </c>
      <c r="Y166">
        <v>0</v>
      </c>
      <c r="Z166">
        <v>0</v>
      </c>
      <c r="AA166">
        <v>0</v>
      </c>
      <c r="AB166">
        <v>9.6199999999999992</v>
      </c>
      <c r="AC166">
        <v>0</v>
      </c>
      <c r="AD166">
        <v>1</v>
      </c>
      <c r="AE166">
        <v>1</v>
      </c>
      <c r="AF166" t="s">
        <v>6</v>
      </c>
      <c r="AG166">
        <v>8.3800000000000008</v>
      </c>
      <c r="AH166">
        <v>2</v>
      </c>
      <c r="AI166">
        <v>16815598</v>
      </c>
      <c r="AJ166">
        <v>170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ROW(Source!A95)</f>
        <v>95</v>
      </c>
      <c r="B167">
        <v>16815599</v>
      </c>
      <c r="C167">
        <v>16815597</v>
      </c>
      <c r="D167">
        <v>15163100</v>
      </c>
      <c r="E167">
        <v>17</v>
      </c>
      <c r="F167">
        <v>1</v>
      </c>
      <c r="G167">
        <v>1</v>
      </c>
      <c r="H167">
        <v>3</v>
      </c>
      <c r="I167" t="s">
        <v>319</v>
      </c>
      <c r="J167" t="s">
        <v>6</v>
      </c>
      <c r="K167" t="s">
        <v>320</v>
      </c>
      <c r="L167">
        <v>1348</v>
      </c>
      <c r="N167">
        <v>1009</v>
      </c>
      <c r="O167" t="s">
        <v>145</v>
      </c>
      <c r="P167" t="s">
        <v>145</v>
      </c>
      <c r="Q167">
        <v>1000</v>
      </c>
      <c r="X167">
        <v>1.6E-2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 t="s">
        <v>6</v>
      </c>
      <c r="AG167">
        <v>1.6E-2</v>
      </c>
      <c r="AH167">
        <v>2</v>
      </c>
      <c r="AI167">
        <v>16815599</v>
      </c>
      <c r="AJ167">
        <v>172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ROW(Source!A98)</f>
        <v>98</v>
      </c>
      <c r="B168">
        <v>16813311</v>
      </c>
      <c r="C168">
        <v>16813301</v>
      </c>
      <c r="D168">
        <v>15435609</v>
      </c>
      <c r="E168">
        <v>1</v>
      </c>
      <c r="F168">
        <v>1</v>
      </c>
      <c r="G168">
        <v>1</v>
      </c>
      <c r="H168">
        <v>1</v>
      </c>
      <c r="I168" t="s">
        <v>927</v>
      </c>
      <c r="J168" t="s">
        <v>6</v>
      </c>
      <c r="K168" t="s">
        <v>928</v>
      </c>
      <c r="L168">
        <v>1191</v>
      </c>
      <c r="N168">
        <v>1013</v>
      </c>
      <c r="O168" t="s">
        <v>773</v>
      </c>
      <c r="P168" t="s">
        <v>773</v>
      </c>
      <c r="Q168">
        <v>1</v>
      </c>
      <c r="X168">
        <v>42.9</v>
      </c>
      <c r="Y168">
        <v>0</v>
      </c>
      <c r="Z168">
        <v>0</v>
      </c>
      <c r="AA168">
        <v>0</v>
      </c>
      <c r="AB168">
        <v>8.9700000000000006</v>
      </c>
      <c r="AC168">
        <v>0</v>
      </c>
      <c r="AD168">
        <v>1</v>
      </c>
      <c r="AE168">
        <v>1</v>
      </c>
      <c r="AF168" t="s">
        <v>104</v>
      </c>
      <c r="AG168">
        <v>49.334999999999994</v>
      </c>
      <c r="AH168">
        <v>2</v>
      </c>
      <c r="AI168">
        <v>16813302</v>
      </c>
      <c r="AJ168">
        <v>173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ROW(Source!A98)</f>
        <v>98</v>
      </c>
      <c r="B169">
        <v>16813312</v>
      </c>
      <c r="C169">
        <v>16813301</v>
      </c>
      <c r="D169">
        <v>15430395</v>
      </c>
      <c r="E169">
        <v>1</v>
      </c>
      <c r="F169">
        <v>1</v>
      </c>
      <c r="G169">
        <v>1</v>
      </c>
      <c r="H169">
        <v>1</v>
      </c>
      <c r="I169" t="s">
        <v>774</v>
      </c>
      <c r="J169" t="s">
        <v>6</v>
      </c>
      <c r="K169" t="s">
        <v>775</v>
      </c>
      <c r="L169">
        <v>1191</v>
      </c>
      <c r="N169">
        <v>1013</v>
      </c>
      <c r="O169" t="s">
        <v>773</v>
      </c>
      <c r="P169" t="s">
        <v>773</v>
      </c>
      <c r="Q169">
        <v>1</v>
      </c>
      <c r="X169">
        <v>0.17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2</v>
      </c>
      <c r="AF169" t="s">
        <v>103</v>
      </c>
      <c r="AG169">
        <v>0.21250000000000002</v>
      </c>
      <c r="AH169">
        <v>2</v>
      </c>
      <c r="AI169">
        <v>16813303</v>
      </c>
      <c r="AJ169">
        <v>174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ROW(Source!A98)</f>
        <v>98</v>
      </c>
      <c r="B170">
        <v>16813313</v>
      </c>
      <c r="C170">
        <v>16813301</v>
      </c>
      <c r="D170">
        <v>15247974</v>
      </c>
      <c r="E170">
        <v>1</v>
      </c>
      <c r="F170">
        <v>1</v>
      </c>
      <c r="G170">
        <v>1</v>
      </c>
      <c r="H170">
        <v>2</v>
      </c>
      <c r="I170" t="s">
        <v>776</v>
      </c>
      <c r="J170" t="s">
        <v>777</v>
      </c>
      <c r="K170" t="s">
        <v>778</v>
      </c>
      <c r="L170">
        <v>1368</v>
      </c>
      <c r="N170">
        <v>1011</v>
      </c>
      <c r="O170" t="s">
        <v>779</v>
      </c>
      <c r="P170" t="s">
        <v>779</v>
      </c>
      <c r="Q170">
        <v>1</v>
      </c>
      <c r="X170">
        <v>0.02</v>
      </c>
      <c r="Y170">
        <v>0</v>
      </c>
      <c r="Z170">
        <v>31.26</v>
      </c>
      <c r="AA170">
        <v>13.5</v>
      </c>
      <c r="AB170">
        <v>0</v>
      </c>
      <c r="AC170">
        <v>0</v>
      </c>
      <c r="AD170">
        <v>1</v>
      </c>
      <c r="AE170">
        <v>0</v>
      </c>
      <c r="AF170" t="s">
        <v>103</v>
      </c>
      <c r="AG170">
        <v>2.5000000000000001E-2</v>
      </c>
      <c r="AH170">
        <v>2</v>
      </c>
      <c r="AI170">
        <v>16813304</v>
      </c>
      <c r="AJ170">
        <v>175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ROW(Source!A98)</f>
        <v>98</v>
      </c>
      <c r="B171">
        <v>16813314</v>
      </c>
      <c r="C171">
        <v>16813301</v>
      </c>
      <c r="D171">
        <v>15249073</v>
      </c>
      <c r="E171">
        <v>1</v>
      </c>
      <c r="F171">
        <v>1</v>
      </c>
      <c r="G171">
        <v>1</v>
      </c>
      <c r="H171">
        <v>2</v>
      </c>
      <c r="I171" t="s">
        <v>782</v>
      </c>
      <c r="J171" t="s">
        <v>783</v>
      </c>
      <c r="K171" t="s">
        <v>784</v>
      </c>
      <c r="L171">
        <v>1368</v>
      </c>
      <c r="N171">
        <v>1011</v>
      </c>
      <c r="O171" t="s">
        <v>779</v>
      </c>
      <c r="P171" t="s">
        <v>779</v>
      </c>
      <c r="Q171">
        <v>1</v>
      </c>
      <c r="X171">
        <v>0.15</v>
      </c>
      <c r="Y171">
        <v>0</v>
      </c>
      <c r="Z171">
        <v>65.709999999999994</v>
      </c>
      <c r="AA171">
        <v>11.6</v>
      </c>
      <c r="AB171">
        <v>0</v>
      </c>
      <c r="AC171">
        <v>0</v>
      </c>
      <c r="AD171">
        <v>1</v>
      </c>
      <c r="AE171">
        <v>0</v>
      </c>
      <c r="AF171" t="s">
        <v>103</v>
      </c>
      <c r="AG171">
        <v>0.1875</v>
      </c>
      <c r="AH171">
        <v>2</v>
      </c>
      <c r="AI171">
        <v>16813305</v>
      </c>
      <c r="AJ171">
        <v>176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ROW(Source!A98)</f>
        <v>98</v>
      </c>
      <c r="B172">
        <v>16813315</v>
      </c>
      <c r="C172">
        <v>16813301</v>
      </c>
      <c r="D172">
        <v>15170682</v>
      </c>
      <c r="E172">
        <v>1</v>
      </c>
      <c r="F172">
        <v>1</v>
      </c>
      <c r="G172">
        <v>1</v>
      </c>
      <c r="H172">
        <v>3</v>
      </c>
      <c r="I172" t="s">
        <v>929</v>
      </c>
      <c r="J172" t="s">
        <v>930</v>
      </c>
      <c r="K172" t="s">
        <v>931</v>
      </c>
      <c r="L172">
        <v>1327</v>
      </c>
      <c r="N172">
        <v>1005</v>
      </c>
      <c r="O172" t="s">
        <v>28</v>
      </c>
      <c r="P172" t="s">
        <v>28</v>
      </c>
      <c r="Q172">
        <v>1</v>
      </c>
      <c r="X172">
        <v>0.84</v>
      </c>
      <c r="Y172">
        <v>72.319999999999993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0.84</v>
      </c>
      <c r="AH172">
        <v>2</v>
      </c>
      <c r="AI172">
        <v>16813306</v>
      </c>
      <c r="AJ172">
        <v>177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ROW(Source!A98)</f>
        <v>98</v>
      </c>
      <c r="B173">
        <v>16813316</v>
      </c>
      <c r="C173">
        <v>16813301</v>
      </c>
      <c r="D173">
        <v>15171018</v>
      </c>
      <c r="E173">
        <v>1</v>
      </c>
      <c r="F173">
        <v>1</v>
      </c>
      <c r="G173">
        <v>1</v>
      </c>
      <c r="H173">
        <v>3</v>
      </c>
      <c r="I173" t="s">
        <v>824</v>
      </c>
      <c r="J173" t="s">
        <v>825</v>
      </c>
      <c r="K173" t="s">
        <v>826</v>
      </c>
      <c r="L173">
        <v>1346</v>
      </c>
      <c r="N173">
        <v>1009</v>
      </c>
      <c r="O173" t="s">
        <v>277</v>
      </c>
      <c r="P173" t="s">
        <v>277</v>
      </c>
      <c r="Q173">
        <v>1</v>
      </c>
      <c r="X173">
        <v>0.31</v>
      </c>
      <c r="Y173">
        <v>1.82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0</v>
      </c>
      <c r="AF173" t="s">
        <v>6</v>
      </c>
      <c r="AG173">
        <v>0.31</v>
      </c>
      <c r="AH173">
        <v>2</v>
      </c>
      <c r="AI173">
        <v>16813307</v>
      </c>
      <c r="AJ173">
        <v>178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ROW(Source!A98)</f>
        <v>98</v>
      </c>
      <c r="B174">
        <v>16813317</v>
      </c>
      <c r="C174">
        <v>16813301</v>
      </c>
      <c r="D174">
        <v>15163054</v>
      </c>
      <c r="E174">
        <v>17</v>
      </c>
      <c r="F174">
        <v>1</v>
      </c>
      <c r="G174">
        <v>1</v>
      </c>
      <c r="H174">
        <v>3</v>
      </c>
      <c r="I174" t="s">
        <v>307</v>
      </c>
      <c r="J174" t="s">
        <v>6</v>
      </c>
      <c r="K174" t="s">
        <v>308</v>
      </c>
      <c r="L174">
        <v>1348</v>
      </c>
      <c r="N174">
        <v>1009</v>
      </c>
      <c r="O174" t="s">
        <v>145</v>
      </c>
      <c r="P174" t="s">
        <v>145</v>
      </c>
      <c r="Q174">
        <v>1000</v>
      </c>
      <c r="X174">
        <v>6.3E-2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 t="s">
        <v>6</v>
      </c>
      <c r="AG174">
        <v>6.3E-2</v>
      </c>
      <c r="AH174">
        <v>2</v>
      </c>
      <c r="AI174">
        <v>16813308</v>
      </c>
      <c r="AJ174">
        <v>179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ROW(Source!A98)</f>
        <v>98</v>
      </c>
      <c r="B175">
        <v>16813318</v>
      </c>
      <c r="C175">
        <v>16813301</v>
      </c>
      <c r="D175">
        <v>15204729</v>
      </c>
      <c r="E175">
        <v>1</v>
      </c>
      <c r="F175">
        <v>1</v>
      </c>
      <c r="G175">
        <v>1</v>
      </c>
      <c r="H175">
        <v>3</v>
      </c>
      <c r="I175" t="s">
        <v>924</v>
      </c>
      <c r="J175" t="s">
        <v>925</v>
      </c>
      <c r="K175" t="s">
        <v>926</v>
      </c>
      <c r="L175">
        <v>1348</v>
      </c>
      <c r="N175">
        <v>1009</v>
      </c>
      <c r="O175" t="s">
        <v>145</v>
      </c>
      <c r="P175" t="s">
        <v>145</v>
      </c>
      <c r="Q175">
        <v>1000</v>
      </c>
      <c r="X175">
        <v>5.0999999999999997E-2</v>
      </c>
      <c r="Y175">
        <v>4294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6</v>
      </c>
      <c r="AG175">
        <v>5.0999999999999997E-2</v>
      </c>
      <c r="AH175">
        <v>2</v>
      </c>
      <c r="AI175">
        <v>16813310</v>
      </c>
      <c r="AJ175">
        <v>181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ROW(Source!A101)</f>
        <v>101</v>
      </c>
      <c r="B176">
        <v>16813327</v>
      </c>
      <c r="C176">
        <v>16813321</v>
      </c>
      <c r="D176">
        <v>15435683</v>
      </c>
      <c r="E176">
        <v>1</v>
      </c>
      <c r="F176">
        <v>1</v>
      </c>
      <c r="G176">
        <v>1</v>
      </c>
      <c r="H176">
        <v>1</v>
      </c>
      <c r="I176" t="s">
        <v>932</v>
      </c>
      <c r="J176" t="s">
        <v>6</v>
      </c>
      <c r="K176" t="s">
        <v>933</v>
      </c>
      <c r="L176">
        <v>1191</v>
      </c>
      <c r="N176">
        <v>1013</v>
      </c>
      <c r="O176" t="s">
        <v>773</v>
      </c>
      <c r="P176" t="s">
        <v>773</v>
      </c>
      <c r="Q176">
        <v>1</v>
      </c>
      <c r="X176">
        <v>204.06</v>
      </c>
      <c r="Y176">
        <v>0</v>
      </c>
      <c r="Z176">
        <v>0</v>
      </c>
      <c r="AA176">
        <v>0</v>
      </c>
      <c r="AB176">
        <v>9.2899999999999991</v>
      </c>
      <c r="AC176">
        <v>0</v>
      </c>
      <c r="AD176">
        <v>1</v>
      </c>
      <c r="AE176">
        <v>1</v>
      </c>
      <c r="AF176" t="s">
        <v>104</v>
      </c>
      <c r="AG176">
        <v>234.66899999999998</v>
      </c>
      <c r="AH176">
        <v>2</v>
      </c>
      <c r="AI176">
        <v>16813322</v>
      </c>
      <c r="AJ176">
        <v>182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ROW(Source!A101)</f>
        <v>101</v>
      </c>
      <c r="B177">
        <v>16813328</v>
      </c>
      <c r="C177">
        <v>16813321</v>
      </c>
      <c r="D177">
        <v>15430395</v>
      </c>
      <c r="E177">
        <v>1</v>
      </c>
      <c r="F177">
        <v>1</v>
      </c>
      <c r="G177">
        <v>1</v>
      </c>
      <c r="H177">
        <v>1</v>
      </c>
      <c r="I177" t="s">
        <v>774</v>
      </c>
      <c r="J177" t="s">
        <v>6</v>
      </c>
      <c r="K177" t="s">
        <v>775</v>
      </c>
      <c r="L177">
        <v>1191</v>
      </c>
      <c r="N177">
        <v>1013</v>
      </c>
      <c r="O177" t="s">
        <v>773</v>
      </c>
      <c r="P177" t="s">
        <v>773</v>
      </c>
      <c r="Q177">
        <v>1</v>
      </c>
      <c r="X177">
        <v>2.06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2</v>
      </c>
      <c r="AF177" t="s">
        <v>103</v>
      </c>
      <c r="AG177">
        <v>2.5750000000000002</v>
      </c>
      <c r="AH177">
        <v>2</v>
      </c>
      <c r="AI177">
        <v>16813323</v>
      </c>
      <c r="AJ177">
        <v>183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ROW(Source!A101)</f>
        <v>101</v>
      </c>
      <c r="B178">
        <v>16813329</v>
      </c>
      <c r="C178">
        <v>16813321</v>
      </c>
      <c r="D178">
        <v>15247974</v>
      </c>
      <c r="E178">
        <v>1</v>
      </c>
      <c r="F178">
        <v>1</v>
      </c>
      <c r="G178">
        <v>1</v>
      </c>
      <c r="H178">
        <v>2</v>
      </c>
      <c r="I178" t="s">
        <v>776</v>
      </c>
      <c r="J178" t="s">
        <v>777</v>
      </c>
      <c r="K178" t="s">
        <v>778</v>
      </c>
      <c r="L178">
        <v>1368</v>
      </c>
      <c r="N178">
        <v>1011</v>
      </c>
      <c r="O178" t="s">
        <v>779</v>
      </c>
      <c r="P178" t="s">
        <v>779</v>
      </c>
      <c r="Q178">
        <v>1</v>
      </c>
      <c r="X178">
        <v>2.06</v>
      </c>
      <c r="Y178">
        <v>0</v>
      </c>
      <c r="Z178">
        <v>31.26</v>
      </c>
      <c r="AA178">
        <v>13.5</v>
      </c>
      <c r="AB178">
        <v>0</v>
      </c>
      <c r="AC178">
        <v>0</v>
      </c>
      <c r="AD178">
        <v>1</v>
      </c>
      <c r="AE178">
        <v>0</v>
      </c>
      <c r="AF178" t="s">
        <v>103</v>
      </c>
      <c r="AG178">
        <v>2.5750000000000002</v>
      </c>
      <c r="AH178">
        <v>2</v>
      </c>
      <c r="AI178">
        <v>16813324</v>
      </c>
      <c r="AJ178">
        <v>184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ROW(Source!A101)</f>
        <v>101</v>
      </c>
      <c r="B179">
        <v>16813330</v>
      </c>
      <c r="C179">
        <v>16813321</v>
      </c>
      <c r="D179">
        <v>15172819</v>
      </c>
      <c r="E179">
        <v>1</v>
      </c>
      <c r="F179">
        <v>1</v>
      </c>
      <c r="G179">
        <v>1</v>
      </c>
      <c r="H179">
        <v>3</v>
      </c>
      <c r="I179" t="s">
        <v>934</v>
      </c>
      <c r="J179" t="s">
        <v>935</v>
      </c>
      <c r="K179" t="s">
        <v>936</v>
      </c>
      <c r="L179">
        <v>1339</v>
      </c>
      <c r="N179">
        <v>1007</v>
      </c>
      <c r="O179" t="s">
        <v>141</v>
      </c>
      <c r="P179" t="s">
        <v>141</v>
      </c>
      <c r="Q179">
        <v>1</v>
      </c>
      <c r="X179">
        <v>4.3</v>
      </c>
      <c r="Y179">
        <v>510.4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0</v>
      </c>
      <c r="AF179" t="s">
        <v>6</v>
      </c>
      <c r="AG179">
        <v>4.3</v>
      </c>
      <c r="AH179">
        <v>2</v>
      </c>
      <c r="AI179">
        <v>16813325</v>
      </c>
      <c r="AJ179">
        <v>185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ROW(Source!A101)</f>
        <v>101</v>
      </c>
      <c r="B180">
        <v>16813331</v>
      </c>
      <c r="C180">
        <v>16813321</v>
      </c>
      <c r="D180">
        <v>15172875</v>
      </c>
      <c r="E180">
        <v>1</v>
      </c>
      <c r="F180">
        <v>1</v>
      </c>
      <c r="G180">
        <v>1</v>
      </c>
      <c r="H180">
        <v>3</v>
      </c>
      <c r="I180" t="s">
        <v>271</v>
      </c>
      <c r="J180" t="s">
        <v>273</v>
      </c>
      <c r="K180" t="s">
        <v>272</v>
      </c>
      <c r="L180">
        <v>1339</v>
      </c>
      <c r="N180">
        <v>1007</v>
      </c>
      <c r="O180" t="s">
        <v>141</v>
      </c>
      <c r="P180" t="s">
        <v>141</v>
      </c>
      <c r="Q180">
        <v>1</v>
      </c>
      <c r="X180">
        <v>0.1</v>
      </c>
      <c r="Y180">
        <v>517.91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6</v>
      </c>
      <c r="AG180">
        <v>0.1</v>
      </c>
      <c r="AH180">
        <v>2</v>
      </c>
      <c r="AI180">
        <v>16813326</v>
      </c>
      <c r="AJ180">
        <v>186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ROW(Source!A102)</f>
        <v>102</v>
      </c>
      <c r="B181">
        <v>16813346</v>
      </c>
      <c r="C181">
        <v>16813332</v>
      </c>
      <c r="D181">
        <v>15430447</v>
      </c>
      <c r="E181">
        <v>1</v>
      </c>
      <c r="F181">
        <v>1</v>
      </c>
      <c r="G181">
        <v>1</v>
      </c>
      <c r="H181">
        <v>1</v>
      </c>
      <c r="I181" t="s">
        <v>888</v>
      </c>
      <c r="J181" t="s">
        <v>6</v>
      </c>
      <c r="K181" t="s">
        <v>889</v>
      </c>
      <c r="L181">
        <v>1191</v>
      </c>
      <c r="N181">
        <v>1013</v>
      </c>
      <c r="O181" t="s">
        <v>773</v>
      </c>
      <c r="P181" t="s">
        <v>773</v>
      </c>
      <c r="Q181">
        <v>1</v>
      </c>
      <c r="X181">
        <v>505</v>
      </c>
      <c r="Y181">
        <v>0</v>
      </c>
      <c r="Z181">
        <v>0</v>
      </c>
      <c r="AA181">
        <v>0</v>
      </c>
      <c r="AB181">
        <v>9.07</v>
      </c>
      <c r="AC181">
        <v>0</v>
      </c>
      <c r="AD181">
        <v>1</v>
      </c>
      <c r="AE181">
        <v>1</v>
      </c>
      <c r="AF181" t="s">
        <v>6</v>
      </c>
      <c r="AG181">
        <v>505</v>
      </c>
      <c r="AH181">
        <v>2</v>
      </c>
      <c r="AI181">
        <v>16813333</v>
      </c>
      <c r="AJ181">
        <v>187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ROW(Source!A102)</f>
        <v>102</v>
      </c>
      <c r="B182">
        <v>16813347</v>
      </c>
      <c r="C182">
        <v>16813332</v>
      </c>
      <c r="D182">
        <v>15430395</v>
      </c>
      <c r="E182">
        <v>1</v>
      </c>
      <c r="F182">
        <v>1</v>
      </c>
      <c r="G182">
        <v>1</v>
      </c>
      <c r="H182">
        <v>1</v>
      </c>
      <c r="I182" t="s">
        <v>774</v>
      </c>
      <c r="J182" t="s">
        <v>6</v>
      </c>
      <c r="K182" t="s">
        <v>775</v>
      </c>
      <c r="L182">
        <v>1191</v>
      </c>
      <c r="N182">
        <v>1013</v>
      </c>
      <c r="O182" t="s">
        <v>773</v>
      </c>
      <c r="P182" t="s">
        <v>773</v>
      </c>
      <c r="Q182">
        <v>1</v>
      </c>
      <c r="X182">
        <v>0.13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6</v>
      </c>
      <c r="AG182">
        <v>0.13</v>
      </c>
      <c r="AH182">
        <v>2</v>
      </c>
      <c r="AI182">
        <v>16813334</v>
      </c>
      <c r="AJ182">
        <v>188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ROW(Source!A102)</f>
        <v>102</v>
      </c>
      <c r="B183">
        <v>16813348</v>
      </c>
      <c r="C183">
        <v>16813332</v>
      </c>
      <c r="D183">
        <v>15249073</v>
      </c>
      <c r="E183">
        <v>1</v>
      </c>
      <c r="F183">
        <v>1</v>
      </c>
      <c r="G183">
        <v>1</v>
      </c>
      <c r="H183">
        <v>2</v>
      </c>
      <c r="I183" t="s">
        <v>782</v>
      </c>
      <c r="J183" t="s">
        <v>783</v>
      </c>
      <c r="K183" t="s">
        <v>784</v>
      </c>
      <c r="L183">
        <v>1368</v>
      </c>
      <c r="N183">
        <v>1011</v>
      </c>
      <c r="O183" t="s">
        <v>779</v>
      </c>
      <c r="P183" t="s">
        <v>779</v>
      </c>
      <c r="Q183">
        <v>1</v>
      </c>
      <c r="X183">
        <v>0.13</v>
      </c>
      <c r="Y183">
        <v>0</v>
      </c>
      <c r="Z183">
        <v>65.709999999999994</v>
      </c>
      <c r="AA183">
        <v>11.6</v>
      </c>
      <c r="AB183">
        <v>0</v>
      </c>
      <c r="AC183">
        <v>0</v>
      </c>
      <c r="AD183">
        <v>1</v>
      </c>
      <c r="AE183">
        <v>0</v>
      </c>
      <c r="AF183" t="s">
        <v>6</v>
      </c>
      <c r="AG183">
        <v>0.13</v>
      </c>
      <c r="AH183">
        <v>2</v>
      </c>
      <c r="AI183">
        <v>16813335</v>
      </c>
      <c r="AJ183">
        <v>189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ROW(Source!A102)</f>
        <v>102</v>
      </c>
      <c r="B184">
        <v>16813349</v>
      </c>
      <c r="C184">
        <v>16813332</v>
      </c>
      <c r="D184">
        <v>15165390</v>
      </c>
      <c r="E184">
        <v>1</v>
      </c>
      <c r="F184">
        <v>1</v>
      </c>
      <c r="G184">
        <v>1</v>
      </c>
      <c r="H184">
        <v>3</v>
      </c>
      <c r="I184" t="s">
        <v>937</v>
      </c>
      <c r="J184" t="s">
        <v>938</v>
      </c>
      <c r="K184" t="s">
        <v>939</v>
      </c>
      <c r="L184">
        <v>1348</v>
      </c>
      <c r="N184">
        <v>1009</v>
      </c>
      <c r="O184" t="s">
        <v>145</v>
      </c>
      <c r="P184" t="s">
        <v>145</v>
      </c>
      <c r="Q184">
        <v>1000</v>
      </c>
      <c r="X184">
        <v>2E-3</v>
      </c>
      <c r="Y184">
        <v>3390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6</v>
      </c>
      <c r="AG184">
        <v>2E-3</v>
      </c>
      <c r="AH184">
        <v>2</v>
      </c>
      <c r="AI184">
        <v>16813336</v>
      </c>
      <c r="AJ184">
        <v>190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ROW(Source!A102)</f>
        <v>102</v>
      </c>
      <c r="B185">
        <v>16813350</v>
      </c>
      <c r="C185">
        <v>16813332</v>
      </c>
      <c r="D185">
        <v>15167286</v>
      </c>
      <c r="E185">
        <v>1</v>
      </c>
      <c r="F185">
        <v>1</v>
      </c>
      <c r="G185">
        <v>1</v>
      </c>
      <c r="H185">
        <v>3</v>
      </c>
      <c r="I185" t="s">
        <v>801</v>
      </c>
      <c r="J185" t="s">
        <v>802</v>
      </c>
      <c r="K185" t="s">
        <v>803</v>
      </c>
      <c r="L185">
        <v>1339</v>
      </c>
      <c r="N185">
        <v>1007</v>
      </c>
      <c r="O185" t="s">
        <v>141</v>
      </c>
      <c r="P185" t="s">
        <v>141</v>
      </c>
      <c r="Q185">
        <v>1</v>
      </c>
      <c r="X185">
        <v>0.17</v>
      </c>
      <c r="Y185">
        <v>2.44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6</v>
      </c>
      <c r="AG185">
        <v>0.17</v>
      </c>
      <c r="AH185">
        <v>2</v>
      </c>
      <c r="AI185">
        <v>16813337</v>
      </c>
      <c r="AJ185">
        <v>191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ROW(Source!A102)</f>
        <v>102</v>
      </c>
      <c r="B186">
        <v>16813351</v>
      </c>
      <c r="C186">
        <v>16813332</v>
      </c>
      <c r="D186">
        <v>15164566</v>
      </c>
      <c r="E186">
        <v>17</v>
      </c>
      <c r="F186">
        <v>1</v>
      </c>
      <c r="G186">
        <v>1</v>
      </c>
      <c r="H186">
        <v>3</v>
      </c>
      <c r="I186" t="s">
        <v>338</v>
      </c>
      <c r="J186" t="s">
        <v>6</v>
      </c>
      <c r="K186" t="s">
        <v>339</v>
      </c>
      <c r="L186">
        <v>1348</v>
      </c>
      <c r="N186">
        <v>1009</v>
      </c>
      <c r="O186" t="s">
        <v>145</v>
      </c>
      <c r="P186" t="s">
        <v>145</v>
      </c>
      <c r="Q186">
        <v>1000</v>
      </c>
      <c r="X186">
        <v>0.59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6</v>
      </c>
      <c r="AG186">
        <v>0.59</v>
      </c>
      <c r="AH186">
        <v>2</v>
      </c>
      <c r="AI186">
        <v>16813338</v>
      </c>
      <c r="AJ186">
        <v>192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ROW(Source!A102)</f>
        <v>102</v>
      </c>
      <c r="B187">
        <v>16813352</v>
      </c>
      <c r="C187">
        <v>16813332</v>
      </c>
      <c r="D187">
        <v>15170039</v>
      </c>
      <c r="E187">
        <v>1</v>
      </c>
      <c r="F187">
        <v>1</v>
      </c>
      <c r="G187">
        <v>1</v>
      </c>
      <c r="H187">
        <v>3</v>
      </c>
      <c r="I187" t="s">
        <v>843</v>
      </c>
      <c r="J187" t="s">
        <v>844</v>
      </c>
      <c r="K187" t="s">
        <v>845</v>
      </c>
      <c r="L187">
        <v>1348</v>
      </c>
      <c r="N187">
        <v>1009</v>
      </c>
      <c r="O187" t="s">
        <v>145</v>
      </c>
      <c r="P187" t="s">
        <v>145</v>
      </c>
      <c r="Q187">
        <v>1000</v>
      </c>
      <c r="X187">
        <v>4.0000000000000001E-3</v>
      </c>
      <c r="Y187">
        <v>11978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6</v>
      </c>
      <c r="AG187">
        <v>4.0000000000000001E-3</v>
      </c>
      <c r="AH187">
        <v>2</v>
      </c>
      <c r="AI187">
        <v>16813339</v>
      </c>
      <c r="AJ187">
        <v>193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ROW(Source!A102)</f>
        <v>102</v>
      </c>
      <c r="B188">
        <v>16813353</v>
      </c>
      <c r="C188">
        <v>16813332</v>
      </c>
      <c r="D188">
        <v>15170437</v>
      </c>
      <c r="E188">
        <v>1</v>
      </c>
      <c r="F188">
        <v>1</v>
      </c>
      <c r="G188">
        <v>1</v>
      </c>
      <c r="H188">
        <v>3</v>
      </c>
      <c r="I188" t="s">
        <v>940</v>
      </c>
      <c r="J188" t="s">
        <v>941</v>
      </c>
      <c r="K188" t="s">
        <v>942</v>
      </c>
      <c r="L188">
        <v>1348</v>
      </c>
      <c r="N188">
        <v>1009</v>
      </c>
      <c r="O188" t="s">
        <v>145</v>
      </c>
      <c r="P188" t="s">
        <v>145</v>
      </c>
      <c r="Q188">
        <v>1000</v>
      </c>
      <c r="X188">
        <v>2.2399999999999998E-3</v>
      </c>
      <c r="Y188">
        <v>16974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6</v>
      </c>
      <c r="AG188">
        <v>2.2399999999999998E-3</v>
      </c>
      <c r="AH188">
        <v>2</v>
      </c>
      <c r="AI188">
        <v>16813340</v>
      </c>
      <c r="AJ188">
        <v>194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ROW(Source!A102)</f>
        <v>102</v>
      </c>
      <c r="B189">
        <v>16813354</v>
      </c>
      <c r="C189">
        <v>16813332</v>
      </c>
      <c r="D189">
        <v>15171982</v>
      </c>
      <c r="E189">
        <v>1</v>
      </c>
      <c r="F189">
        <v>1</v>
      </c>
      <c r="G189">
        <v>1</v>
      </c>
      <c r="H189">
        <v>3</v>
      </c>
      <c r="I189" t="s">
        <v>804</v>
      </c>
      <c r="J189" t="s">
        <v>805</v>
      </c>
      <c r="K189" t="s">
        <v>806</v>
      </c>
      <c r="L189">
        <v>1348</v>
      </c>
      <c r="N189">
        <v>1009</v>
      </c>
      <c r="O189" t="s">
        <v>145</v>
      </c>
      <c r="P189" t="s">
        <v>145</v>
      </c>
      <c r="Q189">
        <v>1000</v>
      </c>
      <c r="X189">
        <v>0.16500000000000001</v>
      </c>
      <c r="Y189">
        <v>729.98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6</v>
      </c>
      <c r="AG189">
        <v>0.16500000000000001</v>
      </c>
      <c r="AH189">
        <v>2</v>
      </c>
      <c r="AI189">
        <v>16813341</v>
      </c>
      <c r="AJ189">
        <v>195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ROW(Source!A102)</f>
        <v>102</v>
      </c>
      <c r="B190">
        <v>16813355</v>
      </c>
      <c r="C190">
        <v>16813332</v>
      </c>
      <c r="D190">
        <v>15195805</v>
      </c>
      <c r="E190">
        <v>1</v>
      </c>
      <c r="F190">
        <v>1</v>
      </c>
      <c r="G190">
        <v>1</v>
      </c>
      <c r="H190">
        <v>3</v>
      </c>
      <c r="I190" t="s">
        <v>943</v>
      </c>
      <c r="J190" t="s">
        <v>944</v>
      </c>
      <c r="K190" t="s">
        <v>945</v>
      </c>
      <c r="L190">
        <v>1339</v>
      </c>
      <c r="N190">
        <v>1007</v>
      </c>
      <c r="O190" t="s">
        <v>141</v>
      </c>
      <c r="P190" t="s">
        <v>141</v>
      </c>
      <c r="Q190">
        <v>1</v>
      </c>
      <c r="X190">
        <v>0.54</v>
      </c>
      <c r="Y190">
        <v>1436.2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6</v>
      </c>
      <c r="AG190">
        <v>0.54</v>
      </c>
      <c r="AH190">
        <v>2</v>
      </c>
      <c r="AI190">
        <v>16813342</v>
      </c>
      <c r="AJ190">
        <v>196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ROW(Source!A102)</f>
        <v>102</v>
      </c>
      <c r="B191">
        <v>16813356</v>
      </c>
      <c r="C191">
        <v>16813332</v>
      </c>
      <c r="D191">
        <v>15198455</v>
      </c>
      <c r="E191">
        <v>1</v>
      </c>
      <c r="F191">
        <v>1</v>
      </c>
      <c r="G191">
        <v>1</v>
      </c>
      <c r="H191">
        <v>3</v>
      </c>
      <c r="I191" t="s">
        <v>946</v>
      </c>
      <c r="J191" t="s">
        <v>947</v>
      </c>
      <c r="K191" t="s">
        <v>948</v>
      </c>
      <c r="L191">
        <v>1327</v>
      </c>
      <c r="N191">
        <v>1005</v>
      </c>
      <c r="O191" t="s">
        <v>28</v>
      </c>
      <c r="P191" t="s">
        <v>28</v>
      </c>
      <c r="Q191">
        <v>1</v>
      </c>
      <c r="X191">
        <v>31.3</v>
      </c>
      <c r="Y191">
        <v>5.71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6</v>
      </c>
      <c r="AG191">
        <v>31.3</v>
      </c>
      <c r="AH191">
        <v>2</v>
      </c>
      <c r="AI191">
        <v>16813343</v>
      </c>
      <c r="AJ191">
        <v>197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ROW(Source!A102)</f>
        <v>102</v>
      </c>
      <c r="B192">
        <v>16813357</v>
      </c>
      <c r="C192">
        <v>16813332</v>
      </c>
      <c r="D192">
        <v>15202436</v>
      </c>
      <c r="E192">
        <v>1</v>
      </c>
      <c r="F192">
        <v>1</v>
      </c>
      <c r="G192">
        <v>1</v>
      </c>
      <c r="H192">
        <v>3</v>
      </c>
      <c r="I192" t="s">
        <v>949</v>
      </c>
      <c r="J192" t="s">
        <v>950</v>
      </c>
      <c r="K192" t="s">
        <v>951</v>
      </c>
      <c r="L192">
        <v>1346</v>
      </c>
      <c r="N192">
        <v>1009</v>
      </c>
      <c r="O192" t="s">
        <v>277</v>
      </c>
      <c r="P192" t="s">
        <v>277</v>
      </c>
      <c r="Q192">
        <v>1</v>
      </c>
      <c r="X192">
        <v>0.2</v>
      </c>
      <c r="Y192">
        <v>16.95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6</v>
      </c>
      <c r="AG192">
        <v>0.2</v>
      </c>
      <c r="AH192">
        <v>2</v>
      </c>
      <c r="AI192">
        <v>16813344</v>
      </c>
      <c r="AJ192">
        <v>198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ROW(Source!A102)</f>
        <v>102</v>
      </c>
      <c r="B193">
        <v>16813358</v>
      </c>
      <c r="C193">
        <v>16813332</v>
      </c>
      <c r="D193">
        <v>15204315</v>
      </c>
      <c r="E193">
        <v>1</v>
      </c>
      <c r="F193">
        <v>1</v>
      </c>
      <c r="G193">
        <v>1</v>
      </c>
      <c r="H193">
        <v>3</v>
      </c>
      <c r="I193" t="s">
        <v>852</v>
      </c>
      <c r="J193" t="s">
        <v>853</v>
      </c>
      <c r="K193" t="s">
        <v>854</v>
      </c>
      <c r="L193">
        <v>1296</v>
      </c>
      <c r="N193">
        <v>1002</v>
      </c>
      <c r="O193" t="s">
        <v>855</v>
      </c>
      <c r="P193" t="s">
        <v>855</v>
      </c>
      <c r="Q193">
        <v>1</v>
      </c>
      <c r="X193">
        <v>13.89</v>
      </c>
      <c r="Y193">
        <v>46.86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6</v>
      </c>
      <c r="AG193">
        <v>13.89</v>
      </c>
      <c r="AH193">
        <v>2</v>
      </c>
      <c r="AI193">
        <v>16813345</v>
      </c>
      <c r="AJ193">
        <v>199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ROW(Source!A104)</f>
        <v>104</v>
      </c>
      <c r="B194">
        <v>16813363</v>
      </c>
      <c r="C194">
        <v>16813360</v>
      </c>
      <c r="D194">
        <v>15433629</v>
      </c>
      <c r="E194">
        <v>1</v>
      </c>
      <c r="F194">
        <v>1</v>
      </c>
      <c r="G194">
        <v>1</v>
      </c>
      <c r="H194">
        <v>1</v>
      </c>
      <c r="I194" t="s">
        <v>952</v>
      </c>
      <c r="J194" t="s">
        <v>6</v>
      </c>
      <c r="K194" t="s">
        <v>953</v>
      </c>
      <c r="L194">
        <v>1191</v>
      </c>
      <c r="N194">
        <v>1013</v>
      </c>
      <c r="O194" t="s">
        <v>773</v>
      </c>
      <c r="P194" t="s">
        <v>773</v>
      </c>
      <c r="Q194">
        <v>1</v>
      </c>
      <c r="X194">
        <v>1.03</v>
      </c>
      <c r="Y194">
        <v>0</v>
      </c>
      <c r="Z194">
        <v>0</v>
      </c>
      <c r="AA194">
        <v>0</v>
      </c>
      <c r="AB194">
        <v>7.19</v>
      </c>
      <c r="AC194">
        <v>0</v>
      </c>
      <c r="AD194">
        <v>1</v>
      </c>
      <c r="AE194">
        <v>1</v>
      </c>
      <c r="AF194" t="s">
        <v>6</v>
      </c>
      <c r="AG194">
        <v>1.03</v>
      </c>
      <c r="AH194">
        <v>2</v>
      </c>
      <c r="AI194">
        <v>16813361</v>
      </c>
      <c r="AJ194">
        <v>200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ROW(Source!A104)</f>
        <v>104</v>
      </c>
      <c r="B195">
        <v>16813364</v>
      </c>
      <c r="C195">
        <v>16813360</v>
      </c>
      <c r="D195">
        <v>15170984</v>
      </c>
      <c r="E195">
        <v>1</v>
      </c>
      <c r="F195">
        <v>1</v>
      </c>
      <c r="G195">
        <v>1</v>
      </c>
      <c r="H195">
        <v>3</v>
      </c>
      <c r="I195" t="s">
        <v>954</v>
      </c>
      <c r="J195" t="s">
        <v>955</v>
      </c>
      <c r="K195" t="s">
        <v>956</v>
      </c>
      <c r="L195">
        <v>1355</v>
      </c>
      <c r="N195">
        <v>1010</v>
      </c>
      <c r="O195" t="s">
        <v>188</v>
      </c>
      <c r="P195" t="s">
        <v>188</v>
      </c>
      <c r="Q195">
        <v>100</v>
      </c>
      <c r="X195">
        <v>0.2</v>
      </c>
      <c r="Y195">
        <v>82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0.2</v>
      </c>
      <c r="AH195">
        <v>2</v>
      </c>
      <c r="AI195">
        <v>16813362</v>
      </c>
      <c r="AJ195">
        <v>201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ROW(Source!A141)</f>
        <v>141</v>
      </c>
      <c r="B196">
        <v>16813371</v>
      </c>
      <c r="C196">
        <v>16813367</v>
      </c>
      <c r="D196">
        <v>15431465</v>
      </c>
      <c r="E196">
        <v>1</v>
      </c>
      <c r="F196">
        <v>1</v>
      </c>
      <c r="G196">
        <v>1</v>
      </c>
      <c r="H196">
        <v>1</v>
      </c>
      <c r="I196" t="s">
        <v>957</v>
      </c>
      <c r="J196" t="s">
        <v>6</v>
      </c>
      <c r="K196" t="s">
        <v>958</v>
      </c>
      <c r="L196">
        <v>1191</v>
      </c>
      <c r="N196">
        <v>1013</v>
      </c>
      <c r="O196" t="s">
        <v>773</v>
      </c>
      <c r="P196" t="s">
        <v>773</v>
      </c>
      <c r="Q196">
        <v>1</v>
      </c>
      <c r="X196">
        <v>110</v>
      </c>
      <c r="Y196">
        <v>0</v>
      </c>
      <c r="Z196">
        <v>0</v>
      </c>
      <c r="AA196">
        <v>0</v>
      </c>
      <c r="AB196">
        <v>7.87</v>
      </c>
      <c r="AC196">
        <v>0</v>
      </c>
      <c r="AD196">
        <v>1</v>
      </c>
      <c r="AE196">
        <v>1</v>
      </c>
      <c r="AF196" t="s">
        <v>6</v>
      </c>
      <c r="AG196">
        <v>110</v>
      </c>
      <c r="AH196">
        <v>2</v>
      </c>
      <c r="AI196">
        <v>16813368</v>
      </c>
      <c r="AJ196">
        <v>202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ROW(Source!A141)</f>
        <v>141</v>
      </c>
      <c r="B197">
        <v>16813372</v>
      </c>
      <c r="C197">
        <v>16813367</v>
      </c>
      <c r="D197">
        <v>15430395</v>
      </c>
      <c r="E197">
        <v>1</v>
      </c>
      <c r="F197">
        <v>1</v>
      </c>
      <c r="G197">
        <v>1</v>
      </c>
      <c r="H197">
        <v>1</v>
      </c>
      <c r="I197" t="s">
        <v>774</v>
      </c>
      <c r="J197" t="s">
        <v>6</v>
      </c>
      <c r="K197" t="s">
        <v>775</v>
      </c>
      <c r="L197">
        <v>1191</v>
      </c>
      <c r="N197">
        <v>1013</v>
      </c>
      <c r="O197" t="s">
        <v>773</v>
      </c>
      <c r="P197" t="s">
        <v>773</v>
      </c>
      <c r="Q197">
        <v>1</v>
      </c>
      <c r="X197">
        <v>2.2400000000000002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2</v>
      </c>
      <c r="AF197" t="s">
        <v>6</v>
      </c>
      <c r="AG197">
        <v>2.2400000000000002</v>
      </c>
      <c r="AH197">
        <v>2</v>
      </c>
      <c r="AI197">
        <v>16813369</v>
      </c>
      <c r="AJ197">
        <v>203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ROW(Source!A141)</f>
        <v>141</v>
      </c>
      <c r="B198">
        <v>16813373</v>
      </c>
      <c r="C198">
        <v>16813367</v>
      </c>
      <c r="D198">
        <v>15247974</v>
      </c>
      <c r="E198">
        <v>1</v>
      </c>
      <c r="F198">
        <v>1</v>
      </c>
      <c r="G198">
        <v>1</v>
      </c>
      <c r="H198">
        <v>2</v>
      </c>
      <c r="I198" t="s">
        <v>776</v>
      </c>
      <c r="J198" t="s">
        <v>777</v>
      </c>
      <c r="K198" t="s">
        <v>778</v>
      </c>
      <c r="L198">
        <v>1368</v>
      </c>
      <c r="N198">
        <v>1011</v>
      </c>
      <c r="O198" t="s">
        <v>779</v>
      </c>
      <c r="P198" t="s">
        <v>779</v>
      </c>
      <c r="Q198">
        <v>1</v>
      </c>
      <c r="X198">
        <v>2.2400000000000002</v>
      </c>
      <c r="Y198">
        <v>0</v>
      </c>
      <c r="Z198">
        <v>31.26</v>
      </c>
      <c r="AA198">
        <v>13.5</v>
      </c>
      <c r="AB198">
        <v>0</v>
      </c>
      <c r="AC198">
        <v>0</v>
      </c>
      <c r="AD198">
        <v>1</v>
      </c>
      <c r="AE198">
        <v>0</v>
      </c>
      <c r="AF198" t="s">
        <v>6</v>
      </c>
      <c r="AG198">
        <v>2.2400000000000002</v>
      </c>
      <c r="AH198">
        <v>2</v>
      </c>
      <c r="AI198">
        <v>16813370</v>
      </c>
      <c r="AJ198">
        <v>204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ROW(Source!A142)</f>
        <v>142</v>
      </c>
      <c r="B199">
        <v>16813386</v>
      </c>
      <c r="C199">
        <v>16813374</v>
      </c>
      <c r="D199">
        <v>15435609</v>
      </c>
      <c r="E199">
        <v>1</v>
      </c>
      <c r="F199">
        <v>1</v>
      </c>
      <c r="G199">
        <v>1</v>
      </c>
      <c r="H199">
        <v>1</v>
      </c>
      <c r="I199" t="s">
        <v>927</v>
      </c>
      <c r="J199" t="s">
        <v>6</v>
      </c>
      <c r="K199" t="s">
        <v>928</v>
      </c>
      <c r="L199">
        <v>1191</v>
      </c>
      <c r="N199">
        <v>1013</v>
      </c>
      <c r="O199" t="s">
        <v>773</v>
      </c>
      <c r="P199" t="s">
        <v>773</v>
      </c>
      <c r="Q199">
        <v>1</v>
      </c>
      <c r="X199">
        <v>65.599999999999994</v>
      </c>
      <c r="Y199">
        <v>0</v>
      </c>
      <c r="Z199">
        <v>0</v>
      </c>
      <c r="AA199">
        <v>0</v>
      </c>
      <c r="AB199">
        <v>8.9700000000000006</v>
      </c>
      <c r="AC199">
        <v>0</v>
      </c>
      <c r="AD199">
        <v>1</v>
      </c>
      <c r="AE199">
        <v>1</v>
      </c>
      <c r="AF199" t="s">
        <v>6</v>
      </c>
      <c r="AG199">
        <v>65.599999999999994</v>
      </c>
      <c r="AH199">
        <v>2</v>
      </c>
      <c r="AI199">
        <v>16813375</v>
      </c>
      <c r="AJ199">
        <v>205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ROW(Source!A142)</f>
        <v>142</v>
      </c>
      <c r="B200">
        <v>16813387</v>
      </c>
      <c r="C200">
        <v>16813374</v>
      </c>
      <c r="D200">
        <v>15430395</v>
      </c>
      <c r="E200">
        <v>1</v>
      </c>
      <c r="F200">
        <v>1</v>
      </c>
      <c r="G200">
        <v>1</v>
      </c>
      <c r="H200">
        <v>1</v>
      </c>
      <c r="I200" t="s">
        <v>774</v>
      </c>
      <c r="J200" t="s">
        <v>6</v>
      </c>
      <c r="K200" t="s">
        <v>775</v>
      </c>
      <c r="L200">
        <v>1191</v>
      </c>
      <c r="N200">
        <v>1013</v>
      </c>
      <c r="O200" t="s">
        <v>773</v>
      </c>
      <c r="P200" t="s">
        <v>773</v>
      </c>
      <c r="Q200">
        <v>1</v>
      </c>
      <c r="X200">
        <v>3.13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2</v>
      </c>
      <c r="AF200" t="s">
        <v>6</v>
      </c>
      <c r="AG200">
        <v>3.13</v>
      </c>
      <c r="AH200">
        <v>2</v>
      </c>
      <c r="AI200">
        <v>16813376</v>
      </c>
      <c r="AJ200">
        <v>206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ROW(Source!A142)</f>
        <v>142</v>
      </c>
      <c r="B201">
        <v>16813388</v>
      </c>
      <c r="C201">
        <v>16813374</v>
      </c>
      <c r="D201">
        <v>15247680</v>
      </c>
      <c r="E201">
        <v>1</v>
      </c>
      <c r="F201">
        <v>1</v>
      </c>
      <c r="G201">
        <v>1</v>
      </c>
      <c r="H201">
        <v>2</v>
      </c>
      <c r="I201" t="s">
        <v>959</v>
      </c>
      <c r="J201" t="s">
        <v>960</v>
      </c>
      <c r="K201" t="s">
        <v>961</v>
      </c>
      <c r="L201">
        <v>1368</v>
      </c>
      <c r="N201">
        <v>1011</v>
      </c>
      <c r="O201" t="s">
        <v>779</v>
      </c>
      <c r="P201" t="s">
        <v>779</v>
      </c>
      <c r="Q201">
        <v>1</v>
      </c>
      <c r="X201">
        <v>0.09</v>
      </c>
      <c r="Y201">
        <v>0</v>
      </c>
      <c r="Z201">
        <v>111.99</v>
      </c>
      <c r="AA201">
        <v>13.5</v>
      </c>
      <c r="AB201">
        <v>0</v>
      </c>
      <c r="AC201">
        <v>0</v>
      </c>
      <c r="AD201">
        <v>1</v>
      </c>
      <c r="AE201">
        <v>0</v>
      </c>
      <c r="AF201" t="s">
        <v>6</v>
      </c>
      <c r="AG201">
        <v>0.09</v>
      </c>
      <c r="AH201">
        <v>2</v>
      </c>
      <c r="AI201">
        <v>16813377</v>
      </c>
      <c r="AJ201">
        <v>207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ROW(Source!A142)</f>
        <v>142</v>
      </c>
      <c r="B202">
        <v>16813389</v>
      </c>
      <c r="C202">
        <v>16813374</v>
      </c>
      <c r="D202">
        <v>15247974</v>
      </c>
      <c r="E202">
        <v>1</v>
      </c>
      <c r="F202">
        <v>1</v>
      </c>
      <c r="G202">
        <v>1</v>
      </c>
      <c r="H202">
        <v>2</v>
      </c>
      <c r="I202" t="s">
        <v>776</v>
      </c>
      <c r="J202" t="s">
        <v>777</v>
      </c>
      <c r="K202" t="s">
        <v>778</v>
      </c>
      <c r="L202">
        <v>1368</v>
      </c>
      <c r="N202">
        <v>1011</v>
      </c>
      <c r="O202" t="s">
        <v>779</v>
      </c>
      <c r="P202" t="s">
        <v>779</v>
      </c>
      <c r="Q202">
        <v>1</v>
      </c>
      <c r="X202">
        <v>1.19</v>
      </c>
      <c r="Y202">
        <v>0</v>
      </c>
      <c r="Z202">
        <v>31.26</v>
      </c>
      <c r="AA202">
        <v>13.5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1.19</v>
      </c>
      <c r="AH202">
        <v>2</v>
      </c>
      <c r="AI202">
        <v>16813378</v>
      </c>
      <c r="AJ202">
        <v>208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ROW(Source!A142)</f>
        <v>142</v>
      </c>
      <c r="B203">
        <v>16813390</v>
      </c>
      <c r="C203">
        <v>16813374</v>
      </c>
      <c r="D203">
        <v>15248793</v>
      </c>
      <c r="E203">
        <v>1</v>
      </c>
      <c r="F203">
        <v>1</v>
      </c>
      <c r="G203">
        <v>1</v>
      </c>
      <c r="H203">
        <v>2</v>
      </c>
      <c r="I203" t="s">
        <v>962</v>
      </c>
      <c r="J203" t="s">
        <v>963</v>
      </c>
      <c r="K203" t="s">
        <v>964</v>
      </c>
      <c r="L203">
        <v>1368</v>
      </c>
      <c r="N203">
        <v>1011</v>
      </c>
      <c r="O203" t="s">
        <v>779</v>
      </c>
      <c r="P203" t="s">
        <v>779</v>
      </c>
      <c r="Q203">
        <v>1</v>
      </c>
      <c r="X203">
        <v>0.8</v>
      </c>
      <c r="Y203">
        <v>0</v>
      </c>
      <c r="Z203">
        <v>29.67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0.8</v>
      </c>
      <c r="AH203">
        <v>2</v>
      </c>
      <c r="AI203">
        <v>16813379</v>
      </c>
      <c r="AJ203">
        <v>209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ROW(Source!A142)</f>
        <v>142</v>
      </c>
      <c r="B204">
        <v>16813391</v>
      </c>
      <c r="C204">
        <v>16813374</v>
      </c>
      <c r="D204">
        <v>15249073</v>
      </c>
      <c r="E204">
        <v>1</v>
      </c>
      <c r="F204">
        <v>1</v>
      </c>
      <c r="G204">
        <v>1</v>
      </c>
      <c r="H204">
        <v>2</v>
      </c>
      <c r="I204" t="s">
        <v>782</v>
      </c>
      <c r="J204" t="s">
        <v>783</v>
      </c>
      <c r="K204" t="s">
        <v>784</v>
      </c>
      <c r="L204">
        <v>1368</v>
      </c>
      <c r="N204">
        <v>1011</v>
      </c>
      <c r="O204" t="s">
        <v>779</v>
      </c>
      <c r="P204" t="s">
        <v>779</v>
      </c>
      <c r="Q204">
        <v>1</v>
      </c>
      <c r="X204">
        <v>1.85</v>
      </c>
      <c r="Y204">
        <v>0</v>
      </c>
      <c r="Z204">
        <v>65.709999999999994</v>
      </c>
      <c r="AA204">
        <v>11.6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1.85</v>
      </c>
      <c r="AH204">
        <v>2</v>
      </c>
      <c r="AI204">
        <v>16813380</v>
      </c>
      <c r="AJ204">
        <v>210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ROW(Source!A142)</f>
        <v>142</v>
      </c>
      <c r="B205">
        <v>16813392</v>
      </c>
      <c r="C205">
        <v>16813374</v>
      </c>
      <c r="D205">
        <v>15166084</v>
      </c>
      <c r="E205">
        <v>1</v>
      </c>
      <c r="F205">
        <v>1</v>
      </c>
      <c r="G205">
        <v>1</v>
      </c>
      <c r="H205">
        <v>3</v>
      </c>
      <c r="I205" t="s">
        <v>965</v>
      </c>
      <c r="J205" t="s">
        <v>966</v>
      </c>
      <c r="K205" t="s">
        <v>967</v>
      </c>
      <c r="L205">
        <v>1339</v>
      </c>
      <c r="N205">
        <v>1007</v>
      </c>
      <c r="O205" t="s">
        <v>141</v>
      </c>
      <c r="P205" t="s">
        <v>141</v>
      </c>
      <c r="Q205">
        <v>1</v>
      </c>
      <c r="X205">
        <v>0.67</v>
      </c>
      <c r="Y205">
        <v>45.83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0</v>
      </c>
      <c r="AF205" t="s">
        <v>6</v>
      </c>
      <c r="AG205">
        <v>0.67</v>
      </c>
      <c r="AH205">
        <v>2</v>
      </c>
      <c r="AI205">
        <v>16813381</v>
      </c>
      <c r="AJ205">
        <v>211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ROW(Source!A142)</f>
        <v>142</v>
      </c>
      <c r="B206">
        <v>16813393</v>
      </c>
      <c r="C206">
        <v>16813374</v>
      </c>
      <c r="D206">
        <v>15167286</v>
      </c>
      <c r="E206">
        <v>1</v>
      </c>
      <c r="F206">
        <v>1</v>
      </c>
      <c r="G206">
        <v>1</v>
      </c>
      <c r="H206">
        <v>3</v>
      </c>
      <c r="I206" t="s">
        <v>801</v>
      </c>
      <c r="J206" t="s">
        <v>802</v>
      </c>
      <c r="K206" t="s">
        <v>803</v>
      </c>
      <c r="L206">
        <v>1339</v>
      </c>
      <c r="N206">
        <v>1007</v>
      </c>
      <c r="O206" t="s">
        <v>141</v>
      </c>
      <c r="P206" t="s">
        <v>141</v>
      </c>
      <c r="Q206">
        <v>1</v>
      </c>
      <c r="X206">
        <v>15</v>
      </c>
      <c r="Y206">
        <v>2.44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6</v>
      </c>
      <c r="AG206">
        <v>15</v>
      </c>
      <c r="AH206">
        <v>2</v>
      </c>
      <c r="AI206">
        <v>16813382</v>
      </c>
      <c r="AJ206">
        <v>212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ROW(Source!A142)</f>
        <v>142</v>
      </c>
      <c r="B207">
        <v>16813394</v>
      </c>
      <c r="C207">
        <v>16813374</v>
      </c>
      <c r="D207">
        <v>15163011</v>
      </c>
      <c r="E207">
        <v>17</v>
      </c>
      <c r="F207">
        <v>1</v>
      </c>
      <c r="G207">
        <v>1</v>
      </c>
      <c r="H207">
        <v>3</v>
      </c>
      <c r="I207" t="s">
        <v>1120</v>
      </c>
      <c r="J207" t="s">
        <v>6</v>
      </c>
      <c r="K207" t="s">
        <v>1121</v>
      </c>
      <c r="L207">
        <v>1358</v>
      </c>
      <c r="N207">
        <v>1010</v>
      </c>
      <c r="O207" t="s">
        <v>516</v>
      </c>
      <c r="P207" t="s">
        <v>516</v>
      </c>
      <c r="Q207">
        <v>10</v>
      </c>
      <c r="X207">
        <v>8.9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 t="s">
        <v>6</v>
      </c>
      <c r="AG207">
        <v>8.9</v>
      </c>
      <c r="AH207">
        <v>3</v>
      </c>
      <c r="AI207">
        <v>-1</v>
      </c>
      <c r="AJ207" t="s">
        <v>6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ROW(Source!A142)</f>
        <v>142</v>
      </c>
      <c r="B208">
        <v>16813395</v>
      </c>
      <c r="C208">
        <v>16813374</v>
      </c>
      <c r="D208">
        <v>15162072</v>
      </c>
      <c r="E208">
        <v>17</v>
      </c>
      <c r="F208">
        <v>1</v>
      </c>
      <c r="G208">
        <v>1</v>
      </c>
      <c r="H208">
        <v>3</v>
      </c>
      <c r="I208" t="s">
        <v>1122</v>
      </c>
      <c r="J208" t="s">
        <v>6</v>
      </c>
      <c r="K208" t="s">
        <v>1123</v>
      </c>
      <c r="L208">
        <v>1348</v>
      </c>
      <c r="N208">
        <v>1009</v>
      </c>
      <c r="O208" t="s">
        <v>145</v>
      </c>
      <c r="P208" t="s">
        <v>145</v>
      </c>
      <c r="Q208">
        <v>1000</v>
      </c>
      <c r="X208">
        <v>4.4999999999999997E-3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 t="s">
        <v>6</v>
      </c>
      <c r="AG208">
        <v>4.4999999999999997E-3</v>
      </c>
      <c r="AH208">
        <v>3</v>
      </c>
      <c r="AI208">
        <v>-1</v>
      </c>
      <c r="AJ208" t="s">
        <v>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ROW(Source!A142)</f>
        <v>142</v>
      </c>
      <c r="B209">
        <v>16813396</v>
      </c>
      <c r="C209">
        <v>16813374</v>
      </c>
      <c r="D209">
        <v>15212828</v>
      </c>
      <c r="E209">
        <v>1</v>
      </c>
      <c r="F209">
        <v>1</v>
      </c>
      <c r="G209">
        <v>1</v>
      </c>
      <c r="H209">
        <v>3</v>
      </c>
      <c r="I209" t="s">
        <v>968</v>
      </c>
      <c r="J209" t="s">
        <v>969</v>
      </c>
      <c r="K209" t="s">
        <v>970</v>
      </c>
      <c r="L209">
        <v>1035</v>
      </c>
      <c r="N209">
        <v>1013</v>
      </c>
      <c r="O209" t="s">
        <v>127</v>
      </c>
      <c r="P209" t="s">
        <v>127</v>
      </c>
      <c r="Q209">
        <v>1</v>
      </c>
      <c r="X209">
        <v>44.2</v>
      </c>
      <c r="Y209">
        <v>24.75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6</v>
      </c>
      <c r="AG209">
        <v>44.2</v>
      </c>
      <c r="AH209">
        <v>2</v>
      </c>
      <c r="AI209">
        <v>16813383</v>
      </c>
      <c r="AJ209">
        <v>213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ROW(Source!A142)</f>
        <v>142</v>
      </c>
      <c r="B210">
        <v>16813397</v>
      </c>
      <c r="C210">
        <v>16813374</v>
      </c>
      <c r="D210">
        <v>15163239</v>
      </c>
      <c r="E210">
        <v>17</v>
      </c>
      <c r="F210">
        <v>1</v>
      </c>
      <c r="G210">
        <v>1</v>
      </c>
      <c r="H210">
        <v>3</v>
      </c>
      <c r="I210" t="s">
        <v>431</v>
      </c>
      <c r="J210" t="s">
        <v>6</v>
      </c>
      <c r="K210" t="s">
        <v>432</v>
      </c>
      <c r="L210">
        <v>1033</v>
      </c>
      <c r="N210">
        <v>1013</v>
      </c>
      <c r="O210" t="s">
        <v>433</v>
      </c>
      <c r="P210" t="s">
        <v>433</v>
      </c>
      <c r="Q210">
        <v>1</v>
      </c>
      <c r="X210">
        <v>100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6</v>
      </c>
      <c r="AG210">
        <v>100</v>
      </c>
      <c r="AH210">
        <v>2</v>
      </c>
      <c r="AI210">
        <v>16813385</v>
      </c>
      <c r="AJ210">
        <v>215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ROW(Source!A145)</f>
        <v>145</v>
      </c>
      <c r="B211">
        <v>16813409</v>
      </c>
      <c r="C211">
        <v>16813400</v>
      </c>
      <c r="D211">
        <v>15430447</v>
      </c>
      <c r="E211">
        <v>1</v>
      </c>
      <c r="F211">
        <v>1</v>
      </c>
      <c r="G211">
        <v>1</v>
      </c>
      <c r="H211">
        <v>1</v>
      </c>
      <c r="I211" t="s">
        <v>888</v>
      </c>
      <c r="J211" t="s">
        <v>6</v>
      </c>
      <c r="K211" t="s">
        <v>889</v>
      </c>
      <c r="L211">
        <v>1191</v>
      </c>
      <c r="N211">
        <v>1013</v>
      </c>
      <c r="O211" t="s">
        <v>773</v>
      </c>
      <c r="P211" t="s">
        <v>773</v>
      </c>
      <c r="Q211">
        <v>1</v>
      </c>
      <c r="X211">
        <v>1.47</v>
      </c>
      <c r="Y211">
        <v>0</v>
      </c>
      <c r="Z211">
        <v>0</v>
      </c>
      <c r="AA211">
        <v>0</v>
      </c>
      <c r="AB211">
        <v>9.07</v>
      </c>
      <c r="AC211">
        <v>0</v>
      </c>
      <c r="AD211">
        <v>1</v>
      </c>
      <c r="AE211">
        <v>1</v>
      </c>
      <c r="AF211" t="s">
        <v>6</v>
      </c>
      <c r="AG211">
        <v>1.47</v>
      </c>
      <c r="AH211">
        <v>2</v>
      </c>
      <c r="AI211">
        <v>16813401</v>
      </c>
      <c r="AJ211">
        <v>216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ROW(Source!A145)</f>
        <v>145</v>
      </c>
      <c r="B212">
        <v>16813410</v>
      </c>
      <c r="C212">
        <v>16813400</v>
      </c>
      <c r="D212">
        <v>15430395</v>
      </c>
      <c r="E212">
        <v>1</v>
      </c>
      <c r="F212">
        <v>1</v>
      </c>
      <c r="G212">
        <v>1</v>
      </c>
      <c r="H212">
        <v>1</v>
      </c>
      <c r="I212" t="s">
        <v>774</v>
      </c>
      <c r="J212" t="s">
        <v>6</v>
      </c>
      <c r="K212" t="s">
        <v>775</v>
      </c>
      <c r="L212">
        <v>1191</v>
      </c>
      <c r="N212">
        <v>1013</v>
      </c>
      <c r="O212" t="s">
        <v>773</v>
      </c>
      <c r="P212" t="s">
        <v>773</v>
      </c>
      <c r="Q212">
        <v>1</v>
      </c>
      <c r="X212">
        <v>0.01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2</v>
      </c>
      <c r="AF212" t="s">
        <v>6</v>
      </c>
      <c r="AG212">
        <v>0.01</v>
      </c>
      <c r="AH212">
        <v>2</v>
      </c>
      <c r="AI212">
        <v>16813402</v>
      </c>
      <c r="AJ212">
        <v>217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ROW(Source!A145)</f>
        <v>145</v>
      </c>
      <c r="B213">
        <v>16813411</v>
      </c>
      <c r="C213">
        <v>16813400</v>
      </c>
      <c r="D213">
        <v>15249073</v>
      </c>
      <c r="E213">
        <v>1</v>
      </c>
      <c r="F213">
        <v>1</v>
      </c>
      <c r="G213">
        <v>1</v>
      </c>
      <c r="H213">
        <v>2</v>
      </c>
      <c r="I213" t="s">
        <v>782</v>
      </c>
      <c r="J213" t="s">
        <v>783</v>
      </c>
      <c r="K213" t="s">
        <v>784</v>
      </c>
      <c r="L213">
        <v>1368</v>
      </c>
      <c r="N213">
        <v>1011</v>
      </c>
      <c r="O213" t="s">
        <v>779</v>
      </c>
      <c r="P213" t="s">
        <v>779</v>
      </c>
      <c r="Q213">
        <v>1</v>
      </c>
      <c r="X213">
        <v>0.01</v>
      </c>
      <c r="Y213">
        <v>0</v>
      </c>
      <c r="Z213">
        <v>65.709999999999994</v>
      </c>
      <c r="AA213">
        <v>11.6</v>
      </c>
      <c r="AB213">
        <v>0</v>
      </c>
      <c r="AC213">
        <v>0</v>
      </c>
      <c r="AD213">
        <v>1</v>
      </c>
      <c r="AE213">
        <v>0</v>
      </c>
      <c r="AF213" t="s">
        <v>6</v>
      </c>
      <c r="AG213">
        <v>0.01</v>
      </c>
      <c r="AH213">
        <v>2</v>
      </c>
      <c r="AI213">
        <v>16813403</v>
      </c>
      <c r="AJ213">
        <v>218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ROW(Source!A145)</f>
        <v>145</v>
      </c>
      <c r="B214">
        <v>16813412</v>
      </c>
      <c r="C214">
        <v>16813400</v>
      </c>
      <c r="D214">
        <v>15249377</v>
      </c>
      <c r="E214">
        <v>1</v>
      </c>
      <c r="F214">
        <v>1</v>
      </c>
      <c r="G214">
        <v>1</v>
      </c>
      <c r="H214">
        <v>2</v>
      </c>
      <c r="I214" t="s">
        <v>785</v>
      </c>
      <c r="J214" t="s">
        <v>786</v>
      </c>
      <c r="K214" t="s">
        <v>787</v>
      </c>
      <c r="L214">
        <v>1368</v>
      </c>
      <c r="N214">
        <v>1011</v>
      </c>
      <c r="O214" t="s">
        <v>779</v>
      </c>
      <c r="P214" t="s">
        <v>779</v>
      </c>
      <c r="Q214">
        <v>1</v>
      </c>
      <c r="X214">
        <v>0.35</v>
      </c>
      <c r="Y214">
        <v>0</v>
      </c>
      <c r="Z214">
        <v>8.1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6</v>
      </c>
      <c r="AG214">
        <v>0.35</v>
      </c>
      <c r="AH214">
        <v>2</v>
      </c>
      <c r="AI214">
        <v>16813404</v>
      </c>
      <c r="AJ214">
        <v>219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ROW(Source!A145)</f>
        <v>145</v>
      </c>
      <c r="B215">
        <v>16813413</v>
      </c>
      <c r="C215">
        <v>16813400</v>
      </c>
      <c r="D215">
        <v>15165267</v>
      </c>
      <c r="E215">
        <v>1</v>
      </c>
      <c r="F215">
        <v>1</v>
      </c>
      <c r="G215">
        <v>1</v>
      </c>
      <c r="H215">
        <v>3</v>
      </c>
      <c r="I215" t="s">
        <v>971</v>
      </c>
      <c r="J215" t="s">
        <v>972</v>
      </c>
      <c r="K215" t="s">
        <v>973</v>
      </c>
      <c r="L215">
        <v>1356</v>
      </c>
      <c r="N215">
        <v>1010</v>
      </c>
      <c r="O215" t="s">
        <v>882</v>
      </c>
      <c r="P215" t="s">
        <v>882</v>
      </c>
      <c r="Q215">
        <v>1000</v>
      </c>
      <c r="X215">
        <v>2E-3</v>
      </c>
      <c r="Y215">
        <v>3450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2E-3</v>
      </c>
      <c r="AH215">
        <v>2</v>
      </c>
      <c r="AI215">
        <v>16813405</v>
      </c>
      <c r="AJ215">
        <v>220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ROW(Source!A145)</f>
        <v>145</v>
      </c>
      <c r="B216">
        <v>16813414</v>
      </c>
      <c r="C216">
        <v>16813400</v>
      </c>
      <c r="D216">
        <v>15168763</v>
      </c>
      <c r="E216">
        <v>1</v>
      </c>
      <c r="F216">
        <v>1</v>
      </c>
      <c r="G216">
        <v>1</v>
      </c>
      <c r="H216">
        <v>3</v>
      </c>
      <c r="I216" t="s">
        <v>974</v>
      </c>
      <c r="J216" t="s">
        <v>975</v>
      </c>
      <c r="K216" t="s">
        <v>976</v>
      </c>
      <c r="L216">
        <v>1348</v>
      </c>
      <c r="N216">
        <v>1009</v>
      </c>
      <c r="O216" t="s">
        <v>145</v>
      </c>
      <c r="P216" t="s">
        <v>145</v>
      </c>
      <c r="Q216">
        <v>1000</v>
      </c>
      <c r="X216">
        <v>1.3999999999999999E-4</v>
      </c>
      <c r="Y216">
        <v>10362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6</v>
      </c>
      <c r="AG216">
        <v>1.3999999999999999E-4</v>
      </c>
      <c r="AH216">
        <v>2</v>
      </c>
      <c r="AI216">
        <v>16813406</v>
      </c>
      <c r="AJ216">
        <v>221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ROW(Source!A145)</f>
        <v>145</v>
      </c>
      <c r="B217">
        <v>16813415</v>
      </c>
      <c r="C217">
        <v>16813400</v>
      </c>
      <c r="D217">
        <v>15169923</v>
      </c>
      <c r="E217">
        <v>1</v>
      </c>
      <c r="F217">
        <v>1</v>
      </c>
      <c r="G217">
        <v>1</v>
      </c>
      <c r="H217">
        <v>3</v>
      </c>
      <c r="I217" t="s">
        <v>977</v>
      </c>
      <c r="J217" t="s">
        <v>978</v>
      </c>
      <c r="K217" t="s">
        <v>979</v>
      </c>
      <c r="L217">
        <v>1348</v>
      </c>
      <c r="N217">
        <v>1009</v>
      </c>
      <c r="O217" t="s">
        <v>145</v>
      </c>
      <c r="P217" t="s">
        <v>145</v>
      </c>
      <c r="Q217">
        <v>1000</v>
      </c>
      <c r="X217">
        <v>1.1000000000000001E-3</v>
      </c>
      <c r="Y217">
        <v>15323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6</v>
      </c>
      <c r="AG217">
        <v>1.1000000000000001E-3</v>
      </c>
      <c r="AH217">
        <v>2</v>
      </c>
      <c r="AI217">
        <v>16813408</v>
      </c>
      <c r="AJ217">
        <v>222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ROW(Source!A145)</f>
        <v>145</v>
      </c>
      <c r="B218">
        <v>16813416</v>
      </c>
      <c r="C218">
        <v>16813400</v>
      </c>
      <c r="D218">
        <v>15162883</v>
      </c>
      <c r="E218">
        <v>17</v>
      </c>
      <c r="F218">
        <v>1</v>
      </c>
      <c r="G218">
        <v>1</v>
      </c>
      <c r="H218">
        <v>3</v>
      </c>
      <c r="I218" t="s">
        <v>1134</v>
      </c>
      <c r="J218" t="s">
        <v>6</v>
      </c>
      <c r="K218" t="s">
        <v>1135</v>
      </c>
      <c r="L218">
        <v>1354</v>
      </c>
      <c r="N218">
        <v>1010</v>
      </c>
      <c r="O218" t="s">
        <v>62</v>
      </c>
      <c r="P218" t="s">
        <v>62</v>
      </c>
      <c r="Q218">
        <v>1</v>
      </c>
      <c r="X218">
        <v>1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6</v>
      </c>
      <c r="AG218">
        <v>1</v>
      </c>
      <c r="AH218">
        <v>3</v>
      </c>
      <c r="AI218">
        <v>-1</v>
      </c>
      <c r="AJ218" t="s">
        <v>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ROW(Source!A145)</f>
        <v>145</v>
      </c>
      <c r="B219">
        <v>16813417</v>
      </c>
      <c r="C219">
        <v>16813400</v>
      </c>
      <c r="D219">
        <v>15161732</v>
      </c>
      <c r="E219">
        <v>17</v>
      </c>
      <c r="F219">
        <v>1</v>
      </c>
      <c r="G219">
        <v>1</v>
      </c>
      <c r="H219">
        <v>3</v>
      </c>
      <c r="I219" t="s">
        <v>1136</v>
      </c>
      <c r="J219" t="s">
        <v>6</v>
      </c>
      <c r="K219" t="s">
        <v>1137</v>
      </c>
      <c r="L219">
        <v>1354</v>
      </c>
      <c r="N219">
        <v>1010</v>
      </c>
      <c r="O219" t="s">
        <v>62</v>
      </c>
      <c r="P219" t="s">
        <v>62</v>
      </c>
      <c r="Q219">
        <v>1</v>
      </c>
      <c r="X219">
        <v>2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 t="s">
        <v>6</v>
      </c>
      <c r="AG219">
        <v>2</v>
      </c>
      <c r="AH219">
        <v>3</v>
      </c>
      <c r="AI219">
        <v>-1</v>
      </c>
      <c r="AJ219" t="s">
        <v>6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ROW(Source!A147)</f>
        <v>147</v>
      </c>
      <c r="B220">
        <v>16813428</v>
      </c>
      <c r="C220">
        <v>16813419</v>
      </c>
      <c r="D220">
        <v>15430497</v>
      </c>
      <c r="E220">
        <v>1</v>
      </c>
      <c r="F220">
        <v>1</v>
      </c>
      <c r="G220">
        <v>1</v>
      </c>
      <c r="H220">
        <v>1</v>
      </c>
      <c r="I220" t="s">
        <v>916</v>
      </c>
      <c r="J220" t="s">
        <v>6</v>
      </c>
      <c r="K220" t="s">
        <v>917</v>
      </c>
      <c r="L220">
        <v>1191</v>
      </c>
      <c r="N220">
        <v>1013</v>
      </c>
      <c r="O220" t="s">
        <v>773</v>
      </c>
      <c r="P220" t="s">
        <v>773</v>
      </c>
      <c r="Q220">
        <v>1</v>
      </c>
      <c r="X220">
        <v>71.06</v>
      </c>
      <c r="Y220">
        <v>0</v>
      </c>
      <c r="Z220">
        <v>0</v>
      </c>
      <c r="AA220">
        <v>0</v>
      </c>
      <c r="AB220">
        <v>8.86</v>
      </c>
      <c r="AC220">
        <v>0</v>
      </c>
      <c r="AD220">
        <v>1</v>
      </c>
      <c r="AE220">
        <v>1</v>
      </c>
      <c r="AF220" t="s">
        <v>6</v>
      </c>
      <c r="AG220">
        <v>71.06</v>
      </c>
      <c r="AH220">
        <v>2</v>
      </c>
      <c r="AI220">
        <v>16813420</v>
      </c>
      <c r="AJ220">
        <v>224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ROW(Source!A147)</f>
        <v>147</v>
      </c>
      <c r="B221">
        <v>16813429</v>
      </c>
      <c r="C221">
        <v>16813419</v>
      </c>
      <c r="D221">
        <v>15430395</v>
      </c>
      <c r="E221">
        <v>1</v>
      </c>
      <c r="F221">
        <v>1</v>
      </c>
      <c r="G221">
        <v>1</v>
      </c>
      <c r="H221">
        <v>1</v>
      </c>
      <c r="I221" t="s">
        <v>774</v>
      </c>
      <c r="J221" t="s">
        <v>6</v>
      </c>
      <c r="K221" t="s">
        <v>775</v>
      </c>
      <c r="L221">
        <v>1191</v>
      </c>
      <c r="N221">
        <v>1013</v>
      </c>
      <c r="O221" t="s">
        <v>773</v>
      </c>
      <c r="P221" t="s">
        <v>773</v>
      </c>
      <c r="Q221">
        <v>1</v>
      </c>
      <c r="X221">
        <v>0.04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</v>
      </c>
      <c r="AF221" t="s">
        <v>6</v>
      </c>
      <c r="AG221">
        <v>0.04</v>
      </c>
      <c r="AH221">
        <v>2</v>
      </c>
      <c r="AI221">
        <v>16813421</v>
      </c>
      <c r="AJ221">
        <v>225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ROW(Source!A147)</f>
        <v>147</v>
      </c>
      <c r="B222">
        <v>16813430</v>
      </c>
      <c r="C222">
        <v>16813419</v>
      </c>
      <c r="D222">
        <v>15247974</v>
      </c>
      <c r="E222">
        <v>1</v>
      </c>
      <c r="F222">
        <v>1</v>
      </c>
      <c r="G222">
        <v>1</v>
      </c>
      <c r="H222">
        <v>2</v>
      </c>
      <c r="I222" t="s">
        <v>776</v>
      </c>
      <c r="J222" t="s">
        <v>777</v>
      </c>
      <c r="K222" t="s">
        <v>778</v>
      </c>
      <c r="L222">
        <v>1368</v>
      </c>
      <c r="N222">
        <v>1011</v>
      </c>
      <c r="O222" t="s">
        <v>779</v>
      </c>
      <c r="P222" t="s">
        <v>779</v>
      </c>
      <c r="Q222">
        <v>1</v>
      </c>
      <c r="X222">
        <v>0.01</v>
      </c>
      <c r="Y222">
        <v>0</v>
      </c>
      <c r="Z222">
        <v>31.26</v>
      </c>
      <c r="AA222">
        <v>13.5</v>
      </c>
      <c r="AB222">
        <v>0</v>
      </c>
      <c r="AC222">
        <v>0</v>
      </c>
      <c r="AD222">
        <v>1</v>
      </c>
      <c r="AE222">
        <v>0</v>
      </c>
      <c r="AF222" t="s">
        <v>6</v>
      </c>
      <c r="AG222">
        <v>0.01</v>
      </c>
      <c r="AH222">
        <v>2</v>
      </c>
      <c r="AI222">
        <v>16813422</v>
      </c>
      <c r="AJ222">
        <v>226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ROW(Source!A147)</f>
        <v>147</v>
      </c>
      <c r="B223">
        <v>16813431</v>
      </c>
      <c r="C223">
        <v>16813419</v>
      </c>
      <c r="D223">
        <v>15249073</v>
      </c>
      <c r="E223">
        <v>1</v>
      </c>
      <c r="F223">
        <v>1</v>
      </c>
      <c r="G223">
        <v>1</v>
      </c>
      <c r="H223">
        <v>2</v>
      </c>
      <c r="I223" t="s">
        <v>782</v>
      </c>
      <c r="J223" t="s">
        <v>783</v>
      </c>
      <c r="K223" t="s">
        <v>784</v>
      </c>
      <c r="L223">
        <v>1368</v>
      </c>
      <c r="N223">
        <v>1011</v>
      </c>
      <c r="O223" t="s">
        <v>779</v>
      </c>
      <c r="P223" t="s">
        <v>779</v>
      </c>
      <c r="Q223">
        <v>1</v>
      </c>
      <c r="X223">
        <v>0.03</v>
      </c>
      <c r="Y223">
        <v>0</v>
      </c>
      <c r="Z223">
        <v>65.709999999999994</v>
      </c>
      <c r="AA223">
        <v>11.6</v>
      </c>
      <c r="AB223">
        <v>0</v>
      </c>
      <c r="AC223">
        <v>0</v>
      </c>
      <c r="AD223">
        <v>1</v>
      </c>
      <c r="AE223">
        <v>0</v>
      </c>
      <c r="AF223" t="s">
        <v>6</v>
      </c>
      <c r="AG223">
        <v>0.03</v>
      </c>
      <c r="AH223">
        <v>2</v>
      </c>
      <c r="AI223">
        <v>16813423</v>
      </c>
      <c r="AJ223">
        <v>227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ROW(Source!A147)</f>
        <v>147</v>
      </c>
      <c r="B224">
        <v>16813432</v>
      </c>
      <c r="C224">
        <v>16813419</v>
      </c>
      <c r="D224">
        <v>15171018</v>
      </c>
      <c r="E224">
        <v>1</v>
      </c>
      <c r="F224">
        <v>1</v>
      </c>
      <c r="G224">
        <v>1</v>
      </c>
      <c r="H224">
        <v>3</v>
      </c>
      <c r="I224" t="s">
        <v>824</v>
      </c>
      <c r="J224" t="s">
        <v>825</v>
      </c>
      <c r="K224" t="s">
        <v>826</v>
      </c>
      <c r="L224">
        <v>1346</v>
      </c>
      <c r="N224">
        <v>1009</v>
      </c>
      <c r="O224" t="s">
        <v>277</v>
      </c>
      <c r="P224" t="s">
        <v>277</v>
      </c>
      <c r="Q224">
        <v>1</v>
      </c>
      <c r="X224">
        <v>0.3</v>
      </c>
      <c r="Y224">
        <v>1.82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6</v>
      </c>
      <c r="AG224">
        <v>0.3</v>
      </c>
      <c r="AH224">
        <v>2</v>
      </c>
      <c r="AI224">
        <v>16813424</v>
      </c>
      <c r="AJ224">
        <v>228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ROW(Source!A147)</f>
        <v>147</v>
      </c>
      <c r="B225">
        <v>16813433</v>
      </c>
      <c r="C225">
        <v>16813419</v>
      </c>
      <c r="D225">
        <v>15163068</v>
      </c>
      <c r="E225">
        <v>17</v>
      </c>
      <c r="F225">
        <v>1</v>
      </c>
      <c r="G225">
        <v>1</v>
      </c>
      <c r="H225">
        <v>3</v>
      </c>
      <c r="I225" t="s">
        <v>450</v>
      </c>
      <c r="J225" t="s">
        <v>6</v>
      </c>
      <c r="K225" t="s">
        <v>451</v>
      </c>
      <c r="L225">
        <v>1348</v>
      </c>
      <c r="N225">
        <v>1009</v>
      </c>
      <c r="O225" t="s">
        <v>145</v>
      </c>
      <c r="P225" t="s">
        <v>145</v>
      </c>
      <c r="Q225">
        <v>1000</v>
      </c>
      <c r="X225">
        <v>2.46E-2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 t="s">
        <v>6</v>
      </c>
      <c r="AG225">
        <v>2.46E-2</v>
      </c>
      <c r="AH225">
        <v>2</v>
      </c>
      <c r="AI225">
        <v>16813425</v>
      </c>
      <c r="AJ225">
        <v>229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ROW(Source!A147)</f>
        <v>147</v>
      </c>
      <c r="B226">
        <v>16813434</v>
      </c>
      <c r="C226">
        <v>16813419</v>
      </c>
      <c r="D226">
        <v>15204471</v>
      </c>
      <c r="E226">
        <v>1</v>
      </c>
      <c r="F226">
        <v>1</v>
      </c>
      <c r="G226">
        <v>1</v>
      </c>
      <c r="H226">
        <v>3</v>
      </c>
      <c r="I226" t="s">
        <v>980</v>
      </c>
      <c r="J226" t="s">
        <v>981</v>
      </c>
      <c r="K226" t="s">
        <v>982</v>
      </c>
      <c r="L226">
        <v>1346</v>
      </c>
      <c r="N226">
        <v>1009</v>
      </c>
      <c r="O226" t="s">
        <v>277</v>
      </c>
      <c r="P226" t="s">
        <v>277</v>
      </c>
      <c r="Q226">
        <v>1</v>
      </c>
      <c r="X226">
        <v>2.7</v>
      </c>
      <c r="Y226">
        <v>32.6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2.7</v>
      </c>
      <c r="AH226">
        <v>2</v>
      </c>
      <c r="AI226">
        <v>16813427</v>
      </c>
      <c r="AJ226">
        <v>231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ROW(Source!A150)</f>
        <v>150</v>
      </c>
      <c r="B227">
        <v>16813439</v>
      </c>
      <c r="C227">
        <v>16813437</v>
      </c>
      <c r="D227">
        <v>15430767</v>
      </c>
      <c r="E227">
        <v>1</v>
      </c>
      <c r="F227">
        <v>1</v>
      </c>
      <c r="G227">
        <v>1</v>
      </c>
      <c r="H227">
        <v>1</v>
      </c>
      <c r="I227" t="s">
        <v>799</v>
      </c>
      <c r="J227" t="s">
        <v>6</v>
      </c>
      <c r="K227" t="s">
        <v>800</v>
      </c>
      <c r="L227">
        <v>1191</v>
      </c>
      <c r="N227">
        <v>1013</v>
      </c>
      <c r="O227" t="s">
        <v>773</v>
      </c>
      <c r="P227" t="s">
        <v>773</v>
      </c>
      <c r="Q227">
        <v>1</v>
      </c>
      <c r="X227">
        <v>15.73</v>
      </c>
      <c r="Y227">
        <v>0</v>
      </c>
      <c r="Z227">
        <v>0</v>
      </c>
      <c r="AA227">
        <v>0</v>
      </c>
      <c r="AB227">
        <v>8.5299999999999994</v>
      </c>
      <c r="AC227">
        <v>0</v>
      </c>
      <c r="AD227">
        <v>1</v>
      </c>
      <c r="AE227">
        <v>1</v>
      </c>
      <c r="AF227" t="s">
        <v>6</v>
      </c>
      <c r="AG227">
        <v>15.73</v>
      </c>
      <c r="AH227">
        <v>2</v>
      </c>
      <c r="AI227">
        <v>16813438</v>
      </c>
      <c r="AJ227">
        <v>232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ROW(Source!A186)</f>
        <v>186</v>
      </c>
      <c r="B228">
        <v>16813448</v>
      </c>
      <c r="C228">
        <v>16813441</v>
      </c>
      <c r="D228">
        <v>15435721</v>
      </c>
      <c r="E228">
        <v>1</v>
      </c>
      <c r="F228">
        <v>1</v>
      </c>
      <c r="G228">
        <v>1</v>
      </c>
      <c r="H228">
        <v>1</v>
      </c>
      <c r="I228" t="s">
        <v>816</v>
      </c>
      <c r="J228" t="s">
        <v>6</v>
      </c>
      <c r="K228" t="s">
        <v>817</v>
      </c>
      <c r="L228">
        <v>1191</v>
      </c>
      <c r="N228">
        <v>1013</v>
      </c>
      <c r="O228" t="s">
        <v>773</v>
      </c>
      <c r="P228" t="s">
        <v>773</v>
      </c>
      <c r="Q228">
        <v>1</v>
      </c>
      <c r="X228">
        <v>16.29</v>
      </c>
      <c r="Y228">
        <v>0</v>
      </c>
      <c r="Z228">
        <v>0</v>
      </c>
      <c r="AA228">
        <v>0</v>
      </c>
      <c r="AB228">
        <v>9.51</v>
      </c>
      <c r="AC228">
        <v>0</v>
      </c>
      <c r="AD228">
        <v>1</v>
      </c>
      <c r="AE228">
        <v>1</v>
      </c>
      <c r="AF228" t="s">
        <v>471</v>
      </c>
      <c r="AG228">
        <v>4.8869999999999996</v>
      </c>
      <c r="AH228">
        <v>2</v>
      </c>
      <c r="AI228">
        <v>16813442</v>
      </c>
      <c r="AJ228">
        <v>233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ROW(Source!A186)</f>
        <v>186</v>
      </c>
      <c r="B229">
        <v>16813449</v>
      </c>
      <c r="C229">
        <v>16813441</v>
      </c>
      <c r="D229">
        <v>15430395</v>
      </c>
      <c r="E229">
        <v>1</v>
      </c>
      <c r="F229">
        <v>1</v>
      </c>
      <c r="G229">
        <v>1</v>
      </c>
      <c r="H229">
        <v>1</v>
      </c>
      <c r="I229" t="s">
        <v>774</v>
      </c>
      <c r="J229" t="s">
        <v>6</v>
      </c>
      <c r="K229" t="s">
        <v>775</v>
      </c>
      <c r="L229">
        <v>1191</v>
      </c>
      <c r="N229">
        <v>1013</v>
      </c>
      <c r="O229" t="s">
        <v>773</v>
      </c>
      <c r="P229" t="s">
        <v>773</v>
      </c>
      <c r="Q229">
        <v>1</v>
      </c>
      <c r="X229">
        <v>0.01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2</v>
      </c>
      <c r="AF229" t="s">
        <v>471</v>
      </c>
      <c r="AG229">
        <v>3.0000000000000001E-3</v>
      </c>
      <c r="AH229">
        <v>2</v>
      </c>
      <c r="AI229">
        <v>16813443</v>
      </c>
      <c r="AJ229">
        <v>234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ROW(Source!A186)</f>
        <v>186</v>
      </c>
      <c r="B230">
        <v>16813450</v>
      </c>
      <c r="C230">
        <v>16813441</v>
      </c>
      <c r="D230">
        <v>15247974</v>
      </c>
      <c r="E230">
        <v>1</v>
      </c>
      <c r="F230">
        <v>1</v>
      </c>
      <c r="G230">
        <v>1</v>
      </c>
      <c r="H230">
        <v>2</v>
      </c>
      <c r="I230" t="s">
        <v>776</v>
      </c>
      <c r="J230" t="s">
        <v>777</v>
      </c>
      <c r="K230" t="s">
        <v>778</v>
      </c>
      <c r="L230">
        <v>1368</v>
      </c>
      <c r="N230">
        <v>1011</v>
      </c>
      <c r="O230" t="s">
        <v>779</v>
      </c>
      <c r="P230" t="s">
        <v>779</v>
      </c>
      <c r="Q230">
        <v>1</v>
      </c>
      <c r="X230">
        <v>0.01</v>
      </c>
      <c r="Y230">
        <v>0</v>
      </c>
      <c r="Z230">
        <v>31.26</v>
      </c>
      <c r="AA230">
        <v>13.5</v>
      </c>
      <c r="AB230">
        <v>0</v>
      </c>
      <c r="AC230">
        <v>0</v>
      </c>
      <c r="AD230">
        <v>1</v>
      </c>
      <c r="AE230">
        <v>0</v>
      </c>
      <c r="AF230" t="s">
        <v>471</v>
      </c>
      <c r="AG230">
        <v>3.0000000000000001E-3</v>
      </c>
      <c r="AH230">
        <v>2</v>
      </c>
      <c r="AI230">
        <v>16813444</v>
      </c>
      <c r="AJ230">
        <v>235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ROW(Source!A186)</f>
        <v>186</v>
      </c>
      <c r="B231">
        <v>16813451</v>
      </c>
      <c r="C231">
        <v>16813441</v>
      </c>
      <c r="D231">
        <v>15170076</v>
      </c>
      <c r="E231">
        <v>1</v>
      </c>
      <c r="F231">
        <v>1</v>
      </c>
      <c r="G231">
        <v>1</v>
      </c>
      <c r="H231">
        <v>3</v>
      </c>
      <c r="I231" t="s">
        <v>983</v>
      </c>
      <c r="J231" t="s">
        <v>984</v>
      </c>
      <c r="K231" t="s">
        <v>985</v>
      </c>
      <c r="L231">
        <v>1356</v>
      </c>
      <c r="N231">
        <v>1010</v>
      </c>
      <c r="O231" t="s">
        <v>882</v>
      </c>
      <c r="P231" t="s">
        <v>882</v>
      </c>
      <c r="Q231">
        <v>1000</v>
      </c>
      <c r="X231">
        <v>0.2</v>
      </c>
      <c r="Y231">
        <v>180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31</v>
      </c>
      <c r="AG231">
        <v>0</v>
      </c>
      <c r="AH231">
        <v>2</v>
      </c>
      <c r="AI231">
        <v>16813445</v>
      </c>
      <c r="AJ231">
        <v>236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ROW(Source!A186)</f>
        <v>186</v>
      </c>
      <c r="B232">
        <v>16813452</v>
      </c>
      <c r="C232">
        <v>16813441</v>
      </c>
      <c r="D232">
        <v>15170438</v>
      </c>
      <c r="E232">
        <v>1</v>
      </c>
      <c r="F232">
        <v>1</v>
      </c>
      <c r="G232">
        <v>1</v>
      </c>
      <c r="H232">
        <v>3</v>
      </c>
      <c r="I232" t="s">
        <v>986</v>
      </c>
      <c r="J232" t="s">
        <v>987</v>
      </c>
      <c r="K232" t="s">
        <v>988</v>
      </c>
      <c r="L232">
        <v>1348</v>
      </c>
      <c r="N232">
        <v>1009</v>
      </c>
      <c r="O232" t="s">
        <v>145</v>
      </c>
      <c r="P232" t="s">
        <v>145</v>
      </c>
      <c r="Q232">
        <v>1000</v>
      </c>
      <c r="X232">
        <v>1E-3</v>
      </c>
      <c r="Y232">
        <v>12430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31</v>
      </c>
      <c r="AG232">
        <v>0</v>
      </c>
      <c r="AH232">
        <v>2</v>
      </c>
      <c r="AI232">
        <v>16813446</v>
      </c>
      <c r="AJ232">
        <v>237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ROW(Source!A186)</f>
        <v>186</v>
      </c>
      <c r="B233">
        <v>16813453</v>
      </c>
      <c r="C233">
        <v>16813441</v>
      </c>
      <c r="D233">
        <v>15164559</v>
      </c>
      <c r="E233">
        <v>17</v>
      </c>
      <c r="F233">
        <v>1</v>
      </c>
      <c r="G233">
        <v>1</v>
      </c>
      <c r="H233">
        <v>3</v>
      </c>
      <c r="I233" t="s">
        <v>989</v>
      </c>
      <c r="J233" t="s">
        <v>6</v>
      </c>
      <c r="K233" t="s">
        <v>990</v>
      </c>
      <c r="L233">
        <v>1374</v>
      </c>
      <c r="N233">
        <v>1013</v>
      </c>
      <c r="O233" t="s">
        <v>991</v>
      </c>
      <c r="P233" t="s">
        <v>991</v>
      </c>
      <c r="Q233">
        <v>1</v>
      </c>
      <c r="X233">
        <v>3.1</v>
      </c>
      <c r="Y233">
        <v>1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31</v>
      </c>
      <c r="AG233">
        <v>0</v>
      </c>
      <c r="AH233">
        <v>2</v>
      </c>
      <c r="AI233">
        <v>16813447</v>
      </c>
      <c r="AJ233">
        <v>238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ROW(Source!A187)</f>
        <v>187</v>
      </c>
      <c r="B234">
        <v>16813462</v>
      </c>
      <c r="C234">
        <v>16813454</v>
      </c>
      <c r="D234">
        <v>15446300</v>
      </c>
      <c r="E234">
        <v>1</v>
      </c>
      <c r="F234">
        <v>1</v>
      </c>
      <c r="G234">
        <v>1</v>
      </c>
      <c r="H234">
        <v>1</v>
      </c>
      <c r="I234" t="s">
        <v>780</v>
      </c>
      <c r="J234" t="s">
        <v>6</v>
      </c>
      <c r="K234" t="s">
        <v>781</v>
      </c>
      <c r="L234">
        <v>1191</v>
      </c>
      <c r="N234">
        <v>1013</v>
      </c>
      <c r="O234" t="s">
        <v>773</v>
      </c>
      <c r="P234" t="s">
        <v>773</v>
      </c>
      <c r="Q234">
        <v>1</v>
      </c>
      <c r="X234">
        <v>148</v>
      </c>
      <c r="Y234">
        <v>0</v>
      </c>
      <c r="Z234">
        <v>0</v>
      </c>
      <c r="AA234">
        <v>0</v>
      </c>
      <c r="AB234">
        <v>9.92</v>
      </c>
      <c r="AC234">
        <v>0</v>
      </c>
      <c r="AD234">
        <v>1</v>
      </c>
      <c r="AE234">
        <v>1</v>
      </c>
      <c r="AF234" t="s">
        <v>32</v>
      </c>
      <c r="AG234">
        <v>103.6</v>
      </c>
      <c r="AH234">
        <v>2</v>
      </c>
      <c r="AI234">
        <v>16813455</v>
      </c>
      <c r="AJ234">
        <v>239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ROW(Source!A187)</f>
        <v>187</v>
      </c>
      <c r="B235">
        <v>16813463</v>
      </c>
      <c r="C235">
        <v>16813454</v>
      </c>
      <c r="D235">
        <v>15430395</v>
      </c>
      <c r="E235">
        <v>1</v>
      </c>
      <c r="F235">
        <v>1</v>
      </c>
      <c r="G235">
        <v>1</v>
      </c>
      <c r="H235">
        <v>1</v>
      </c>
      <c r="I235" t="s">
        <v>774</v>
      </c>
      <c r="J235" t="s">
        <v>6</v>
      </c>
      <c r="K235" t="s">
        <v>775</v>
      </c>
      <c r="L235">
        <v>1191</v>
      </c>
      <c r="N235">
        <v>1013</v>
      </c>
      <c r="O235" t="s">
        <v>773</v>
      </c>
      <c r="P235" t="s">
        <v>773</v>
      </c>
      <c r="Q235">
        <v>1</v>
      </c>
      <c r="X235">
        <v>0.6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2</v>
      </c>
      <c r="AF235" t="s">
        <v>32</v>
      </c>
      <c r="AG235">
        <v>0.42</v>
      </c>
      <c r="AH235">
        <v>2</v>
      </c>
      <c r="AI235">
        <v>16813456</v>
      </c>
      <c r="AJ235">
        <v>240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ROW(Source!A187)</f>
        <v>187</v>
      </c>
      <c r="B236">
        <v>16813464</v>
      </c>
      <c r="C236">
        <v>16813454</v>
      </c>
      <c r="D236">
        <v>15247680</v>
      </c>
      <c r="E236">
        <v>1</v>
      </c>
      <c r="F236">
        <v>1</v>
      </c>
      <c r="G236">
        <v>1</v>
      </c>
      <c r="H236">
        <v>2</v>
      </c>
      <c r="I236" t="s">
        <v>959</v>
      </c>
      <c r="J236" t="s">
        <v>960</v>
      </c>
      <c r="K236" t="s">
        <v>961</v>
      </c>
      <c r="L236">
        <v>1368</v>
      </c>
      <c r="N236">
        <v>1011</v>
      </c>
      <c r="O236" t="s">
        <v>779</v>
      </c>
      <c r="P236" t="s">
        <v>779</v>
      </c>
      <c r="Q236">
        <v>1</v>
      </c>
      <c r="X236">
        <v>0.3</v>
      </c>
      <c r="Y236">
        <v>0</v>
      </c>
      <c r="Z236">
        <v>111.99</v>
      </c>
      <c r="AA236">
        <v>13.5</v>
      </c>
      <c r="AB236">
        <v>0</v>
      </c>
      <c r="AC236">
        <v>0</v>
      </c>
      <c r="AD236">
        <v>1</v>
      </c>
      <c r="AE236">
        <v>0</v>
      </c>
      <c r="AF236" t="s">
        <v>32</v>
      </c>
      <c r="AG236">
        <v>0.21</v>
      </c>
      <c r="AH236">
        <v>2</v>
      </c>
      <c r="AI236">
        <v>16813457</v>
      </c>
      <c r="AJ236">
        <v>241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ROW(Source!A187)</f>
        <v>187</v>
      </c>
      <c r="B237">
        <v>16813465</v>
      </c>
      <c r="C237">
        <v>16813454</v>
      </c>
      <c r="D237">
        <v>15249073</v>
      </c>
      <c r="E237">
        <v>1</v>
      </c>
      <c r="F237">
        <v>1</v>
      </c>
      <c r="G237">
        <v>1</v>
      </c>
      <c r="H237">
        <v>2</v>
      </c>
      <c r="I237" t="s">
        <v>782</v>
      </c>
      <c r="J237" t="s">
        <v>783</v>
      </c>
      <c r="K237" t="s">
        <v>784</v>
      </c>
      <c r="L237">
        <v>1368</v>
      </c>
      <c r="N237">
        <v>1011</v>
      </c>
      <c r="O237" t="s">
        <v>779</v>
      </c>
      <c r="P237" t="s">
        <v>779</v>
      </c>
      <c r="Q237">
        <v>1</v>
      </c>
      <c r="X237">
        <v>0.3</v>
      </c>
      <c r="Y237">
        <v>0</v>
      </c>
      <c r="Z237">
        <v>65.709999999999994</v>
      </c>
      <c r="AA237">
        <v>11.6</v>
      </c>
      <c r="AB237">
        <v>0</v>
      </c>
      <c r="AC237">
        <v>0</v>
      </c>
      <c r="AD237">
        <v>1</v>
      </c>
      <c r="AE237">
        <v>0</v>
      </c>
      <c r="AF237" t="s">
        <v>32</v>
      </c>
      <c r="AG237">
        <v>0.21</v>
      </c>
      <c r="AH237">
        <v>2</v>
      </c>
      <c r="AI237">
        <v>16813458</v>
      </c>
      <c r="AJ237">
        <v>242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ROW(Source!A187)</f>
        <v>187</v>
      </c>
      <c r="B238">
        <v>16813466</v>
      </c>
      <c r="C238">
        <v>16813454</v>
      </c>
      <c r="D238">
        <v>15171982</v>
      </c>
      <c r="E238">
        <v>1</v>
      </c>
      <c r="F238">
        <v>1</v>
      </c>
      <c r="G238">
        <v>1</v>
      </c>
      <c r="H238">
        <v>3</v>
      </c>
      <c r="I238" t="s">
        <v>804</v>
      </c>
      <c r="J238" t="s">
        <v>805</v>
      </c>
      <c r="K238" t="s">
        <v>806</v>
      </c>
      <c r="L238">
        <v>1348</v>
      </c>
      <c r="N238">
        <v>1009</v>
      </c>
      <c r="O238" t="s">
        <v>145</v>
      </c>
      <c r="P238" t="s">
        <v>145</v>
      </c>
      <c r="Q238">
        <v>1000</v>
      </c>
      <c r="X238">
        <v>3.15E-3</v>
      </c>
      <c r="Y238">
        <v>729.98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31</v>
      </c>
      <c r="AG238">
        <v>0</v>
      </c>
      <c r="AH238">
        <v>2</v>
      </c>
      <c r="AI238">
        <v>16813459</v>
      </c>
      <c r="AJ238">
        <v>243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ROW(Source!A187)</f>
        <v>187</v>
      </c>
      <c r="B239">
        <v>16813467</v>
      </c>
      <c r="C239">
        <v>16813454</v>
      </c>
      <c r="D239">
        <v>15233312</v>
      </c>
      <c r="E239">
        <v>1</v>
      </c>
      <c r="F239">
        <v>1</v>
      </c>
      <c r="G239">
        <v>1</v>
      </c>
      <c r="H239">
        <v>3</v>
      </c>
      <c r="I239" t="s">
        <v>992</v>
      </c>
      <c r="J239" t="s">
        <v>993</v>
      </c>
      <c r="K239" t="s">
        <v>994</v>
      </c>
      <c r="L239">
        <v>1346</v>
      </c>
      <c r="N239">
        <v>1009</v>
      </c>
      <c r="O239" t="s">
        <v>277</v>
      </c>
      <c r="P239" t="s">
        <v>277</v>
      </c>
      <c r="Q239">
        <v>1</v>
      </c>
      <c r="X239">
        <v>3.09</v>
      </c>
      <c r="Y239">
        <v>35.700000000000003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31</v>
      </c>
      <c r="AG239">
        <v>0</v>
      </c>
      <c r="AH239">
        <v>2</v>
      </c>
      <c r="AI239">
        <v>16813460</v>
      </c>
      <c r="AJ239">
        <v>244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ROW(Source!A187)</f>
        <v>187</v>
      </c>
      <c r="B240">
        <v>16813468</v>
      </c>
      <c r="C240">
        <v>16813454</v>
      </c>
      <c r="D240">
        <v>15164559</v>
      </c>
      <c r="E240">
        <v>17</v>
      </c>
      <c r="F240">
        <v>1</v>
      </c>
      <c r="G240">
        <v>1</v>
      </c>
      <c r="H240">
        <v>3</v>
      </c>
      <c r="I240" t="s">
        <v>989</v>
      </c>
      <c r="J240" t="s">
        <v>6</v>
      </c>
      <c r="K240" t="s">
        <v>990</v>
      </c>
      <c r="L240">
        <v>1374</v>
      </c>
      <c r="N240">
        <v>1013</v>
      </c>
      <c r="O240" t="s">
        <v>991</v>
      </c>
      <c r="P240" t="s">
        <v>991</v>
      </c>
      <c r="Q240">
        <v>1</v>
      </c>
      <c r="X240">
        <v>29.36</v>
      </c>
      <c r="Y240">
        <v>1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31</v>
      </c>
      <c r="AG240">
        <v>0</v>
      </c>
      <c r="AH240">
        <v>2</v>
      </c>
      <c r="AI240">
        <v>16813461</v>
      </c>
      <c r="AJ240">
        <v>245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ROW(Source!A188)</f>
        <v>188</v>
      </c>
      <c r="B241">
        <v>16813485</v>
      </c>
      <c r="C241">
        <v>16813469</v>
      </c>
      <c r="D241">
        <v>15435763</v>
      </c>
      <c r="E241">
        <v>1</v>
      </c>
      <c r="F241">
        <v>1</v>
      </c>
      <c r="G241">
        <v>1</v>
      </c>
      <c r="H241">
        <v>1</v>
      </c>
      <c r="I241" t="s">
        <v>995</v>
      </c>
      <c r="J241" t="s">
        <v>6</v>
      </c>
      <c r="K241" t="s">
        <v>996</v>
      </c>
      <c r="L241">
        <v>1191</v>
      </c>
      <c r="N241">
        <v>1013</v>
      </c>
      <c r="O241" t="s">
        <v>773</v>
      </c>
      <c r="P241" t="s">
        <v>773</v>
      </c>
      <c r="Q241">
        <v>1</v>
      </c>
      <c r="X241">
        <v>2.09</v>
      </c>
      <c r="Y241">
        <v>0</v>
      </c>
      <c r="Z241">
        <v>0</v>
      </c>
      <c r="AA241">
        <v>0</v>
      </c>
      <c r="AB241">
        <v>10.35</v>
      </c>
      <c r="AC241">
        <v>0</v>
      </c>
      <c r="AD241">
        <v>1</v>
      </c>
      <c r="AE241">
        <v>1</v>
      </c>
      <c r="AF241" t="s">
        <v>486</v>
      </c>
      <c r="AG241">
        <v>1.2539999999999998</v>
      </c>
      <c r="AH241">
        <v>2</v>
      </c>
      <c r="AI241">
        <v>16813470</v>
      </c>
      <c r="AJ241">
        <v>246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ROW(Source!A188)</f>
        <v>188</v>
      </c>
      <c r="B242">
        <v>16813486</v>
      </c>
      <c r="C242">
        <v>16813469</v>
      </c>
      <c r="D242">
        <v>15249377</v>
      </c>
      <c r="E242">
        <v>1</v>
      </c>
      <c r="F242">
        <v>1</v>
      </c>
      <c r="G242">
        <v>1</v>
      </c>
      <c r="H242">
        <v>2</v>
      </c>
      <c r="I242" t="s">
        <v>785</v>
      </c>
      <c r="J242" t="s">
        <v>786</v>
      </c>
      <c r="K242" t="s">
        <v>787</v>
      </c>
      <c r="L242">
        <v>1368</v>
      </c>
      <c r="N242">
        <v>1011</v>
      </c>
      <c r="O242" t="s">
        <v>779</v>
      </c>
      <c r="P242" t="s">
        <v>779</v>
      </c>
      <c r="Q242">
        <v>1</v>
      </c>
      <c r="X242">
        <v>0.06</v>
      </c>
      <c r="Y242">
        <v>0</v>
      </c>
      <c r="Z242">
        <v>8.1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486</v>
      </c>
      <c r="AG242">
        <v>3.5999999999999997E-2</v>
      </c>
      <c r="AH242">
        <v>2</v>
      </c>
      <c r="AI242">
        <v>16813471</v>
      </c>
      <c r="AJ242">
        <v>247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ROW(Source!A188)</f>
        <v>188</v>
      </c>
      <c r="B243">
        <v>16813487</v>
      </c>
      <c r="C243">
        <v>16813469</v>
      </c>
      <c r="D243">
        <v>15250043</v>
      </c>
      <c r="E243">
        <v>1</v>
      </c>
      <c r="F243">
        <v>1</v>
      </c>
      <c r="G243">
        <v>1</v>
      </c>
      <c r="H243">
        <v>2</v>
      </c>
      <c r="I243" t="s">
        <v>997</v>
      </c>
      <c r="J243" t="s">
        <v>998</v>
      </c>
      <c r="K243" t="s">
        <v>999</v>
      </c>
      <c r="L243">
        <v>1368</v>
      </c>
      <c r="N243">
        <v>1011</v>
      </c>
      <c r="O243" t="s">
        <v>779</v>
      </c>
      <c r="P243" t="s">
        <v>779</v>
      </c>
      <c r="Q243">
        <v>1</v>
      </c>
      <c r="X243">
        <v>0.09</v>
      </c>
      <c r="Y243">
        <v>0</v>
      </c>
      <c r="Z243">
        <v>1.1100000000000001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486</v>
      </c>
      <c r="AG243">
        <v>5.3999999999999999E-2</v>
      </c>
      <c r="AH243">
        <v>2</v>
      </c>
      <c r="AI243">
        <v>16813472</v>
      </c>
      <c r="AJ243">
        <v>248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ROW(Source!A188)</f>
        <v>188</v>
      </c>
      <c r="B244">
        <v>16813488</v>
      </c>
      <c r="C244">
        <v>16813469</v>
      </c>
      <c r="D244">
        <v>15165537</v>
      </c>
      <c r="E244">
        <v>1</v>
      </c>
      <c r="F244">
        <v>1</v>
      </c>
      <c r="G244">
        <v>1</v>
      </c>
      <c r="H244">
        <v>3</v>
      </c>
      <c r="I244" t="s">
        <v>1000</v>
      </c>
      <c r="J244" t="s">
        <v>1001</v>
      </c>
      <c r="K244" t="s">
        <v>1002</v>
      </c>
      <c r="L244">
        <v>1346</v>
      </c>
      <c r="N244">
        <v>1009</v>
      </c>
      <c r="O244" t="s">
        <v>277</v>
      </c>
      <c r="P244" t="s">
        <v>277</v>
      </c>
      <c r="Q244">
        <v>1</v>
      </c>
      <c r="X244">
        <v>6.0000000000000001E-3</v>
      </c>
      <c r="Y244">
        <v>44.97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31</v>
      </c>
      <c r="AG244">
        <v>0</v>
      </c>
      <c r="AH244">
        <v>2</v>
      </c>
      <c r="AI244">
        <v>16813473</v>
      </c>
      <c r="AJ244">
        <v>249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ROW(Source!A188)</f>
        <v>188</v>
      </c>
      <c r="B245">
        <v>16813489</v>
      </c>
      <c r="C245">
        <v>16813469</v>
      </c>
      <c r="D245">
        <v>15167269</v>
      </c>
      <c r="E245">
        <v>1</v>
      </c>
      <c r="F245">
        <v>1</v>
      </c>
      <c r="G245">
        <v>1</v>
      </c>
      <c r="H245">
        <v>3</v>
      </c>
      <c r="I245" t="s">
        <v>1003</v>
      </c>
      <c r="J245" t="s">
        <v>1004</v>
      </c>
      <c r="K245" t="s">
        <v>1005</v>
      </c>
      <c r="L245">
        <v>1346</v>
      </c>
      <c r="N245">
        <v>1009</v>
      </c>
      <c r="O245" t="s">
        <v>277</v>
      </c>
      <c r="P245" t="s">
        <v>277</v>
      </c>
      <c r="Q245">
        <v>1</v>
      </c>
      <c r="X245">
        <v>2E-3</v>
      </c>
      <c r="Y245">
        <v>11.5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31</v>
      </c>
      <c r="AG245">
        <v>0</v>
      </c>
      <c r="AH245">
        <v>2</v>
      </c>
      <c r="AI245">
        <v>16813474</v>
      </c>
      <c r="AJ245">
        <v>250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ROW(Source!A188)</f>
        <v>188</v>
      </c>
      <c r="B246">
        <v>16813490</v>
      </c>
      <c r="C246">
        <v>16813469</v>
      </c>
      <c r="D246">
        <v>15167588</v>
      </c>
      <c r="E246">
        <v>1</v>
      </c>
      <c r="F246">
        <v>1</v>
      </c>
      <c r="G246">
        <v>1</v>
      </c>
      <c r="H246">
        <v>3</v>
      </c>
      <c r="I246" t="s">
        <v>1006</v>
      </c>
      <c r="J246" t="s">
        <v>1007</v>
      </c>
      <c r="K246" t="s">
        <v>1008</v>
      </c>
      <c r="L246">
        <v>1346</v>
      </c>
      <c r="N246">
        <v>1009</v>
      </c>
      <c r="O246" t="s">
        <v>277</v>
      </c>
      <c r="P246" t="s">
        <v>277</v>
      </c>
      <c r="Q246">
        <v>1</v>
      </c>
      <c r="X246">
        <v>2.4E-2</v>
      </c>
      <c r="Y246">
        <v>30.4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31</v>
      </c>
      <c r="AG246">
        <v>0</v>
      </c>
      <c r="AH246">
        <v>2</v>
      </c>
      <c r="AI246">
        <v>16813475</v>
      </c>
      <c r="AJ246">
        <v>251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ROW(Source!A188)</f>
        <v>188</v>
      </c>
      <c r="B247">
        <v>16813491</v>
      </c>
      <c r="C247">
        <v>16813469</v>
      </c>
      <c r="D247">
        <v>15168752</v>
      </c>
      <c r="E247">
        <v>1</v>
      </c>
      <c r="F247">
        <v>1</v>
      </c>
      <c r="G247">
        <v>1</v>
      </c>
      <c r="H247">
        <v>3</v>
      </c>
      <c r="I247" t="s">
        <v>1009</v>
      </c>
      <c r="J247" t="s">
        <v>1010</v>
      </c>
      <c r="K247" t="s">
        <v>1011</v>
      </c>
      <c r="L247">
        <v>1346</v>
      </c>
      <c r="N247">
        <v>1009</v>
      </c>
      <c r="O247" t="s">
        <v>277</v>
      </c>
      <c r="P247" t="s">
        <v>277</v>
      </c>
      <c r="Q247">
        <v>1</v>
      </c>
      <c r="X247">
        <v>7.0000000000000007E-2</v>
      </c>
      <c r="Y247">
        <v>10.57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0</v>
      </c>
      <c r="AF247" t="s">
        <v>31</v>
      </c>
      <c r="AG247">
        <v>0</v>
      </c>
      <c r="AH247">
        <v>2</v>
      </c>
      <c r="AI247">
        <v>16813476</v>
      </c>
      <c r="AJ247">
        <v>252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ROW(Source!A188)</f>
        <v>188</v>
      </c>
      <c r="B248">
        <v>16813492</v>
      </c>
      <c r="C248">
        <v>16813469</v>
      </c>
      <c r="D248">
        <v>15169942</v>
      </c>
      <c r="E248">
        <v>1</v>
      </c>
      <c r="F248">
        <v>1</v>
      </c>
      <c r="G248">
        <v>1</v>
      </c>
      <c r="H248">
        <v>3</v>
      </c>
      <c r="I248" t="s">
        <v>1012</v>
      </c>
      <c r="J248" t="s">
        <v>1013</v>
      </c>
      <c r="K248" t="s">
        <v>1014</v>
      </c>
      <c r="L248">
        <v>1346</v>
      </c>
      <c r="N248">
        <v>1009</v>
      </c>
      <c r="O248" t="s">
        <v>277</v>
      </c>
      <c r="P248" t="s">
        <v>277</v>
      </c>
      <c r="Q248">
        <v>1</v>
      </c>
      <c r="X248">
        <v>0.14000000000000001</v>
      </c>
      <c r="Y248">
        <v>9.0399999999999991</v>
      </c>
      <c r="Z248">
        <v>0</v>
      </c>
      <c r="AA248">
        <v>0</v>
      </c>
      <c r="AB248">
        <v>0</v>
      </c>
      <c r="AC248">
        <v>0</v>
      </c>
      <c r="AD248">
        <v>1</v>
      </c>
      <c r="AE248">
        <v>0</v>
      </c>
      <c r="AF248" t="s">
        <v>31</v>
      </c>
      <c r="AG248">
        <v>0</v>
      </c>
      <c r="AH248">
        <v>2</v>
      </c>
      <c r="AI248">
        <v>16813477</v>
      </c>
      <c r="AJ248">
        <v>253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ROW(Source!A188)</f>
        <v>188</v>
      </c>
      <c r="B249">
        <v>16813493</v>
      </c>
      <c r="C249">
        <v>16813469</v>
      </c>
      <c r="D249">
        <v>15170074</v>
      </c>
      <c r="E249">
        <v>1</v>
      </c>
      <c r="F249">
        <v>1</v>
      </c>
      <c r="G249">
        <v>1</v>
      </c>
      <c r="H249">
        <v>3</v>
      </c>
      <c r="I249" t="s">
        <v>1015</v>
      </c>
      <c r="J249" t="s">
        <v>1016</v>
      </c>
      <c r="K249" t="s">
        <v>1017</v>
      </c>
      <c r="L249">
        <v>1355</v>
      </c>
      <c r="N249">
        <v>1010</v>
      </c>
      <c r="O249" t="s">
        <v>188</v>
      </c>
      <c r="P249" t="s">
        <v>188</v>
      </c>
      <c r="Q249">
        <v>100</v>
      </c>
      <c r="X249">
        <v>7.0000000000000001E-3</v>
      </c>
      <c r="Y249">
        <v>86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0</v>
      </c>
      <c r="AF249" t="s">
        <v>31</v>
      </c>
      <c r="AG249">
        <v>0</v>
      </c>
      <c r="AH249">
        <v>2</v>
      </c>
      <c r="AI249">
        <v>16813478</v>
      </c>
      <c r="AJ249">
        <v>254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ROW(Source!A188)</f>
        <v>188</v>
      </c>
      <c r="B250">
        <v>16813494</v>
      </c>
      <c r="C250">
        <v>16813469</v>
      </c>
      <c r="D250">
        <v>15170994</v>
      </c>
      <c r="E250">
        <v>1</v>
      </c>
      <c r="F250">
        <v>1</v>
      </c>
      <c r="G250">
        <v>1</v>
      </c>
      <c r="H250">
        <v>3</v>
      </c>
      <c r="I250" t="s">
        <v>1018</v>
      </c>
      <c r="J250" t="s">
        <v>1019</v>
      </c>
      <c r="K250" t="s">
        <v>1020</v>
      </c>
      <c r="L250">
        <v>1346</v>
      </c>
      <c r="N250">
        <v>1009</v>
      </c>
      <c r="O250" t="s">
        <v>277</v>
      </c>
      <c r="P250" t="s">
        <v>277</v>
      </c>
      <c r="Q250">
        <v>1</v>
      </c>
      <c r="X250">
        <v>2E-3</v>
      </c>
      <c r="Y250">
        <v>133.05000000000001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31</v>
      </c>
      <c r="AG250">
        <v>0</v>
      </c>
      <c r="AH250">
        <v>2</v>
      </c>
      <c r="AI250">
        <v>16813479</v>
      </c>
      <c r="AJ250">
        <v>255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ROW(Source!A188)</f>
        <v>188</v>
      </c>
      <c r="B251">
        <v>16813495</v>
      </c>
      <c r="C251">
        <v>16813469</v>
      </c>
      <c r="D251">
        <v>15188647</v>
      </c>
      <c r="E251">
        <v>1</v>
      </c>
      <c r="F251">
        <v>1</v>
      </c>
      <c r="G251">
        <v>1</v>
      </c>
      <c r="H251">
        <v>3</v>
      </c>
      <c r="I251" t="s">
        <v>1021</v>
      </c>
      <c r="J251" t="s">
        <v>1022</v>
      </c>
      <c r="K251" t="s">
        <v>1023</v>
      </c>
      <c r="L251">
        <v>1348</v>
      </c>
      <c r="N251">
        <v>1009</v>
      </c>
      <c r="O251" t="s">
        <v>145</v>
      </c>
      <c r="P251" t="s">
        <v>145</v>
      </c>
      <c r="Q251">
        <v>1000</v>
      </c>
      <c r="X251">
        <v>3.0000000000000001E-3</v>
      </c>
      <c r="Y251">
        <v>11500</v>
      </c>
      <c r="Z251">
        <v>0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31</v>
      </c>
      <c r="AG251">
        <v>0</v>
      </c>
      <c r="AH251">
        <v>2</v>
      </c>
      <c r="AI251">
        <v>16813480</v>
      </c>
      <c r="AJ251">
        <v>256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ROW(Source!A188)</f>
        <v>188</v>
      </c>
      <c r="B252">
        <v>16813496</v>
      </c>
      <c r="C252">
        <v>16813469</v>
      </c>
      <c r="D252">
        <v>15203834</v>
      </c>
      <c r="E252">
        <v>1</v>
      </c>
      <c r="F252">
        <v>1</v>
      </c>
      <c r="G252">
        <v>1</v>
      </c>
      <c r="H252">
        <v>3</v>
      </c>
      <c r="I252" t="s">
        <v>1024</v>
      </c>
      <c r="J252" t="s">
        <v>1025</v>
      </c>
      <c r="K252" t="s">
        <v>320</v>
      </c>
      <c r="L252">
        <v>1346</v>
      </c>
      <c r="N252">
        <v>1009</v>
      </c>
      <c r="O252" t="s">
        <v>277</v>
      </c>
      <c r="P252" t="s">
        <v>277</v>
      </c>
      <c r="Q252">
        <v>1</v>
      </c>
      <c r="X252">
        <v>1.7999999999999999E-2</v>
      </c>
      <c r="Y252">
        <v>28.6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31</v>
      </c>
      <c r="AG252">
        <v>0</v>
      </c>
      <c r="AH252">
        <v>2</v>
      </c>
      <c r="AI252">
        <v>16813481</v>
      </c>
      <c r="AJ252">
        <v>257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ROW(Source!A188)</f>
        <v>188</v>
      </c>
      <c r="B253">
        <v>16813497</v>
      </c>
      <c r="C253">
        <v>16813469</v>
      </c>
      <c r="D253">
        <v>15203987</v>
      </c>
      <c r="E253">
        <v>1</v>
      </c>
      <c r="F253">
        <v>1</v>
      </c>
      <c r="G253">
        <v>1</v>
      </c>
      <c r="H253">
        <v>3</v>
      </c>
      <c r="I253" t="s">
        <v>1026</v>
      </c>
      <c r="J253" t="s">
        <v>1027</v>
      </c>
      <c r="K253" t="s">
        <v>1028</v>
      </c>
      <c r="L253">
        <v>1346</v>
      </c>
      <c r="N253">
        <v>1009</v>
      </c>
      <c r="O253" t="s">
        <v>277</v>
      </c>
      <c r="P253" t="s">
        <v>277</v>
      </c>
      <c r="Q253">
        <v>1</v>
      </c>
      <c r="X253">
        <v>8.9999999999999993E-3</v>
      </c>
      <c r="Y253">
        <v>35.630000000000003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31</v>
      </c>
      <c r="AG253">
        <v>0</v>
      </c>
      <c r="AH253">
        <v>2</v>
      </c>
      <c r="AI253">
        <v>16813482</v>
      </c>
      <c r="AJ253">
        <v>258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ROW(Source!A188)</f>
        <v>188</v>
      </c>
      <c r="B254">
        <v>16813498</v>
      </c>
      <c r="C254">
        <v>16813469</v>
      </c>
      <c r="D254">
        <v>15217463</v>
      </c>
      <c r="E254">
        <v>1</v>
      </c>
      <c r="F254">
        <v>1</v>
      </c>
      <c r="G254">
        <v>1</v>
      </c>
      <c r="H254">
        <v>3</v>
      </c>
      <c r="I254" t="s">
        <v>1029</v>
      </c>
      <c r="J254" t="s">
        <v>1030</v>
      </c>
      <c r="K254" t="s">
        <v>1031</v>
      </c>
      <c r="L254">
        <v>1358</v>
      </c>
      <c r="N254">
        <v>1010</v>
      </c>
      <c r="O254" t="s">
        <v>516</v>
      </c>
      <c r="P254" t="s">
        <v>516</v>
      </c>
      <c r="Q254">
        <v>10</v>
      </c>
      <c r="X254">
        <v>0.1</v>
      </c>
      <c r="Y254">
        <v>39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31</v>
      </c>
      <c r="AG254">
        <v>0</v>
      </c>
      <c r="AH254">
        <v>2</v>
      </c>
      <c r="AI254">
        <v>16813483</v>
      </c>
      <c r="AJ254">
        <v>259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ROW(Source!A188)</f>
        <v>188</v>
      </c>
      <c r="B255">
        <v>16813499</v>
      </c>
      <c r="C255">
        <v>16813469</v>
      </c>
      <c r="D255">
        <v>15164559</v>
      </c>
      <c r="E255">
        <v>17</v>
      </c>
      <c r="F255">
        <v>1</v>
      </c>
      <c r="G255">
        <v>1</v>
      </c>
      <c r="H255">
        <v>3</v>
      </c>
      <c r="I255" t="s">
        <v>989</v>
      </c>
      <c r="J255" t="s">
        <v>6</v>
      </c>
      <c r="K255" t="s">
        <v>990</v>
      </c>
      <c r="L255">
        <v>1374</v>
      </c>
      <c r="N255">
        <v>1013</v>
      </c>
      <c r="O255" t="s">
        <v>991</v>
      </c>
      <c r="P255" t="s">
        <v>991</v>
      </c>
      <c r="Q255">
        <v>1</v>
      </c>
      <c r="X255">
        <v>0.43</v>
      </c>
      <c r="Y255">
        <v>1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31</v>
      </c>
      <c r="AG255">
        <v>0</v>
      </c>
      <c r="AH255">
        <v>2</v>
      </c>
      <c r="AI255">
        <v>16813484</v>
      </c>
      <c r="AJ255">
        <v>260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ROW(Source!A189)</f>
        <v>189</v>
      </c>
      <c r="B256">
        <v>16813516</v>
      </c>
      <c r="C256">
        <v>16813500</v>
      </c>
      <c r="D256">
        <v>15435763</v>
      </c>
      <c r="E256">
        <v>1</v>
      </c>
      <c r="F256">
        <v>1</v>
      </c>
      <c r="G256">
        <v>1</v>
      </c>
      <c r="H256">
        <v>1</v>
      </c>
      <c r="I256" t="s">
        <v>995</v>
      </c>
      <c r="J256" t="s">
        <v>6</v>
      </c>
      <c r="K256" t="s">
        <v>996</v>
      </c>
      <c r="L256">
        <v>1191</v>
      </c>
      <c r="N256">
        <v>1013</v>
      </c>
      <c r="O256" t="s">
        <v>773</v>
      </c>
      <c r="P256" t="s">
        <v>773</v>
      </c>
      <c r="Q256">
        <v>1</v>
      </c>
      <c r="X256">
        <v>2.09</v>
      </c>
      <c r="Y256">
        <v>0</v>
      </c>
      <c r="Z256">
        <v>0</v>
      </c>
      <c r="AA256">
        <v>0</v>
      </c>
      <c r="AB256">
        <v>10.35</v>
      </c>
      <c r="AC256">
        <v>0</v>
      </c>
      <c r="AD256">
        <v>1</v>
      </c>
      <c r="AE256">
        <v>1</v>
      </c>
      <c r="AF256" t="s">
        <v>6</v>
      </c>
      <c r="AG256">
        <v>2.09</v>
      </c>
      <c r="AH256">
        <v>2</v>
      </c>
      <c r="AI256">
        <v>16813501</v>
      </c>
      <c r="AJ256">
        <v>261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ROW(Source!A189)</f>
        <v>189</v>
      </c>
      <c r="B257">
        <v>16813517</v>
      </c>
      <c r="C257">
        <v>16813500</v>
      </c>
      <c r="D257">
        <v>15249377</v>
      </c>
      <c r="E257">
        <v>1</v>
      </c>
      <c r="F257">
        <v>1</v>
      </c>
      <c r="G257">
        <v>1</v>
      </c>
      <c r="H257">
        <v>2</v>
      </c>
      <c r="I257" t="s">
        <v>785</v>
      </c>
      <c r="J257" t="s">
        <v>786</v>
      </c>
      <c r="K257" t="s">
        <v>787</v>
      </c>
      <c r="L257">
        <v>1368</v>
      </c>
      <c r="N257">
        <v>1011</v>
      </c>
      <c r="O257" t="s">
        <v>779</v>
      </c>
      <c r="P257" t="s">
        <v>779</v>
      </c>
      <c r="Q257">
        <v>1</v>
      </c>
      <c r="X257">
        <v>0.06</v>
      </c>
      <c r="Y257">
        <v>0</v>
      </c>
      <c r="Z257">
        <v>8.1</v>
      </c>
      <c r="AA257">
        <v>0</v>
      </c>
      <c r="AB257">
        <v>0</v>
      </c>
      <c r="AC257">
        <v>0</v>
      </c>
      <c r="AD257">
        <v>1</v>
      </c>
      <c r="AE257">
        <v>0</v>
      </c>
      <c r="AF257" t="s">
        <v>6</v>
      </c>
      <c r="AG257">
        <v>0.06</v>
      </c>
      <c r="AH257">
        <v>2</v>
      </c>
      <c r="AI257">
        <v>16813502</v>
      </c>
      <c r="AJ257">
        <v>262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ROW(Source!A189)</f>
        <v>189</v>
      </c>
      <c r="B258">
        <v>16813518</v>
      </c>
      <c r="C258">
        <v>16813500</v>
      </c>
      <c r="D258">
        <v>15250043</v>
      </c>
      <c r="E258">
        <v>1</v>
      </c>
      <c r="F258">
        <v>1</v>
      </c>
      <c r="G258">
        <v>1</v>
      </c>
      <c r="H258">
        <v>2</v>
      </c>
      <c r="I258" t="s">
        <v>997</v>
      </c>
      <c r="J258" t="s">
        <v>998</v>
      </c>
      <c r="K258" t="s">
        <v>999</v>
      </c>
      <c r="L258">
        <v>1368</v>
      </c>
      <c r="N258">
        <v>1011</v>
      </c>
      <c r="O258" t="s">
        <v>779</v>
      </c>
      <c r="P258" t="s">
        <v>779</v>
      </c>
      <c r="Q258">
        <v>1</v>
      </c>
      <c r="X258">
        <v>0.09</v>
      </c>
      <c r="Y258">
        <v>0</v>
      </c>
      <c r="Z258">
        <v>1.1100000000000001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0.09</v>
      </c>
      <c r="AH258">
        <v>2</v>
      </c>
      <c r="AI258">
        <v>16813503</v>
      </c>
      <c r="AJ258">
        <v>263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ROW(Source!A189)</f>
        <v>189</v>
      </c>
      <c r="B259">
        <v>16813519</v>
      </c>
      <c r="C259">
        <v>16813500</v>
      </c>
      <c r="D259">
        <v>15165537</v>
      </c>
      <c r="E259">
        <v>1</v>
      </c>
      <c r="F259">
        <v>1</v>
      </c>
      <c r="G259">
        <v>1</v>
      </c>
      <c r="H259">
        <v>3</v>
      </c>
      <c r="I259" t="s">
        <v>1000</v>
      </c>
      <c r="J259" t="s">
        <v>1001</v>
      </c>
      <c r="K259" t="s">
        <v>1002</v>
      </c>
      <c r="L259">
        <v>1346</v>
      </c>
      <c r="N259">
        <v>1009</v>
      </c>
      <c r="O259" t="s">
        <v>277</v>
      </c>
      <c r="P259" t="s">
        <v>277</v>
      </c>
      <c r="Q259">
        <v>1</v>
      </c>
      <c r="X259">
        <v>6.0000000000000001E-3</v>
      </c>
      <c r="Y259">
        <v>44.97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6</v>
      </c>
      <c r="AG259">
        <v>6.0000000000000001E-3</v>
      </c>
      <c r="AH259">
        <v>2</v>
      </c>
      <c r="AI259">
        <v>16813504</v>
      </c>
      <c r="AJ259">
        <v>264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ROW(Source!A189)</f>
        <v>189</v>
      </c>
      <c r="B260">
        <v>16813520</v>
      </c>
      <c r="C260">
        <v>16813500</v>
      </c>
      <c r="D260">
        <v>15167269</v>
      </c>
      <c r="E260">
        <v>1</v>
      </c>
      <c r="F260">
        <v>1</v>
      </c>
      <c r="G260">
        <v>1</v>
      </c>
      <c r="H260">
        <v>3</v>
      </c>
      <c r="I260" t="s">
        <v>1003</v>
      </c>
      <c r="J260" t="s">
        <v>1004</v>
      </c>
      <c r="K260" t="s">
        <v>1005</v>
      </c>
      <c r="L260">
        <v>1346</v>
      </c>
      <c r="N260">
        <v>1009</v>
      </c>
      <c r="O260" t="s">
        <v>277</v>
      </c>
      <c r="P260" t="s">
        <v>277</v>
      </c>
      <c r="Q260">
        <v>1</v>
      </c>
      <c r="X260">
        <v>2E-3</v>
      </c>
      <c r="Y260">
        <v>11.5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2E-3</v>
      </c>
      <c r="AH260">
        <v>2</v>
      </c>
      <c r="AI260">
        <v>16813505</v>
      </c>
      <c r="AJ260">
        <v>265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ROW(Source!A189)</f>
        <v>189</v>
      </c>
      <c r="B261">
        <v>16813521</v>
      </c>
      <c r="C261">
        <v>16813500</v>
      </c>
      <c r="D261">
        <v>15167588</v>
      </c>
      <c r="E261">
        <v>1</v>
      </c>
      <c r="F261">
        <v>1</v>
      </c>
      <c r="G261">
        <v>1</v>
      </c>
      <c r="H261">
        <v>3</v>
      </c>
      <c r="I261" t="s">
        <v>1006</v>
      </c>
      <c r="J261" t="s">
        <v>1007</v>
      </c>
      <c r="K261" t="s">
        <v>1008</v>
      </c>
      <c r="L261">
        <v>1346</v>
      </c>
      <c r="N261">
        <v>1009</v>
      </c>
      <c r="O261" t="s">
        <v>277</v>
      </c>
      <c r="P261" t="s">
        <v>277</v>
      </c>
      <c r="Q261">
        <v>1</v>
      </c>
      <c r="X261">
        <v>2.4E-2</v>
      </c>
      <c r="Y261">
        <v>30.4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0</v>
      </c>
      <c r="AF261" t="s">
        <v>6</v>
      </c>
      <c r="AG261">
        <v>2.4E-2</v>
      </c>
      <c r="AH261">
        <v>2</v>
      </c>
      <c r="AI261">
        <v>16813506</v>
      </c>
      <c r="AJ261">
        <v>266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ROW(Source!A189)</f>
        <v>189</v>
      </c>
      <c r="B262">
        <v>16813522</v>
      </c>
      <c r="C262">
        <v>16813500</v>
      </c>
      <c r="D262">
        <v>15168752</v>
      </c>
      <c r="E262">
        <v>1</v>
      </c>
      <c r="F262">
        <v>1</v>
      </c>
      <c r="G262">
        <v>1</v>
      </c>
      <c r="H262">
        <v>3</v>
      </c>
      <c r="I262" t="s">
        <v>1009</v>
      </c>
      <c r="J262" t="s">
        <v>1010</v>
      </c>
      <c r="K262" t="s">
        <v>1011</v>
      </c>
      <c r="L262">
        <v>1346</v>
      </c>
      <c r="N262">
        <v>1009</v>
      </c>
      <c r="O262" t="s">
        <v>277</v>
      </c>
      <c r="P262" t="s">
        <v>277</v>
      </c>
      <c r="Q262">
        <v>1</v>
      </c>
      <c r="X262">
        <v>7.0000000000000007E-2</v>
      </c>
      <c r="Y262">
        <v>10.57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6</v>
      </c>
      <c r="AG262">
        <v>7.0000000000000007E-2</v>
      </c>
      <c r="AH262">
        <v>2</v>
      </c>
      <c r="AI262">
        <v>16813507</v>
      </c>
      <c r="AJ262">
        <v>267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ROW(Source!A189)</f>
        <v>189</v>
      </c>
      <c r="B263">
        <v>16813523</v>
      </c>
      <c r="C263">
        <v>16813500</v>
      </c>
      <c r="D263">
        <v>15169942</v>
      </c>
      <c r="E263">
        <v>1</v>
      </c>
      <c r="F263">
        <v>1</v>
      </c>
      <c r="G263">
        <v>1</v>
      </c>
      <c r="H263">
        <v>3</v>
      </c>
      <c r="I263" t="s">
        <v>1012</v>
      </c>
      <c r="J263" t="s">
        <v>1013</v>
      </c>
      <c r="K263" t="s">
        <v>1014</v>
      </c>
      <c r="L263">
        <v>1346</v>
      </c>
      <c r="N263">
        <v>1009</v>
      </c>
      <c r="O263" t="s">
        <v>277</v>
      </c>
      <c r="P263" t="s">
        <v>277</v>
      </c>
      <c r="Q263">
        <v>1</v>
      </c>
      <c r="X263">
        <v>0.14000000000000001</v>
      </c>
      <c r="Y263">
        <v>9.0399999999999991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0</v>
      </c>
      <c r="AF263" t="s">
        <v>6</v>
      </c>
      <c r="AG263">
        <v>0.14000000000000001</v>
      </c>
      <c r="AH263">
        <v>2</v>
      </c>
      <c r="AI263">
        <v>16813508</v>
      </c>
      <c r="AJ263">
        <v>268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ROW(Source!A189)</f>
        <v>189</v>
      </c>
      <c r="B264">
        <v>16813524</v>
      </c>
      <c r="C264">
        <v>16813500</v>
      </c>
      <c r="D264">
        <v>15170074</v>
      </c>
      <c r="E264">
        <v>1</v>
      </c>
      <c r="F264">
        <v>1</v>
      </c>
      <c r="G264">
        <v>1</v>
      </c>
      <c r="H264">
        <v>3</v>
      </c>
      <c r="I264" t="s">
        <v>1015</v>
      </c>
      <c r="J264" t="s">
        <v>1016</v>
      </c>
      <c r="K264" t="s">
        <v>1017</v>
      </c>
      <c r="L264">
        <v>1355</v>
      </c>
      <c r="N264">
        <v>1010</v>
      </c>
      <c r="O264" t="s">
        <v>188</v>
      </c>
      <c r="P264" t="s">
        <v>188</v>
      </c>
      <c r="Q264">
        <v>100</v>
      </c>
      <c r="X264">
        <v>7.0000000000000001E-3</v>
      </c>
      <c r="Y264">
        <v>86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7.0000000000000001E-3</v>
      </c>
      <c r="AH264">
        <v>2</v>
      </c>
      <c r="AI264">
        <v>16813509</v>
      </c>
      <c r="AJ264">
        <v>269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ROW(Source!A189)</f>
        <v>189</v>
      </c>
      <c r="B265">
        <v>16813525</v>
      </c>
      <c r="C265">
        <v>16813500</v>
      </c>
      <c r="D265">
        <v>15170994</v>
      </c>
      <c r="E265">
        <v>1</v>
      </c>
      <c r="F265">
        <v>1</v>
      </c>
      <c r="G265">
        <v>1</v>
      </c>
      <c r="H265">
        <v>3</v>
      </c>
      <c r="I265" t="s">
        <v>1018</v>
      </c>
      <c r="J265" t="s">
        <v>1019</v>
      </c>
      <c r="K265" t="s">
        <v>1020</v>
      </c>
      <c r="L265">
        <v>1346</v>
      </c>
      <c r="N265">
        <v>1009</v>
      </c>
      <c r="O265" t="s">
        <v>277</v>
      </c>
      <c r="P265" t="s">
        <v>277</v>
      </c>
      <c r="Q265">
        <v>1</v>
      </c>
      <c r="X265">
        <v>2E-3</v>
      </c>
      <c r="Y265">
        <v>133.05000000000001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6</v>
      </c>
      <c r="AG265">
        <v>2E-3</v>
      </c>
      <c r="AH265">
        <v>2</v>
      </c>
      <c r="AI265">
        <v>16813510</v>
      </c>
      <c r="AJ265">
        <v>270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ROW(Source!A189)</f>
        <v>189</v>
      </c>
      <c r="B266">
        <v>16813526</v>
      </c>
      <c r="C266">
        <v>16813500</v>
      </c>
      <c r="D266">
        <v>15188647</v>
      </c>
      <c r="E266">
        <v>1</v>
      </c>
      <c r="F266">
        <v>1</v>
      </c>
      <c r="G266">
        <v>1</v>
      </c>
      <c r="H266">
        <v>3</v>
      </c>
      <c r="I266" t="s">
        <v>1021</v>
      </c>
      <c r="J266" t="s">
        <v>1022</v>
      </c>
      <c r="K266" t="s">
        <v>1023</v>
      </c>
      <c r="L266">
        <v>1348</v>
      </c>
      <c r="N266">
        <v>1009</v>
      </c>
      <c r="O266" t="s">
        <v>145</v>
      </c>
      <c r="P266" t="s">
        <v>145</v>
      </c>
      <c r="Q266">
        <v>1000</v>
      </c>
      <c r="X266">
        <v>3.0000000000000001E-3</v>
      </c>
      <c r="Y266">
        <v>11500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3.0000000000000001E-3</v>
      </c>
      <c r="AH266">
        <v>2</v>
      </c>
      <c r="AI266">
        <v>16813511</v>
      </c>
      <c r="AJ266">
        <v>271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ROW(Source!A189)</f>
        <v>189</v>
      </c>
      <c r="B267">
        <v>16813527</v>
      </c>
      <c r="C267">
        <v>16813500</v>
      </c>
      <c r="D267">
        <v>15203834</v>
      </c>
      <c r="E267">
        <v>1</v>
      </c>
      <c r="F267">
        <v>1</v>
      </c>
      <c r="G267">
        <v>1</v>
      </c>
      <c r="H267">
        <v>3</v>
      </c>
      <c r="I267" t="s">
        <v>1024</v>
      </c>
      <c r="J267" t="s">
        <v>1025</v>
      </c>
      <c r="K267" t="s">
        <v>320</v>
      </c>
      <c r="L267">
        <v>1346</v>
      </c>
      <c r="N267">
        <v>1009</v>
      </c>
      <c r="O267" t="s">
        <v>277</v>
      </c>
      <c r="P267" t="s">
        <v>277</v>
      </c>
      <c r="Q267">
        <v>1</v>
      </c>
      <c r="X267">
        <v>1.7999999999999999E-2</v>
      </c>
      <c r="Y267">
        <v>28.6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6</v>
      </c>
      <c r="AG267">
        <v>1.7999999999999999E-2</v>
      </c>
      <c r="AH267">
        <v>2</v>
      </c>
      <c r="AI267">
        <v>16813512</v>
      </c>
      <c r="AJ267">
        <v>272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ROW(Source!A189)</f>
        <v>189</v>
      </c>
      <c r="B268">
        <v>16813528</v>
      </c>
      <c r="C268">
        <v>16813500</v>
      </c>
      <c r="D268">
        <v>15203987</v>
      </c>
      <c r="E268">
        <v>1</v>
      </c>
      <c r="F268">
        <v>1</v>
      </c>
      <c r="G268">
        <v>1</v>
      </c>
      <c r="H268">
        <v>3</v>
      </c>
      <c r="I268" t="s">
        <v>1026</v>
      </c>
      <c r="J268" t="s">
        <v>1027</v>
      </c>
      <c r="K268" t="s">
        <v>1028</v>
      </c>
      <c r="L268">
        <v>1346</v>
      </c>
      <c r="N268">
        <v>1009</v>
      </c>
      <c r="O268" t="s">
        <v>277</v>
      </c>
      <c r="P268" t="s">
        <v>277</v>
      </c>
      <c r="Q268">
        <v>1</v>
      </c>
      <c r="X268">
        <v>8.9999999999999993E-3</v>
      </c>
      <c r="Y268">
        <v>35.630000000000003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6</v>
      </c>
      <c r="AG268">
        <v>8.9999999999999993E-3</v>
      </c>
      <c r="AH268">
        <v>2</v>
      </c>
      <c r="AI268">
        <v>16813513</v>
      </c>
      <c r="AJ268">
        <v>273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ROW(Source!A189)</f>
        <v>189</v>
      </c>
      <c r="B269">
        <v>16813529</v>
      </c>
      <c r="C269">
        <v>16813500</v>
      </c>
      <c r="D269">
        <v>15217463</v>
      </c>
      <c r="E269">
        <v>1</v>
      </c>
      <c r="F269">
        <v>1</v>
      </c>
      <c r="G269">
        <v>1</v>
      </c>
      <c r="H269">
        <v>3</v>
      </c>
      <c r="I269" t="s">
        <v>1029</v>
      </c>
      <c r="J269" t="s">
        <v>1030</v>
      </c>
      <c r="K269" t="s">
        <v>1031</v>
      </c>
      <c r="L269">
        <v>1358</v>
      </c>
      <c r="N269">
        <v>1010</v>
      </c>
      <c r="O269" t="s">
        <v>516</v>
      </c>
      <c r="P269" t="s">
        <v>516</v>
      </c>
      <c r="Q269">
        <v>10</v>
      </c>
      <c r="X269">
        <v>0.1</v>
      </c>
      <c r="Y269">
        <v>39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6</v>
      </c>
      <c r="AG269">
        <v>0.1</v>
      </c>
      <c r="AH269">
        <v>2</v>
      </c>
      <c r="AI269">
        <v>16813514</v>
      </c>
      <c r="AJ269">
        <v>274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ROW(Source!A189)</f>
        <v>189</v>
      </c>
      <c r="B270">
        <v>16813530</v>
      </c>
      <c r="C270">
        <v>16813500</v>
      </c>
      <c r="D270">
        <v>15164559</v>
      </c>
      <c r="E270">
        <v>17</v>
      </c>
      <c r="F270">
        <v>1</v>
      </c>
      <c r="G270">
        <v>1</v>
      </c>
      <c r="H270">
        <v>3</v>
      </c>
      <c r="I270" t="s">
        <v>989</v>
      </c>
      <c r="J270" t="s">
        <v>6</v>
      </c>
      <c r="K270" t="s">
        <v>990</v>
      </c>
      <c r="L270">
        <v>1374</v>
      </c>
      <c r="N270">
        <v>1013</v>
      </c>
      <c r="O270" t="s">
        <v>991</v>
      </c>
      <c r="P270" t="s">
        <v>991</v>
      </c>
      <c r="Q270">
        <v>1</v>
      </c>
      <c r="X270">
        <v>0.43</v>
      </c>
      <c r="Y270">
        <v>1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6</v>
      </c>
      <c r="AG270">
        <v>0.43</v>
      </c>
      <c r="AH270">
        <v>2</v>
      </c>
      <c r="AI270">
        <v>16813515</v>
      </c>
      <c r="AJ270">
        <v>275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ROW(Source!A191)</f>
        <v>191</v>
      </c>
      <c r="B271">
        <v>16813534</v>
      </c>
      <c r="C271">
        <v>16813532</v>
      </c>
      <c r="D271">
        <v>15430517</v>
      </c>
      <c r="E271">
        <v>1</v>
      </c>
      <c r="F271">
        <v>1</v>
      </c>
      <c r="G271">
        <v>1</v>
      </c>
      <c r="H271">
        <v>1</v>
      </c>
      <c r="I271" t="s">
        <v>797</v>
      </c>
      <c r="J271" t="s">
        <v>6</v>
      </c>
      <c r="K271" t="s">
        <v>798</v>
      </c>
      <c r="L271">
        <v>1191</v>
      </c>
      <c r="N271">
        <v>1013</v>
      </c>
      <c r="O271" t="s">
        <v>773</v>
      </c>
      <c r="P271" t="s">
        <v>773</v>
      </c>
      <c r="Q271">
        <v>1</v>
      </c>
      <c r="X271">
        <v>85.5</v>
      </c>
      <c r="Y271">
        <v>0</v>
      </c>
      <c r="Z271">
        <v>0</v>
      </c>
      <c r="AA271">
        <v>0</v>
      </c>
      <c r="AB271">
        <v>7.8</v>
      </c>
      <c r="AC271">
        <v>0</v>
      </c>
      <c r="AD271">
        <v>1</v>
      </c>
      <c r="AE271">
        <v>1</v>
      </c>
      <c r="AF271" t="s">
        <v>6</v>
      </c>
      <c r="AG271">
        <v>85.5</v>
      </c>
      <c r="AH271">
        <v>2</v>
      </c>
      <c r="AI271">
        <v>16813533</v>
      </c>
      <c r="AJ271">
        <v>276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ROW(Source!A191)</f>
        <v>191</v>
      </c>
      <c r="B272">
        <v>16813535</v>
      </c>
      <c r="C272">
        <v>16813532</v>
      </c>
      <c r="D272">
        <v>15164566</v>
      </c>
      <c r="E272">
        <v>17</v>
      </c>
      <c r="F272">
        <v>1</v>
      </c>
      <c r="G272">
        <v>1</v>
      </c>
      <c r="H272">
        <v>3</v>
      </c>
      <c r="I272" t="s">
        <v>338</v>
      </c>
      <c r="J272" t="s">
        <v>6</v>
      </c>
      <c r="K272" t="s">
        <v>339</v>
      </c>
      <c r="L272">
        <v>1348</v>
      </c>
      <c r="N272">
        <v>1009</v>
      </c>
      <c r="O272" t="s">
        <v>145</v>
      </c>
      <c r="P272" t="s">
        <v>145</v>
      </c>
      <c r="Q272">
        <v>1000</v>
      </c>
      <c r="X272">
        <v>0.11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 t="s">
        <v>6</v>
      </c>
      <c r="AG272">
        <v>0.11</v>
      </c>
      <c r="AH272">
        <v>3</v>
      </c>
      <c r="AI272">
        <v>-1</v>
      </c>
      <c r="AJ272" t="s">
        <v>6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ROW(Source!A192)</f>
        <v>192</v>
      </c>
      <c r="B273">
        <v>16813548</v>
      </c>
      <c r="C273">
        <v>16813536</v>
      </c>
      <c r="D273">
        <v>15430397</v>
      </c>
      <c r="E273">
        <v>1</v>
      </c>
      <c r="F273">
        <v>1</v>
      </c>
      <c r="G273">
        <v>1</v>
      </c>
      <c r="H273">
        <v>1</v>
      </c>
      <c r="I273" t="s">
        <v>838</v>
      </c>
      <c r="J273" t="s">
        <v>6</v>
      </c>
      <c r="K273" t="s">
        <v>839</v>
      </c>
      <c r="L273">
        <v>1191</v>
      </c>
      <c r="N273">
        <v>1013</v>
      </c>
      <c r="O273" t="s">
        <v>773</v>
      </c>
      <c r="P273" t="s">
        <v>773</v>
      </c>
      <c r="Q273">
        <v>1</v>
      </c>
      <c r="X273">
        <v>15.28</v>
      </c>
      <c r="Y273">
        <v>0</v>
      </c>
      <c r="Z273">
        <v>0</v>
      </c>
      <c r="AA273">
        <v>0</v>
      </c>
      <c r="AB273">
        <v>9.4</v>
      </c>
      <c r="AC273">
        <v>0</v>
      </c>
      <c r="AD273">
        <v>1</v>
      </c>
      <c r="AE273">
        <v>1</v>
      </c>
      <c r="AF273" t="s">
        <v>6</v>
      </c>
      <c r="AG273">
        <v>15.28</v>
      </c>
      <c r="AH273">
        <v>2</v>
      </c>
      <c r="AI273">
        <v>16813537</v>
      </c>
      <c r="AJ273">
        <v>277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ROW(Source!A192)</f>
        <v>192</v>
      </c>
      <c r="B274">
        <v>16813549</v>
      </c>
      <c r="C274">
        <v>16813536</v>
      </c>
      <c r="D274">
        <v>15430395</v>
      </c>
      <c r="E274">
        <v>1</v>
      </c>
      <c r="F274">
        <v>1</v>
      </c>
      <c r="G274">
        <v>1</v>
      </c>
      <c r="H274">
        <v>1</v>
      </c>
      <c r="I274" t="s">
        <v>774</v>
      </c>
      <c r="J274" t="s">
        <v>6</v>
      </c>
      <c r="K274" t="s">
        <v>775</v>
      </c>
      <c r="L274">
        <v>1191</v>
      </c>
      <c r="N274">
        <v>1013</v>
      </c>
      <c r="O274" t="s">
        <v>773</v>
      </c>
      <c r="P274" t="s">
        <v>773</v>
      </c>
      <c r="Q274">
        <v>1</v>
      </c>
      <c r="X274">
        <v>0.22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1</v>
      </c>
      <c r="AE274">
        <v>2</v>
      </c>
      <c r="AF274" t="s">
        <v>6</v>
      </c>
      <c r="AG274">
        <v>0.22</v>
      </c>
      <c r="AH274">
        <v>2</v>
      </c>
      <c r="AI274">
        <v>16813538</v>
      </c>
      <c r="AJ274">
        <v>278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ROW(Source!A192)</f>
        <v>192</v>
      </c>
      <c r="B275">
        <v>16813550</v>
      </c>
      <c r="C275">
        <v>16813536</v>
      </c>
      <c r="D275">
        <v>15247680</v>
      </c>
      <c r="E275">
        <v>1</v>
      </c>
      <c r="F275">
        <v>1</v>
      </c>
      <c r="G275">
        <v>1</v>
      </c>
      <c r="H275">
        <v>2</v>
      </c>
      <c r="I275" t="s">
        <v>959</v>
      </c>
      <c r="J275" t="s">
        <v>960</v>
      </c>
      <c r="K275" t="s">
        <v>961</v>
      </c>
      <c r="L275">
        <v>1368</v>
      </c>
      <c r="N275">
        <v>1011</v>
      </c>
      <c r="O275" t="s">
        <v>779</v>
      </c>
      <c r="P275" t="s">
        <v>779</v>
      </c>
      <c r="Q275">
        <v>1</v>
      </c>
      <c r="X275">
        <v>0.11</v>
      </c>
      <c r="Y275">
        <v>0</v>
      </c>
      <c r="Z275">
        <v>111.99</v>
      </c>
      <c r="AA275">
        <v>13.5</v>
      </c>
      <c r="AB275">
        <v>0</v>
      </c>
      <c r="AC275">
        <v>0</v>
      </c>
      <c r="AD275">
        <v>1</v>
      </c>
      <c r="AE275">
        <v>0</v>
      </c>
      <c r="AF275" t="s">
        <v>6</v>
      </c>
      <c r="AG275">
        <v>0.11</v>
      </c>
      <c r="AH275">
        <v>2</v>
      </c>
      <c r="AI275">
        <v>16813539</v>
      </c>
      <c r="AJ275">
        <v>279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ROW(Source!A192)</f>
        <v>192</v>
      </c>
      <c r="B276">
        <v>16813551</v>
      </c>
      <c r="C276">
        <v>16813536</v>
      </c>
      <c r="D276">
        <v>15249073</v>
      </c>
      <c r="E276">
        <v>1</v>
      </c>
      <c r="F276">
        <v>1</v>
      </c>
      <c r="G276">
        <v>1</v>
      </c>
      <c r="H276">
        <v>2</v>
      </c>
      <c r="I276" t="s">
        <v>782</v>
      </c>
      <c r="J276" t="s">
        <v>783</v>
      </c>
      <c r="K276" t="s">
        <v>784</v>
      </c>
      <c r="L276">
        <v>1368</v>
      </c>
      <c r="N276">
        <v>1011</v>
      </c>
      <c r="O276" t="s">
        <v>779</v>
      </c>
      <c r="P276" t="s">
        <v>779</v>
      </c>
      <c r="Q276">
        <v>1</v>
      </c>
      <c r="X276">
        <v>0.11</v>
      </c>
      <c r="Y276">
        <v>0</v>
      </c>
      <c r="Z276">
        <v>65.709999999999994</v>
      </c>
      <c r="AA276">
        <v>11.6</v>
      </c>
      <c r="AB276">
        <v>0</v>
      </c>
      <c r="AC276">
        <v>0</v>
      </c>
      <c r="AD276">
        <v>1</v>
      </c>
      <c r="AE276">
        <v>0</v>
      </c>
      <c r="AF276" t="s">
        <v>6</v>
      </c>
      <c r="AG276">
        <v>0.11</v>
      </c>
      <c r="AH276">
        <v>2</v>
      </c>
      <c r="AI276">
        <v>16813540</v>
      </c>
      <c r="AJ276">
        <v>280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ROW(Source!A192)</f>
        <v>192</v>
      </c>
      <c r="B277">
        <v>16813552</v>
      </c>
      <c r="C277">
        <v>16813536</v>
      </c>
      <c r="D277">
        <v>15172838</v>
      </c>
      <c r="E277">
        <v>1</v>
      </c>
      <c r="F277">
        <v>1</v>
      </c>
      <c r="G277">
        <v>1</v>
      </c>
      <c r="H277">
        <v>3</v>
      </c>
      <c r="I277" t="s">
        <v>1032</v>
      </c>
      <c r="J277" t="s">
        <v>1033</v>
      </c>
      <c r="K277" t="s">
        <v>1034</v>
      </c>
      <c r="L277">
        <v>1339</v>
      </c>
      <c r="N277">
        <v>1007</v>
      </c>
      <c r="O277" t="s">
        <v>141</v>
      </c>
      <c r="P277" t="s">
        <v>141</v>
      </c>
      <c r="Q277">
        <v>1</v>
      </c>
      <c r="X277">
        <v>2.1000000000000001E-2</v>
      </c>
      <c r="Y277">
        <v>600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0</v>
      </c>
      <c r="AF277" t="s">
        <v>6</v>
      </c>
      <c r="AG277">
        <v>2.1000000000000001E-2</v>
      </c>
      <c r="AH277">
        <v>2</v>
      </c>
      <c r="AI277">
        <v>16813541</v>
      </c>
      <c r="AJ277">
        <v>281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ROW(Source!A192)</f>
        <v>192</v>
      </c>
      <c r="B278">
        <v>16813553</v>
      </c>
      <c r="C278">
        <v>16813536</v>
      </c>
      <c r="D278">
        <v>15202442</v>
      </c>
      <c r="E278">
        <v>1</v>
      </c>
      <c r="F278">
        <v>1</v>
      </c>
      <c r="G278">
        <v>1</v>
      </c>
      <c r="H278">
        <v>3</v>
      </c>
      <c r="I278" t="s">
        <v>1035</v>
      </c>
      <c r="J278" t="s">
        <v>1036</v>
      </c>
      <c r="K278" t="s">
        <v>1037</v>
      </c>
      <c r="L278">
        <v>1346</v>
      </c>
      <c r="N278">
        <v>1009</v>
      </c>
      <c r="O278" t="s">
        <v>277</v>
      </c>
      <c r="P278" t="s">
        <v>277</v>
      </c>
      <c r="Q278">
        <v>1</v>
      </c>
      <c r="X278">
        <v>0.4</v>
      </c>
      <c r="Y278">
        <v>25.8</v>
      </c>
      <c r="Z278">
        <v>0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6</v>
      </c>
      <c r="AG278">
        <v>0.4</v>
      </c>
      <c r="AH278">
        <v>2</v>
      </c>
      <c r="AI278">
        <v>16813542</v>
      </c>
      <c r="AJ278">
        <v>282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ROW(Source!A192)</f>
        <v>192</v>
      </c>
      <c r="B279">
        <v>16813554</v>
      </c>
      <c r="C279">
        <v>16813536</v>
      </c>
      <c r="D279">
        <v>15217585</v>
      </c>
      <c r="E279">
        <v>1</v>
      </c>
      <c r="F279">
        <v>1</v>
      </c>
      <c r="G279">
        <v>1</v>
      </c>
      <c r="H279">
        <v>3</v>
      </c>
      <c r="I279" t="s">
        <v>1038</v>
      </c>
      <c r="J279" t="s">
        <v>1039</v>
      </c>
      <c r="K279" t="s">
        <v>1040</v>
      </c>
      <c r="L279">
        <v>1356</v>
      </c>
      <c r="N279">
        <v>1010</v>
      </c>
      <c r="O279" t="s">
        <v>882</v>
      </c>
      <c r="P279" t="s">
        <v>882</v>
      </c>
      <c r="Q279">
        <v>1000</v>
      </c>
      <c r="X279">
        <v>3.2000000000000001E-2</v>
      </c>
      <c r="Y279">
        <v>270</v>
      </c>
      <c r="Z279">
        <v>0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6</v>
      </c>
      <c r="AG279">
        <v>3.2000000000000001E-2</v>
      </c>
      <c r="AH279">
        <v>2</v>
      </c>
      <c r="AI279">
        <v>16813543</v>
      </c>
      <c r="AJ279">
        <v>283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ROW(Source!A192)</f>
        <v>192</v>
      </c>
      <c r="B280">
        <v>16813555</v>
      </c>
      <c r="C280">
        <v>16813536</v>
      </c>
      <c r="D280">
        <v>15217593</v>
      </c>
      <c r="E280">
        <v>1</v>
      </c>
      <c r="F280">
        <v>1</v>
      </c>
      <c r="G280">
        <v>1</v>
      </c>
      <c r="H280">
        <v>3</v>
      </c>
      <c r="I280" t="s">
        <v>1041</v>
      </c>
      <c r="J280" t="s">
        <v>1042</v>
      </c>
      <c r="K280" t="s">
        <v>1043</v>
      </c>
      <c r="L280">
        <v>1358</v>
      </c>
      <c r="N280">
        <v>1010</v>
      </c>
      <c r="O280" t="s">
        <v>516</v>
      </c>
      <c r="P280" t="s">
        <v>516</v>
      </c>
      <c r="Q280">
        <v>10</v>
      </c>
      <c r="X280">
        <v>1</v>
      </c>
      <c r="Y280">
        <v>19.899999999999999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1</v>
      </c>
      <c r="AH280">
        <v>2</v>
      </c>
      <c r="AI280">
        <v>16813544</v>
      </c>
      <c r="AJ280">
        <v>284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ROW(Source!A192)</f>
        <v>192</v>
      </c>
      <c r="B281">
        <v>16813556</v>
      </c>
      <c r="C281">
        <v>16813536</v>
      </c>
      <c r="D281">
        <v>15218939</v>
      </c>
      <c r="E281">
        <v>1</v>
      </c>
      <c r="F281">
        <v>1</v>
      </c>
      <c r="G281">
        <v>1</v>
      </c>
      <c r="H281">
        <v>3</v>
      </c>
      <c r="I281" t="s">
        <v>1044</v>
      </c>
      <c r="J281" t="s">
        <v>1045</v>
      </c>
      <c r="K281" t="s">
        <v>1046</v>
      </c>
      <c r="L281">
        <v>1354</v>
      </c>
      <c r="N281">
        <v>1010</v>
      </c>
      <c r="O281" t="s">
        <v>62</v>
      </c>
      <c r="P281" t="s">
        <v>62</v>
      </c>
      <c r="Q281">
        <v>1</v>
      </c>
      <c r="X281">
        <v>0.5</v>
      </c>
      <c r="Y281">
        <v>66.819999999999993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6</v>
      </c>
      <c r="AG281">
        <v>0.5</v>
      </c>
      <c r="AH281">
        <v>2</v>
      </c>
      <c r="AI281">
        <v>16813545</v>
      </c>
      <c r="AJ281">
        <v>285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ROW(Source!A192)</f>
        <v>192</v>
      </c>
      <c r="B282">
        <v>16813557</v>
      </c>
      <c r="C282">
        <v>16813536</v>
      </c>
      <c r="D282">
        <v>15164559</v>
      </c>
      <c r="E282">
        <v>17</v>
      </c>
      <c r="F282">
        <v>1</v>
      </c>
      <c r="G282">
        <v>1</v>
      </c>
      <c r="H282">
        <v>3</v>
      </c>
      <c r="I282" t="s">
        <v>989</v>
      </c>
      <c r="J282" t="s">
        <v>6</v>
      </c>
      <c r="K282" t="s">
        <v>990</v>
      </c>
      <c r="L282">
        <v>1374</v>
      </c>
      <c r="N282">
        <v>1013</v>
      </c>
      <c r="O282" t="s">
        <v>991</v>
      </c>
      <c r="P282" t="s">
        <v>991</v>
      </c>
      <c r="Q282">
        <v>1</v>
      </c>
      <c r="X282">
        <v>2.87</v>
      </c>
      <c r="Y282">
        <v>1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6</v>
      </c>
      <c r="AG282">
        <v>2.87</v>
      </c>
      <c r="AH282">
        <v>2</v>
      </c>
      <c r="AI282">
        <v>16813546</v>
      </c>
      <c r="AJ282">
        <v>287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ROW(Source!A194)</f>
        <v>194</v>
      </c>
      <c r="B283">
        <v>16813566</v>
      </c>
      <c r="C283">
        <v>16813559</v>
      </c>
      <c r="D283">
        <v>15447742</v>
      </c>
      <c r="E283">
        <v>1</v>
      </c>
      <c r="F283">
        <v>1</v>
      </c>
      <c r="G283">
        <v>1</v>
      </c>
      <c r="H283">
        <v>1</v>
      </c>
      <c r="I283" t="s">
        <v>1047</v>
      </c>
      <c r="J283" t="s">
        <v>6</v>
      </c>
      <c r="K283" t="s">
        <v>1048</v>
      </c>
      <c r="L283">
        <v>1191</v>
      </c>
      <c r="N283">
        <v>1013</v>
      </c>
      <c r="O283" t="s">
        <v>773</v>
      </c>
      <c r="P283" t="s">
        <v>773</v>
      </c>
      <c r="Q283">
        <v>1</v>
      </c>
      <c r="X283">
        <v>0.5</v>
      </c>
      <c r="Y283">
        <v>0</v>
      </c>
      <c r="Z283">
        <v>0</v>
      </c>
      <c r="AA283">
        <v>0</v>
      </c>
      <c r="AB283">
        <v>9.76</v>
      </c>
      <c r="AC283">
        <v>0</v>
      </c>
      <c r="AD283">
        <v>1</v>
      </c>
      <c r="AE283">
        <v>1</v>
      </c>
      <c r="AF283" t="s">
        <v>6</v>
      </c>
      <c r="AG283">
        <v>0.5</v>
      </c>
      <c r="AH283">
        <v>2</v>
      </c>
      <c r="AI283">
        <v>16813560</v>
      </c>
      <c r="AJ283">
        <v>288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ROW(Source!A194)</f>
        <v>194</v>
      </c>
      <c r="B284">
        <v>16813567</v>
      </c>
      <c r="C284">
        <v>16813559</v>
      </c>
      <c r="D284">
        <v>15170438</v>
      </c>
      <c r="E284">
        <v>1</v>
      </c>
      <c r="F284">
        <v>1</v>
      </c>
      <c r="G284">
        <v>1</v>
      </c>
      <c r="H284">
        <v>3</v>
      </c>
      <c r="I284" t="s">
        <v>986</v>
      </c>
      <c r="J284" t="s">
        <v>987</v>
      </c>
      <c r="K284" t="s">
        <v>988</v>
      </c>
      <c r="L284">
        <v>1348</v>
      </c>
      <c r="N284">
        <v>1009</v>
      </c>
      <c r="O284" t="s">
        <v>145</v>
      </c>
      <c r="P284" t="s">
        <v>145</v>
      </c>
      <c r="Q284">
        <v>1000</v>
      </c>
      <c r="X284">
        <v>1.0000000000000001E-5</v>
      </c>
      <c r="Y284">
        <v>12430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6</v>
      </c>
      <c r="AG284">
        <v>1.0000000000000001E-5</v>
      </c>
      <c r="AH284">
        <v>2</v>
      </c>
      <c r="AI284">
        <v>16813561</v>
      </c>
      <c r="AJ284">
        <v>289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ROW(Source!A194)</f>
        <v>194</v>
      </c>
      <c r="B285">
        <v>16813568</v>
      </c>
      <c r="C285">
        <v>16813559</v>
      </c>
      <c r="D285">
        <v>15171982</v>
      </c>
      <c r="E285">
        <v>1</v>
      </c>
      <c r="F285">
        <v>1</v>
      </c>
      <c r="G285">
        <v>1</v>
      </c>
      <c r="H285">
        <v>3</v>
      </c>
      <c r="I285" t="s">
        <v>804</v>
      </c>
      <c r="J285" t="s">
        <v>805</v>
      </c>
      <c r="K285" t="s">
        <v>806</v>
      </c>
      <c r="L285">
        <v>1348</v>
      </c>
      <c r="N285">
        <v>1009</v>
      </c>
      <c r="O285" t="s">
        <v>145</v>
      </c>
      <c r="P285" t="s">
        <v>145</v>
      </c>
      <c r="Q285">
        <v>1000</v>
      </c>
      <c r="X285">
        <v>5.0000000000000002E-5</v>
      </c>
      <c r="Y285">
        <v>729.98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0</v>
      </c>
      <c r="AF285" t="s">
        <v>6</v>
      </c>
      <c r="AG285">
        <v>5.0000000000000002E-5</v>
      </c>
      <c r="AH285">
        <v>2</v>
      </c>
      <c r="AI285">
        <v>16813562</v>
      </c>
      <c r="AJ285">
        <v>290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ROW(Source!A194)</f>
        <v>194</v>
      </c>
      <c r="B286">
        <v>16813569</v>
      </c>
      <c r="C286">
        <v>16813559</v>
      </c>
      <c r="D286">
        <v>15191144</v>
      </c>
      <c r="E286">
        <v>1</v>
      </c>
      <c r="F286">
        <v>1</v>
      </c>
      <c r="G286">
        <v>1</v>
      </c>
      <c r="H286">
        <v>3</v>
      </c>
      <c r="I286" t="s">
        <v>1049</v>
      </c>
      <c r="J286" t="s">
        <v>1050</v>
      </c>
      <c r="K286" t="s">
        <v>1051</v>
      </c>
      <c r="L286">
        <v>1348</v>
      </c>
      <c r="N286">
        <v>1009</v>
      </c>
      <c r="O286" t="s">
        <v>145</v>
      </c>
      <c r="P286" t="s">
        <v>145</v>
      </c>
      <c r="Q286">
        <v>1000</v>
      </c>
      <c r="X286">
        <v>1.0000000000000001E-5</v>
      </c>
      <c r="Y286">
        <v>14690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6</v>
      </c>
      <c r="AG286">
        <v>1.0000000000000001E-5</v>
      </c>
      <c r="AH286">
        <v>2</v>
      </c>
      <c r="AI286">
        <v>16813563</v>
      </c>
      <c r="AJ286">
        <v>291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ROW(Source!A194)</f>
        <v>194</v>
      </c>
      <c r="B287">
        <v>16813570</v>
      </c>
      <c r="C287">
        <v>16813559</v>
      </c>
      <c r="D287">
        <v>15164559</v>
      </c>
      <c r="E287">
        <v>17</v>
      </c>
      <c r="F287">
        <v>1</v>
      </c>
      <c r="G287">
        <v>1</v>
      </c>
      <c r="H287">
        <v>3</v>
      </c>
      <c r="I287" t="s">
        <v>989</v>
      </c>
      <c r="J287" t="s">
        <v>6</v>
      </c>
      <c r="K287" t="s">
        <v>990</v>
      </c>
      <c r="L287">
        <v>1374</v>
      </c>
      <c r="N287">
        <v>1013</v>
      </c>
      <c r="O287" t="s">
        <v>991</v>
      </c>
      <c r="P287" t="s">
        <v>991</v>
      </c>
      <c r="Q287">
        <v>1</v>
      </c>
      <c r="X287">
        <v>0.1</v>
      </c>
      <c r="Y287">
        <v>1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0.1</v>
      </c>
      <c r="AH287">
        <v>2</v>
      </c>
      <c r="AI287">
        <v>16813564</v>
      </c>
      <c r="AJ287">
        <v>293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ROW(Source!A196)</f>
        <v>196</v>
      </c>
      <c r="B288">
        <v>16813580</v>
      </c>
      <c r="C288">
        <v>16813572</v>
      </c>
      <c r="D288">
        <v>15435721</v>
      </c>
      <c r="E288">
        <v>1</v>
      </c>
      <c r="F288">
        <v>1</v>
      </c>
      <c r="G288">
        <v>1</v>
      </c>
      <c r="H288">
        <v>1</v>
      </c>
      <c r="I288" t="s">
        <v>816</v>
      </c>
      <c r="J288" t="s">
        <v>6</v>
      </c>
      <c r="K288" t="s">
        <v>817</v>
      </c>
      <c r="L288">
        <v>1191</v>
      </c>
      <c r="N288">
        <v>1013</v>
      </c>
      <c r="O288" t="s">
        <v>773</v>
      </c>
      <c r="P288" t="s">
        <v>773</v>
      </c>
      <c r="Q288">
        <v>1</v>
      </c>
      <c r="X288">
        <v>20.329999999999998</v>
      </c>
      <c r="Y288">
        <v>0</v>
      </c>
      <c r="Z288">
        <v>0</v>
      </c>
      <c r="AA288">
        <v>0</v>
      </c>
      <c r="AB288">
        <v>9.51</v>
      </c>
      <c r="AC288">
        <v>0</v>
      </c>
      <c r="AD288">
        <v>1</v>
      </c>
      <c r="AE288">
        <v>1</v>
      </c>
      <c r="AF288" t="s">
        <v>6</v>
      </c>
      <c r="AG288">
        <v>20.329999999999998</v>
      </c>
      <c r="AH288">
        <v>2</v>
      </c>
      <c r="AI288">
        <v>16813573</v>
      </c>
      <c r="AJ288">
        <v>294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ROW(Source!A196)</f>
        <v>196</v>
      </c>
      <c r="B289">
        <v>16813581</v>
      </c>
      <c r="C289">
        <v>16813572</v>
      </c>
      <c r="D289">
        <v>15430395</v>
      </c>
      <c r="E289">
        <v>1</v>
      </c>
      <c r="F289">
        <v>1</v>
      </c>
      <c r="G289">
        <v>1</v>
      </c>
      <c r="H289">
        <v>1</v>
      </c>
      <c r="I289" t="s">
        <v>774</v>
      </c>
      <c r="J289" t="s">
        <v>6</v>
      </c>
      <c r="K289" t="s">
        <v>775</v>
      </c>
      <c r="L289">
        <v>1191</v>
      </c>
      <c r="N289">
        <v>1013</v>
      </c>
      <c r="O289" t="s">
        <v>773</v>
      </c>
      <c r="P289" t="s">
        <v>773</v>
      </c>
      <c r="Q289">
        <v>1</v>
      </c>
      <c r="X289">
        <v>0.01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2</v>
      </c>
      <c r="AF289" t="s">
        <v>6</v>
      </c>
      <c r="AG289">
        <v>0.01</v>
      </c>
      <c r="AH289">
        <v>2</v>
      </c>
      <c r="AI289">
        <v>16813574</v>
      </c>
      <c r="AJ289">
        <v>295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ROW(Source!A196)</f>
        <v>196</v>
      </c>
      <c r="B290">
        <v>16813582</v>
      </c>
      <c r="C290">
        <v>16813572</v>
      </c>
      <c r="D290">
        <v>15247974</v>
      </c>
      <c r="E290">
        <v>1</v>
      </c>
      <c r="F290">
        <v>1</v>
      </c>
      <c r="G290">
        <v>1</v>
      </c>
      <c r="H290">
        <v>2</v>
      </c>
      <c r="I290" t="s">
        <v>776</v>
      </c>
      <c r="J290" t="s">
        <v>777</v>
      </c>
      <c r="K290" t="s">
        <v>778</v>
      </c>
      <c r="L290">
        <v>1368</v>
      </c>
      <c r="N290">
        <v>1011</v>
      </c>
      <c r="O290" t="s">
        <v>779</v>
      </c>
      <c r="P290" t="s">
        <v>779</v>
      </c>
      <c r="Q290">
        <v>1</v>
      </c>
      <c r="X290">
        <v>0.01</v>
      </c>
      <c r="Y290">
        <v>0</v>
      </c>
      <c r="Z290">
        <v>31.26</v>
      </c>
      <c r="AA290">
        <v>13.5</v>
      </c>
      <c r="AB290">
        <v>0</v>
      </c>
      <c r="AC290">
        <v>0</v>
      </c>
      <c r="AD290">
        <v>1</v>
      </c>
      <c r="AE290">
        <v>0</v>
      </c>
      <c r="AF290" t="s">
        <v>6</v>
      </c>
      <c r="AG290">
        <v>0.01</v>
      </c>
      <c r="AH290">
        <v>2</v>
      </c>
      <c r="AI290">
        <v>16813575</v>
      </c>
      <c r="AJ290">
        <v>296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ROW(Source!A196)</f>
        <v>196</v>
      </c>
      <c r="B291">
        <v>16813583</v>
      </c>
      <c r="C291">
        <v>16813572</v>
      </c>
      <c r="D291">
        <v>15170076</v>
      </c>
      <c r="E291">
        <v>1</v>
      </c>
      <c r="F291">
        <v>1</v>
      </c>
      <c r="G291">
        <v>1</v>
      </c>
      <c r="H291">
        <v>3</v>
      </c>
      <c r="I291" t="s">
        <v>983</v>
      </c>
      <c r="J291" t="s">
        <v>984</v>
      </c>
      <c r="K291" t="s">
        <v>985</v>
      </c>
      <c r="L291">
        <v>1356</v>
      </c>
      <c r="N291">
        <v>1010</v>
      </c>
      <c r="O291" t="s">
        <v>882</v>
      </c>
      <c r="P291" t="s">
        <v>882</v>
      </c>
      <c r="Q291">
        <v>1000</v>
      </c>
      <c r="X291">
        <v>0.4</v>
      </c>
      <c r="Y291">
        <v>180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0.4</v>
      </c>
      <c r="AH291">
        <v>2</v>
      </c>
      <c r="AI291">
        <v>16813576</v>
      </c>
      <c r="AJ291">
        <v>297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ROW(Source!A196)</f>
        <v>196</v>
      </c>
      <c r="B292">
        <v>16813584</v>
      </c>
      <c r="C292">
        <v>16813572</v>
      </c>
      <c r="D292">
        <v>15170438</v>
      </c>
      <c r="E292">
        <v>1</v>
      </c>
      <c r="F292">
        <v>1</v>
      </c>
      <c r="G292">
        <v>1</v>
      </c>
      <c r="H292">
        <v>3</v>
      </c>
      <c r="I292" t="s">
        <v>986</v>
      </c>
      <c r="J292" t="s">
        <v>987</v>
      </c>
      <c r="K292" t="s">
        <v>988</v>
      </c>
      <c r="L292">
        <v>1348</v>
      </c>
      <c r="N292">
        <v>1009</v>
      </c>
      <c r="O292" t="s">
        <v>145</v>
      </c>
      <c r="P292" t="s">
        <v>145</v>
      </c>
      <c r="Q292">
        <v>1000</v>
      </c>
      <c r="X292">
        <v>1.4E-3</v>
      </c>
      <c r="Y292">
        <v>12430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6</v>
      </c>
      <c r="AG292">
        <v>1.4E-3</v>
      </c>
      <c r="AH292">
        <v>2</v>
      </c>
      <c r="AI292">
        <v>16813577</v>
      </c>
      <c r="AJ292">
        <v>298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ROW(Source!A196)</f>
        <v>196</v>
      </c>
      <c r="B293">
        <v>16813585</v>
      </c>
      <c r="C293">
        <v>16813572</v>
      </c>
      <c r="D293">
        <v>15164559</v>
      </c>
      <c r="E293">
        <v>17</v>
      </c>
      <c r="F293">
        <v>1</v>
      </c>
      <c r="G293">
        <v>1</v>
      </c>
      <c r="H293">
        <v>3</v>
      </c>
      <c r="I293" t="s">
        <v>989</v>
      </c>
      <c r="J293" t="s">
        <v>6</v>
      </c>
      <c r="K293" t="s">
        <v>990</v>
      </c>
      <c r="L293">
        <v>1374</v>
      </c>
      <c r="N293">
        <v>1013</v>
      </c>
      <c r="O293" t="s">
        <v>991</v>
      </c>
      <c r="P293" t="s">
        <v>991</v>
      </c>
      <c r="Q293">
        <v>1</v>
      </c>
      <c r="X293">
        <v>3.87</v>
      </c>
      <c r="Y293">
        <v>1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6</v>
      </c>
      <c r="AG293">
        <v>3.87</v>
      </c>
      <c r="AH293">
        <v>2</v>
      </c>
      <c r="AI293">
        <v>16813578</v>
      </c>
      <c r="AJ293">
        <v>300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ROW(Source!A198)</f>
        <v>198</v>
      </c>
      <c r="B294">
        <v>16813592</v>
      </c>
      <c r="C294">
        <v>16813587</v>
      </c>
      <c r="D294">
        <v>15438286</v>
      </c>
      <c r="E294">
        <v>1</v>
      </c>
      <c r="F294">
        <v>1</v>
      </c>
      <c r="G294">
        <v>1</v>
      </c>
      <c r="H294">
        <v>1</v>
      </c>
      <c r="I294" t="s">
        <v>874</v>
      </c>
      <c r="J294" t="s">
        <v>6</v>
      </c>
      <c r="K294" t="s">
        <v>875</v>
      </c>
      <c r="L294">
        <v>1191</v>
      </c>
      <c r="N294">
        <v>1013</v>
      </c>
      <c r="O294" t="s">
        <v>773</v>
      </c>
      <c r="P294" t="s">
        <v>773</v>
      </c>
      <c r="Q294">
        <v>1</v>
      </c>
      <c r="X294">
        <v>15.2</v>
      </c>
      <c r="Y294">
        <v>0</v>
      </c>
      <c r="Z294">
        <v>0</v>
      </c>
      <c r="AA294">
        <v>0</v>
      </c>
      <c r="AB294">
        <v>9.18</v>
      </c>
      <c r="AC294">
        <v>0</v>
      </c>
      <c r="AD294">
        <v>1</v>
      </c>
      <c r="AE294">
        <v>1</v>
      </c>
      <c r="AF294" t="s">
        <v>6</v>
      </c>
      <c r="AG294">
        <v>15.2</v>
      </c>
      <c r="AH294">
        <v>2</v>
      </c>
      <c r="AI294">
        <v>16813588</v>
      </c>
      <c r="AJ294">
        <v>301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ROW(Source!A198)</f>
        <v>198</v>
      </c>
      <c r="B295">
        <v>16813593</v>
      </c>
      <c r="C295">
        <v>16813587</v>
      </c>
      <c r="D295">
        <v>15170155</v>
      </c>
      <c r="E295">
        <v>1</v>
      </c>
      <c r="F295">
        <v>1</v>
      </c>
      <c r="G295">
        <v>1</v>
      </c>
      <c r="H295">
        <v>3</v>
      </c>
      <c r="I295" t="s">
        <v>899</v>
      </c>
      <c r="J295" t="s">
        <v>900</v>
      </c>
      <c r="K295" t="s">
        <v>901</v>
      </c>
      <c r="L295">
        <v>1355</v>
      </c>
      <c r="N295">
        <v>1010</v>
      </c>
      <c r="O295" t="s">
        <v>188</v>
      </c>
      <c r="P295" t="s">
        <v>188</v>
      </c>
      <c r="Q295">
        <v>100</v>
      </c>
      <c r="X295">
        <v>1.75</v>
      </c>
      <c r="Y295">
        <v>8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6</v>
      </c>
      <c r="AG295">
        <v>1.75</v>
      </c>
      <c r="AH295">
        <v>2</v>
      </c>
      <c r="AI295">
        <v>16813589</v>
      </c>
      <c r="AJ295">
        <v>302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ROW(Source!A198)</f>
        <v>198</v>
      </c>
      <c r="B296">
        <v>16813594</v>
      </c>
      <c r="C296">
        <v>16813587</v>
      </c>
      <c r="D296">
        <v>15164559</v>
      </c>
      <c r="E296">
        <v>17</v>
      </c>
      <c r="F296">
        <v>1</v>
      </c>
      <c r="G296">
        <v>1</v>
      </c>
      <c r="H296">
        <v>3</v>
      </c>
      <c r="I296" t="s">
        <v>989</v>
      </c>
      <c r="J296" t="s">
        <v>6</v>
      </c>
      <c r="K296" t="s">
        <v>990</v>
      </c>
      <c r="L296">
        <v>1374</v>
      </c>
      <c r="N296">
        <v>1013</v>
      </c>
      <c r="O296" t="s">
        <v>991</v>
      </c>
      <c r="P296" t="s">
        <v>991</v>
      </c>
      <c r="Q296">
        <v>1</v>
      </c>
      <c r="X296">
        <v>2.79</v>
      </c>
      <c r="Y296">
        <v>1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2.79</v>
      </c>
      <c r="AH296">
        <v>2</v>
      </c>
      <c r="AI296">
        <v>16813590</v>
      </c>
      <c r="AJ296">
        <v>304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ROW(Source!A200)</f>
        <v>200</v>
      </c>
      <c r="B297">
        <v>16813606</v>
      </c>
      <c r="C297">
        <v>16813596</v>
      </c>
      <c r="D297">
        <v>15430397</v>
      </c>
      <c r="E297">
        <v>1</v>
      </c>
      <c r="F297">
        <v>1</v>
      </c>
      <c r="G297">
        <v>1</v>
      </c>
      <c r="H297">
        <v>1</v>
      </c>
      <c r="I297" t="s">
        <v>838</v>
      </c>
      <c r="J297" t="s">
        <v>6</v>
      </c>
      <c r="K297" t="s">
        <v>839</v>
      </c>
      <c r="L297">
        <v>1191</v>
      </c>
      <c r="N297">
        <v>1013</v>
      </c>
      <c r="O297" t="s">
        <v>773</v>
      </c>
      <c r="P297" t="s">
        <v>773</v>
      </c>
      <c r="Q297">
        <v>1</v>
      </c>
      <c r="X297">
        <v>3.76</v>
      </c>
      <c r="Y297">
        <v>0</v>
      </c>
      <c r="Z297">
        <v>0</v>
      </c>
      <c r="AA297">
        <v>0</v>
      </c>
      <c r="AB297">
        <v>9.4</v>
      </c>
      <c r="AC297">
        <v>0</v>
      </c>
      <c r="AD297">
        <v>1</v>
      </c>
      <c r="AE297">
        <v>1</v>
      </c>
      <c r="AF297" t="s">
        <v>6</v>
      </c>
      <c r="AG297">
        <v>3.76</v>
      </c>
      <c r="AH297">
        <v>2</v>
      </c>
      <c r="AI297">
        <v>16813597</v>
      </c>
      <c r="AJ297">
        <v>305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ROW(Source!A200)</f>
        <v>200</v>
      </c>
      <c r="B298">
        <v>16813607</v>
      </c>
      <c r="C298">
        <v>16813596</v>
      </c>
      <c r="D298">
        <v>15430395</v>
      </c>
      <c r="E298">
        <v>1</v>
      </c>
      <c r="F298">
        <v>1</v>
      </c>
      <c r="G298">
        <v>1</v>
      </c>
      <c r="H298">
        <v>1</v>
      </c>
      <c r="I298" t="s">
        <v>774</v>
      </c>
      <c r="J298" t="s">
        <v>6</v>
      </c>
      <c r="K298" t="s">
        <v>775</v>
      </c>
      <c r="L298">
        <v>1191</v>
      </c>
      <c r="N298">
        <v>1013</v>
      </c>
      <c r="O298" t="s">
        <v>773</v>
      </c>
      <c r="P298" t="s">
        <v>773</v>
      </c>
      <c r="Q298">
        <v>1</v>
      </c>
      <c r="X298">
        <v>0.02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2</v>
      </c>
      <c r="AF298" t="s">
        <v>6</v>
      </c>
      <c r="AG298">
        <v>0.02</v>
      </c>
      <c r="AH298">
        <v>2</v>
      </c>
      <c r="AI298">
        <v>16813598</v>
      </c>
      <c r="AJ298">
        <v>306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ROW(Source!A200)</f>
        <v>200</v>
      </c>
      <c r="B299">
        <v>16813608</v>
      </c>
      <c r="C299">
        <v>16813596</v>
      </c>
      <c r="D299">
        <v>15247680</v>
      </c>
      <c r="E299">
        <v>1</v>
      </c>
      <c r="F299">
        <v>1</v>
      </c>
      <c r="G299">
        <v>1</v>
      </c>
      <c r="H299">
        <v>2</v>
      </c>
      <c r="I299" t="s">
        <v>959</v>
      </c>
      <c r="J299" t="s">
        <v>960</v>
      </c>
      <c r="K299" t="s">
        <v>961</v>
      </c>
      <c r="L299">
        <v>1368</v>
      </c>
      <c r="N299">
        <v>1011</v>
      </c>
      <c r="O299" t="s">
        <v>779</v>
      </c>
      <c r="P299" t="s">
        <v>779</v>
      </c>
      <c r="Q299">
        <v>1</v>
      </c>
      <c r="X299">
        <v>0.01</v>
      </c>
      <c r="Y299">
        <v>0</v>
      </c>
      <c r="Z299">
        <v>111.99</v>
      </c>
      <c r="AA299">
        <v>13.5</v>
      </c>
      <c r="AB299">
        <v>0</v>
      </c>
      <c r="AC299">
        <v>0</v>
      </c>
      <c r="AD299">
        <v>1</v>
      </c>
      <c r="AE299">
        <v>0</v>
      </c>
      <c r="AF299" t="s">
        <v>6</v>
      </c>
      <c r="AG299">
        <v>0.01</v>
      </c>
      <c r="AH299">
        <v>2</v>
      </c>
      <c r="AI299">
        <v>16813599</v>
      </c>
      <c r="AJ299">
        <v>307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ROW(Source!A200)</f>
        <v>200</v>
      </c>
      <c r="B300">
        <v>16813609</v>
      </c>
      <c r="C300">
        <v>16813596</v>
      </c>
      <c r="D300">
        <v>15249073</v>
      </c>
      <c r="E300">
        <v>1</v>
      </c>
      <c r="F300">
        <v>1</v>
      </c>
      <c r="G300">
        <v>1</v>
      </c>
      <c r="H300">
        <v>2</v>
      </c>
      <c r="I300" t="s">
        <v>782</v>
      </c>
      <c r="J300" t="s">
        <v>783</v>
      </c>
      <c r="K300" t="s">
        <v>784</v>
      </c>
      <c r="L300">
        <v>1368</v>
      </c>
      <c r="N300">
        <v>1011</v>
      </c>
      <c r="O300" t="s">
        <v>779</v>
      </c>
      <c r="P300" t="s">
        <v>779</v>
      </c>
      <c r="Q300">
        <v>1</v>
      </c>
      <c r="X300">
        <v>0.01</v>
      </c>
      <c r="Y300">
        <v>0</v>
      </c>
      <c r="Z300">
        <v>65.709999999999994</v>
      </c>
      <c r="AA300">
        <v>11.6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0.01</v>
      </c>
      <c r="AH300">
        <v>2</v>
      </c>
      <c r="AI300">
        <v>16813600</v>
      </c>
      <c r="AJ300">
        <v>308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ROW(Source!A200)</f>
        <v>200</v>
      </c>
      <c r="B301">
        <v>16813610</v>
      </c>
      <c r="C301">
        <v>16813596</v>
      </c>
      <c r="D301">
        <v>15167588</v>
      </c>
      <c r="E301">
        <v>1</v>
      </c>
      <c r="F301">
        <v>1</v>
      </c>
      <c r="G301">
        <v>1</v>
      </c>
      <c r="H301">
        <v>3</v>
      </c>
      <c r="I301" t="s">
        <v>1006</v>
      </c>
      <c r="J301" t="s">
        <v>1007</v>
      </c>
      <c r="K301" t="s">
        <v>1008</v>
      </c>
      <c r="L301">
        <v>1346</v>
      </c>
      <c r="N301">
        <v>1009</v>
      </c>
      <c r="O301" t="s">
        <v>277</v>
      </c>
      <c r="P301" t="s">
        <v>277</v>
      </c>
      <c r="Q301">
        <v>1</v>
      </c>
      <c r="X301">
        <v>0.16</v>
      </c>
      <c r="Y301">
        <v>30.4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6</v>
      </c>
      <c r="AG301">
        <v>0.16</v>
      </c>
      <c r="AH301">
        <v>2</v>
      </c>
      <c r="AI301">
        <v>16813601</v>
      </c>
      <c r="AJ301">
        <v>309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ROW(Source!A200)</f>
        <v>200</v>
      </c>
      <c r="B302">
        <v>16813611</v>
      </c>
      <c r="C302">
        <v>16813596</v>
      </c>
      <c r="D302">
        <v>15167600</v>
      </c>
      <c r="E302">
        <v>1</v>
      </c>
      <c r="F302">
        <v>1</v>
      </c>
      <c r="G302">
        <v>1</v>
      </c>
      <c r="H302">
        <v>3</v>
      </c>
      <c r="I302" t="s">
        <v>1052</v>
      </c>
      <c r="J302" t="s">
        <v>1053</v>
      </c>
      <c r="K302" t="s">
        <v>1054</v>
      </c>
      <c r="L302">
        <v>1308</v>
      </c>
      <c r="N302">
        <v>1003</v>
      </c>
      <c r="O302" t="s">
        <v>39</v>
      </c>
      <c r="P302" t="s">
        <v>39</v>
      </c>
      <c r="Q302">
        <v>100</v>
      </c>
      <c r="X302">
        <v>5.5E-2</v>
      </c>
      <c r="Y302">
        <v>120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0</v>
      </c>
      <c r="AF302" t="s">
        <v>6</v>
      </c>
      <c r="AG302">
        <v>5.5E-2</v>
      </c>
      <c r="AH302">
        <v>2</v>
      </c>
      <c r="AI302">
        <v>16813602</v>
      </c>
      <c r="AJ302">
        <v>310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ROW(Source!A200)</f>
        <v>200</v>
      </c>
      <c r="B303">
        <v>16813612</v>
      </c>
      <c r="C303">
        <v>16813596</v>
      </c>
      <c r="D303">
        <v>15203834</v>
      </c>
      <c r="E303">
        <v>1</v>
      </c>
      <c r="F303">
        <v>1</v>
      </c>
      <c r="G303">
        <v>1</v>
      </c>
      <c r="H303">
        <v>3</v>
      </c>
      <c r="I303" t="s">
        <v>1024</v>
      </c>
      <c r="J303" t="s">
        <v>1025</v>
      </c>
      <c r="K303" t="s">
        <v>320</v>
      </c>
      <c r="L303">
        <v>1346</v>
      </c>
      <c r="N303">
        <v>1009</v>
      </c>
      <c r="O303" t="s">
        <v>277</v>
      </c>
      <c r="P303" t="s">
        <v>277</v>
      </c>
      <c r="Q303">
        <v>1</v>
      </c>
      <c r="X303">
        <v>0.05</v>
      </c>
      <c r="Y303">
        <v>28.6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6</v>
      </c>
      <c r="AG303">
        <v>0.05</v>
      </c>
      <c r="AH303">
        <v>2</v>
      </c>
      <c r="AI303">
        <v>16813603</v>
      </c>
      <c r="AJ303">
        <v>311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ROW(Source!A200)</f>
        <v>200</v>
      </c>
      <c r="B304">
        <v>16813613</v>
      </c>
      <c r="C304">
        <v>16813596</v>
      </c>
      <c r="D304">
        <v>15164559</v>
      </c>
      <c r="E304">
        <v>17</v>
      </c>
      <c r="F304">
        <v>1</v>
      </c>
      <c r="G304">
        <v>1</v>
      </c>
      <c r="H304">
        <v>3</v>
      </c>
      <c r="I304" t="s">
        <v>989</v>
      </c>
      <c r="J304" t="s">
        <v>6</v>
      </c>
      <c r="K304" t="s">
        <v>990</v>
      </c>
      <c r="L304">
        <v>1374</v>
      </c>
      <c r="N304">
        <v>1013</v>
      </c>
      <c r="O304" t="s">
        <v>991</v>
      </c>
      <c r="P304" t="s">
        <v>991</v>
      </c>
      <c r="Q304">
        <v>1</v>
      </c>
      <c r="X304">
        <v>0.71</v>
      </c>
      <c r="Y304">
        <v>1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6</v>
      </c>
      <c r="AG304">
        <v>0.71</v>
      </c>
      <c r="AH304">
        <v>2</v>
      </c>
      <c r="AI304">
        <v>16813604</v>
      </c>
      <c r="AJ304">
        <v>313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ROW(Source!A202)</f>
        <v>202</v>
      </c>
      <c r="B305">
        <v>16813627</v>
      </c>
      <c r="C305">
        <v>16813615</v>
      </c>
      <c r="D305">
        <v>15430397</v>
      </c>
      <c r="E305">
        <v>1</v>
      </c>
      <c r="F305">
        <v>1</v>
      </c>
      <c r="G305">
        <v>1</v>
      </c>
      <c r="H305">
        <v>1</v>
      </c>
      <c r="I305" t="s">
        <v>838</v>
      </c>
      <c r="J305" t="s">
        <v>6</v>
      </c>
      <c r="K305" t="s">
        <v>839</v>
      </c>
      <c r="L305">
        <v>1191</v>
      </c>
      <c r="N305">
        <v>1013</v>
      </c>
      <c r="O305" t="s">
        <v>773</v>
      </c>
      <c r="P305" t="s">
        <v>773</v>
      </c>
      <c r="Q305">
        <v>1</v>
      </c>
      <c r="X305">
        <v>6.29</v>
      </c>
      <c r="Y305">
        <v>0</v>
      </c>
      <c r="Z305">
        <v>0</v>
      </c>
      <c r="AA305">
        <v>0</v>
      </c>
      <c r="AB305">
        <v>9.4</v>
      </c>
      <c r="AC305">
        <v>0</v>
      </c>
      <c r="AD305">
        <v>1</v>
      </c>
      <c r="AE305">
        <v>1</v>
      </c>
      <c r="AF305" t="s">
        <v>6</v>
      </c>
      <c r="AG305">
        <v>6.29</v>
      </c>
      <c r="AH305">
        <v>2</v>
      </c>
      <c r="AI305">
        <v>16813616</v>
      </c>
      <c r="AJ305">
        <v>314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ROW(Source!A202)</f>
        <v>202</v>
      </c>
      <c r="B306">
        <v>16813628</v>
      </c>
      <c r="C306">
        <v>16813615</v>
      </c>
      <c r="D306">
        <v>15430395</v>
      </c>
      <c r="E306">
        <v>1</v>
      </c>
      <c r="F306">
        <v>1</v>
      </c>
      <c r="G306">
        <v>1</v>
      </c>
      <c r="H306">
        <v>1</v>
      </c>
      <c r="I306" t="s">
        <v>774</v>
      </c>
      <c r="J306" t="s">
        <v>6</v>
      </c>
      <c r="K306" t="s">
        <v>775</v>
      </c>
      <c r="L306">
        <v>1191</v>
      </c>
      <c r="N306">
        <v>1013</v>
      </c>
      <c r="O306" t="s">
        <v>773</v>
      </c>
      <c r="P306" t="s">
        <v>773</v>
      </c>
      <c r="Q306">
        <v>1</v>
      </c>
      <c r="X306">
        <v>0.06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2</v>
      </c>
      <c r="AF306" t="s">
        <v>6</v>
      </c>
      <c r="AG306">
        <v>0.06</v>
      </c>
      <c r="AH306">
        <v>2</v>
      </c>
      <c r="AI306">
        <v>16813617</v>
      </c>
      <c r="AJ306">
        <v>315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ROW(Source!A202)</f>
        <v>202</v>
      </c>
      <c r="B307">
        <v>16813629</v>
      </c>
      <c r="C307">
        <v>16813615</v>
      </c>
      <c r="D307">
        <v>15247680</v>
      </c>
      <c r="E307">
        <v>1</v>
      </c>
      <c r="F307">
        <v>1</v>
      </c>
      <c r="G307">
        <v>1</v>
      </c>
      <c r="H307">
        <v>2</v>
      </c>
      <c r="I307" t="s">
        <v>959</v>
      </c>
      <c r="J307" t="s">
        <v>960</v>
      </c>
      <c r="K307" t="s">
        <v>961</v>
      </c>
      <c r="L307">
        <v>1368</v>
      </c>
      <c r="N307">
        <v>1011</v>
      </c>
      <c r="O307" t="s">
        <v>779</v>
      </c>
      <c r="P307" t="s">
        <v>779</v>
      </c>
      <c r="Q307">
        <v>1</v>
      </c>
      <c r="X307">
        <v>0.03</v>
      </c>
      <c r="Y307">
        <v>0</v>
      </c>
      <c r="Z307">
        <v>111.99</v>
      </c>
      <c r="AA307">
        <v>13.5</v>
      </c>
      <c r="AB307">
        <v>0</v>
      </c>
      <c r="AC307">
        <v>0</v>
      </c>
      <c r="AD307">
        <v>1</v>
      </c>
      <c r="AE307">
        <v>0</v>
      </c>
      <c r="AF307" t="s">
        <v>6</v>
      </c>
      <c r="AG307">
        <v>0.03</v>
      </c>
      <c r="AH307">
        <v>2</v>
      </c>
      <c r="AI307">
        <v>16813618</v>
      </c>
      <c r="AJ307">
        <v>316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ROW(Source!A202)</f>
        <v>202</v>
      </c>
      <c r="B308">
        <v>16813630</v>
      </c>
      <c r="C308">
        <v>16813615</v>
      </c>
      <c r="D308">
        <v>15249073</v>
      </c>
      <c r="E308">
        <v>1</v>
      </c>
      <c r="F308">
        <v>1</v>
      </c>
      <c r="G308">
        <v>1</v>
      </c>
      <c r="H308">
        <v>2</v>
      </c>
      <c r="I308" t="s">
        <v>782</v>
      </c>
      <c r="J308" t="s">
        <v>783</v>
      </c>
      <c r="K308" t="s">
        <v>784</v>
      </c>
      <c r="L308">
        <v>1368</v>
      </c>
      <c r="N308">
        <v>1011</v>
      </c>
      <c r="O308" t="s">
        <v>779</v>
      </c>
      <c r="P308" t="s">
        <v>779</v>
      </c>
      <c r="Q308">
        <v>1</v>
      </c>
      <c r="X308">
        <v>0.03</v>
      </c>
      <c r="Y308">
        <v>0</v>
      </c>
      <c r="Z308">
        <v>65.709999999999994</v>
      </c>
      <c r="AA308">
        <v>11.6</v>
      </c>
      <c r="AB308">
        <v>0</v>
      </c>
      <c r="AC308">
        <v>0</v>
      </c>
      <c r="AD308">
        <v>1</v>
      </c>
      <c r="AE308">
        <v>0</v>
      </c>
      <c r="AF308" t="s">
        <v>6</v>
      </c>
      <c r="AG308">
        <v>0.03</v>
      </c>
      <c r="AH308">
        <v>2</v>
      </c>
      <c r="AI308">
        <v>16813619</v>
      </c>
      <c r="AJ308">
        <v>317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ROW(Source!A202)</f>
        <v>202</v>
      </c>
      <c r="B309">
        <v>16813631</v>
      </c>
      <c r="C309">
        <v>16813615</v>
      </c>
      <c r="D309">
        <v>15167588</v>
      </c>
      <c r="E309">
        <v>1</v>
      </c>
      <c r="F309">
        <v>1</v>
      </c>
      <c r="G309">
        <v>1</v>
      </c>
      <c r="H309">
        <v>3</v>
      </c>
      <c r="I309" t="s">
        <v>1006</v>
      </c>
      <c r="J309" t="s">
        <v>1007</v>
      </c>
      <c r="K309" t="s">
        <v>1008</v>
      </c>
      <c r="L309">
        <v>1346</v>
      </c>
      <c r="N309">
        <v>1009</v>
      </c>
      <c r="O309" t="s">
        <v>277</v>
      </c>
      <c r="P309" t="s">
        <v>277</v>
      </c>
      <c r="Q309">
        <v>1</v>
      </c>
      <c r="X309">
        <v>0.32</v>
      </c>
      <c r="Y309">
        <v>30.4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0.32</v>
      </c>
      <c r="AH309">
        <v>2</v>
      </c>
      <c r="AI309">
        <v>16813620</v>
      </c>
      <c r="AJ309">
        <v>318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ROW(Source!A202)</f>
        <v>202</v>
      </c>
      <c r="B310">
        <v>16813632</v>
      </c>
      <c r="C310">
        <v>16813615</v>
      </c>
      <c r="D310">
        <v>15167867</v>
      </c>
      <c r="E310">
        <v>1</v>
      </c>
      <c r="F310">
        <v>1</v>
      </c>
      <c r="G310">
        <v>1</v>
      </c>
      <c r="H310">
        <v>3</v>
      </c>
      <c r="I310" t="s">
        <v>1055</v>
      </c>
      <c r="J310" t="s">
        <v>1056</v>
      </c>
      <c r="K310" t="s">
        <v>1057</v>
      </c>
      <c r="L310">
        <v>1348</v>
      </c>
      <c r="N310">
        <v>1009</v>
      </c>
      <c r="O310" t="s">
        <v>145</v>
      </c>
      <c r="P310" t="s">
        <v>145</v>
      </c>
      <c r="Q310">
        <v>1000</v>
      </c>
      <c r="X310">
        <v>1.0499999999999999E-3</v>
      </c>
      <c r="Y310">
        <v>1820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6</v>
      </c>
      <c r="AG310">
        <v>1.0499999999999999E-3</v>
      </c>
      <c r="AH310">
        <v>2</v>
      </c>
      <c r="AI310">
        <v>16813621</v>
      </c>
      <c r="AJ310">
        <v>319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ROW(Source!A202)</f>
        <v>202</v>
      </c>
      <c r="B311">
        <v>16813633</v>
      </c>
      <c r="C311">
        <v>16813615</v>
      </c>
      <c r="D311">
        <v>15203834</v>
      </c>
      <c r="E311">
        <v>1</v>
      </c>
      <c r="F311">
        <v>1</v>
      </c>
      <c r="G311">
        <v>1</v>
      </c>
      <c r="H311">
        <v>3</v>
      </c>
      <c r="I311" t="s">
        <v>1024</v>
      </c>
      <c r="J311" t="s">
        <v>1025</v>
      </c>
      <c r="K311" t="s">
        <v>320</v>
      </c>
      <c r="L311">
        <v>1346</v>
      </c>
      <c r="N311">
        <v>1009</v>
      </c>
      <c r="O311" t="s">
        <v>277</v>
      </c>
      <c r="P311" t="s">
        <v>277</v>
      </c>
      <c r="Q311">
        <v>1</v>
      </c>
      <c r="X311">
        <v>0.02</v>
      </c>
      <c r="Y311">
        <v>28.6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6</v>
      </c>
      <c r="AG311">
        <v>0.02</v>
      </c>
      <c r="AH311">
        <v>2</v>
      </c>
      <c r="AI311">
        <v>16813622</v>
      </c>
      <c r="AJ311">
        <v>320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ROW(Source!A202)</f>
        <v>202</v>
      </c>
      <c r="B312">
        <v>16813634</v>
      </c>
      <c r="C312">
        <v>16813615</v>
      </c>
      <c r="D312">
        <v>15217529</v>
      </c>
      <c r="E312">
        <v>1</v>
      </c>
      <c r="F312">
        <v>1</v>
      </c>
      <c r="G312">
        <v>1</v>
      </c>
      <c r="H312">
        <v>3</v>
      </c>
      <c r="I312" t="s">
        <v>1058</v>
      </c>
      <c r="J312" t="s">
        <v>1059</v>
      </c>
      <c r="K312" t="s">
        <v>1060</v>
      </c>
      <c r="L312">
        <v>1355</v>
      </c>
      <c r="N312">
        <v>1010</v>
      </c>
      <c r="O312" t="s">
        <v>188</v>
      </c>
      <c r="P312" t="s">
        <v>188</v>
      </c>
      <c r="Q312">
        <v>100</v>
      </c>
      <c r="X312">
        <v>0.05</v>
      </c>
      <c r="Y312">
        <v>143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6</v>
      </c>
      <c r="AG312">
        <v>0.05</v>
      </c>
      <c r="AH312">
        <v>2</v>
      </c>
      <c r="AI312">
        <v>16813623</v>
      </c>
      <c r="AJ312">
        <v>321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ROW(Source!A202)</f>
        <v>202</v>
      </c>
      <c r="B313">
        <v>16813635</v>
      </c>
      <c r="C313">
        <v>16813615</v>
      </c>
      <c r="D313">
        <v>15217579</v>
      </c>
      <c r="E313">
        <v>1</v>
      </c>
      <c r="F313">
        <v>1</v>
      </c>
      <c r="G313">
        <v>1</v>
      </c>
      <c r="H313">
        <v>3</v>
      </c>
      <c r="I313" t="s">
        <v>1061</v>
      </c>
      <c r="J313" t="s">
        <v>1062</v>
      </c>
      <c r="K313" t="s">
        <v>1063</v>
      </c>
      <c r="L313">
        <v>1356</v>
      </c>
      <c r="N313">
        <v>1010</v>
      </c>
      <c r="O313" t="s">
        <v>882</v>
      </c>
      <c r="P313" t="s">
        <v>882</v>
      </c>
      <c r="Q313">
        <v>1000</v>
      </c>
      <c r="X313">
        <v>1.2200000000000001E-2</v>
      </c>
      <c r="Y313">
        <v>176.21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 t="s">
        <v>6</v>
      </c>
      <c r="AG313">
        <v>1.2200000000000001E-2</v>
      </c>
      <c r="AH313">
        <v>2</v>
      </c>
      <c r="AI313">
        <v>16813624</v>
      </c>
      <c r="AJ313">
        <v>322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ROW(Source!A202)</f>
        <v>202</v>
      </c>
      <c r="B314">
        <v>16813636</v>
      </c>
      <c r="C314">
        <v>16813615</v>
      </c>
      <c r="D314">
        <v>15164559</v>
      </c>
      <c r="E314">
        <v>17</v>
      </c>
      <c r="F314">
        <v>1</v>
      </c>
      <c r="G314">
        <v>1</v>
      </c>
      <c r="H314">
        <v>3</v>
      </c>
      <c r="I314" t="s">
        <v>989</v>
      </c>
      <c r="J314" t="s">
        <v>6</v>
      </c>
      <c r="K314" t="s">
        <v>990</v>
      </c>
      <c r="L314">
        <v>1374</v>
      </c>
      <c r="N314">
        <v>1013</v>
      </c>
      <c r="O314" t="s">
        <v>991</v>
      </c>
      <c r="P314" t="s">
        <v>991</v>
      </c>
      <c r="Q314">
        <v>1</v>
      </c>
      <c r="X314">
        <v>1.18</v>
      </c>
      <c r="Y314">
        <v>1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1.18</v>
      </c>
      <c r="AH314">
        <v>2</v>
      </c>
      <c r="AI314">
        <v>16813625</v>
      </c>
      <c r="AJ314">
        <v>324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ROW(Source!A204)</f>
        <v>204</v>
      </c>
      <c r="B315">
        <v>16814315</v>
      </c>
      <c r="C315">
        <v>16814314</v>
      </c>
      <c r="D315">
        <v>15436556</v>
      </c>
      <c r="E315">
        <v>1</v>
      </c>
      <c r="F315">
        <v>1</v>
      </c>
      <c r="G315">
        <v>1</v>
      </c>
      <c r="H315">
        <v>1</v>
      </c>
      <c r="I315" t="s">
        <v>833</v>
      </c>
      <c r="J315" t="s">
        <v>6</v>
      </c>
      <c r="K315" t="s">
        <v>834</v>
      </c>
      <c r="L315">
        <v>1191</v>
      </c>
      <c r="N315">
        <v>1013</v>
      </c>
      <c r="O315" t="s">
        <v>773</v>
      </c>
      <c r="P315" t="s">
        <v>773</v>
      </c>
      <c r="Q315">
        <v>1</v>
      </c>
      <c r="X315">
        <v>14.13</v>
      </c>
      <c r="Y315">
        <v>0</v>
      </c>
      <c r="Z315">
        <v>0</v>
      </c>
      <c r="AA315">
        <v>0</v>
      </c>
      <c r="AB315">
        <v>9.6199999999999992</v>
      </c>
      <c r="AC315">
        <v>0</v>
      </c>
      <c r="AD315">
        <v>1</v>
      </c>
      <c r="AE315">
        <v>1</v>
      </c>
      <c r="AF315" t="s">
        <v>6</v>
      </c>
      <c r="AG315">
        <v>14.13</v>
      </c>
      <c r="AH315">
        <v>2</v>
      </c>
      <c r="AI315">
        <v>16814315</v>
      </c>
      <c r="AJ315">
        <v>325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ROW(Source!A204)</f>
        <v>204</v>
      </c>
      <c r="B316">
        <v>16814316</v>
      </c>
      <c r="C316">
        <v>16814314</v>
      </c>
      <c r="D316">
        <v>15430395</v>
      </c>
      <c r="E316">
        <v>1</v>
      </c>
      <c r="F316">
        <v>1</v>
      </c>
      <c r="G316">
        <v>1</v>
      </c>
      <c r="H316">
        <v>1</v>
      </c>
      <c r="I316" t="s">
        <v>774</v>
      </c>
      <c r="J316" t="s">
        <v>6</v>
      </c>
      <c r="K316" t="s">
        <v>775</v>
      </c>
      <c r="L316">
        <v>1191</v>
      </c>
      <c r="N316">
        <v>1013</v>
      </c>
      <c r="O316" t="s">
        <v>773</v>
      </c>
      <c r="P316" t="s">
        <v>773</v>
      </c>
      <c r="Q316">
        <v>1</v>
      </c>
      <c r="X316">
        <v>0.4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1</v>
      </c>
      <c r="AE316">
        <v>2</v>
      </c>
      <c r="AF316" t="s">
        <v>6</v>
      </c>
      <c r="AG316">
        <v>0.4</v>
      </c>
      <c r="AH316">
        <v>2</v>
      </c>
      <c r="AI316">
        <v>16814316</v>
      </c>
      <c r="AJ316">
        <v>326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ROW(Source!A204)</f>
        <v>204</v>
      </c>
      <c r="B317">
        <v>16814317</v>
      </c>
      <c r="C317">
        <v>16814314</v>
      </c>
      <c r="D317">
        <v>15247680</v>
      </c>
      <c r="E317">
        <v>1</v>
      </c>
      <c r="F317">
        <v>1</v>
      </c>
      <c r="G317">
        <v>1</v>
      </c>
      <c r="H317">
        <v>2</v>
      </c>
      <c r="I317" t="s">
        <v>959</v>
      </c>
      <c r="J317" t="s">
        <v>960</v>
      </c>
      <c r="K317" t="s">
        <v>961</v>
      </c>
      <c r="L317">
        <v>1368</v>
      </c>
      <c r="N317">
        <v>1011</v>
      </c>
      <c r="O317" t="s">
        <v>779</v>
      </c>
      <c r="P317" t="s">
        <v>779</v>
      </c>
      <c r="Q317">
        <v>1</v>
      </c>
      <c r="X317">
        <v>0.2</v>
      </c>
      <c r="Y317">
        <v>0</v>
      </c>
      <c r="Z317">
        <v>111.99</v>
      </c>
      <c r="AA317">
        <v>13.5</v>
      </c>
      <c r="AB317">
        <v>0</v>
      </c>
      <c r="AC317">
        <v>0</v>
      </c>
      <c r="AD317">
        <v>1</v>
      </c>
      <c r="AE317">
        <v>0</v>
      </c>
      <c r="AF317" t="s">
        <v>6</v>
      </c>
      <c r="AG317">
        <v>0.2</v>
      </c>
      <c r="AH317">
        <v>2</v>
      </c>
      <c r="AI317">
        <v>16814317</v>
      </c>
      <c r="AJ317">
        <v>327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ROW(Source!A204)</f>
        <v>204</v>
      </c>
      <c r="B318">
        <v>16814318</v>
      </c>
      <c r="C318">
        <v>16814314</v>
      </c>
      <c r="D318">
        <v>15247814</v>
      </c>
      <c r="E318">
        <v>1</v>
      </c>
      <c r="F318">
        <v>1</v>
      </c>
      <c r="G318">
        <v>1</v>
      </c>
      <c r="H318">
        <v>2</v>
      </c>
      <c r="I318" t="s">
        <v>1064</v>
      </c>
      <c r="J318" t="s">
        <v>1065</v>
      </c>
      <c r="K318" t="s">
        <v>1066</v>
      </c>
      <c r="L318">
        <v>1368</v>
      </c>
      <c r="N318">
        <v>1011</v>
      </c>
      <c r="O318" t="s">
        <v>779</v>
      </c>
      <c r="P318" t="s">
        <v>779</v>
      </c>
      <c r="Q318">
        <v>1</v>
      </c>
      <c r="X318">
        <v>3.34</v>
      </c>
      <c r="Y318">
        <v>0</v>
      </c>
      <c r="Z318">
        <v>0.9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3.34</v>
      </c>
      <c r="AH318">
        <v>2</v>
      </c>
      <c r="AI318">
        <v>16814318</v>
      </c>
      <c r="AJ318">
        <v>328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ROW(Source!A204)</f>
        <v>204</v>
      </c>
      <c r="B319">
        <v>16814319</v>
      </c>
      <c r="C319">
        <v>16814314</v>
      </c>
      <c r="D319">
        <v>15247879</v>
      </c>
      <c r="E319">
        <v>1</v>
      </c>
      <c r="F319">
        <v>1</v>
      </c>
      <c r="G319">
        <v>1</v>
      </c>
      <c r="H319">
        <v>2</v>
      </c>
      <c r="I319" t="s">
        <v>1067</v>
      </c>
      <c r="J319" t="s">
        <v>1068</v>
      </c>
      <c r="K319" t="s">
        <v>1069</v>
      </c>
      <c r="L319">
        <v>1368</v>
      </c>
      <c r="N319">
        <v>1011</v>
      </c>
      <c r="O319" t="s">
        <v>779</v>
      </c>
      <c r="P319" t="s">
        <v>779</v>
      </c>
      <c r="Q319">
        <v>1</v>
      </c>
      <c r="X319">
        <v>3.34</v>
      </c>
      <c r="Y319">
        <v>0</v>
      </c>
      <c r="Z319">
        <v>3.28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6</v>
      </c>
      <c r="AG319">
        <v>3.34</v>
      </c>
      <c r="AH319">
        <v>2</v>
      </c>
      <c r="AI319">
        <v>16814319</v>
      </c>
      <c r="AJ319">
        <v>329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ROW(Source!A204)</f>
        <v>204</v>
      </c>
      <c r="B320">
        <v>16814320</v>
      </c>
      <c r="C320">
        <v>16814314</v>
      </c>
      <c r="D320">
        <v>15249073</v>
      </c>
      <c r="E320">
        <v>1</v>
      </c>
      <c r="F320">
        <v>1</v>
      </c>
      <c r="G320">
        <v>1</v>
      </c>
      <c r="H320">
        <v>2</v>
      </c>
      <c r="I320" t="s">
        <v>782</v>
      </c>
      <c r="J320" t="s">
        <v>783</v>
      </c>
      <c r="K320" t="s">
        <v>784</v>
      </c>
      <c r="L320">
        <v>1368</v>
      </c>
      <c r="N320">
        <v>1011</v>
      </c>
      <c r="O320" t="s">
        <v>779</v>
      </c>
      <c r="P320" t="s">
        <v>779</v>
      </c>
      <c r="Q320">
        <v>1</v>
      </c>
      <c r="X320">
        <v>0.2</v>
      </c>
      <c r="Y320">
        <v>0</v>
      </c>
      <c r="Z320">
        <v>65.709999999999994</v>
      </c>
      <c r="AA320">
        <v>11.6</v>
      </c>
      <c r="AB320">
        <v>0</v>
      </c>
      <c r="AC320">
        <v>0</v>
      </c>
      <c r="AD320">
        <v>1</v>
      </c>
      <c r="AE320">
        <v>0</v>
      </c>
      <c r="AF320" t="s">
        <v>6</v>
      </c>
      <c r="AG320">
        <v>0.2</v>
      </c>
      <c r="AH320">
        <v>2</v>
      </c>
      <c r="AI320">
        <v>16814320</v>
      </c>
      <c r="AJ320">
        <v>330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ROW(Source!A204)</f>
        <v>204</v>
      </c>
      <c r="B321">
        <v>16814321</v>
      </c>
      <c r="C321">
        <v>16814314</v>
      </c>
      <c r="D321">
        <v>15167600</v>
      </c>
      <c r="E321">
        <v>1</v>
      </c>
      <c r="F321">
        <v>1</v>
      </c>
      <c r="G321">
        <v>1</v>
      </c>
      <c r="H321">
        <v>3</v>
      </c>
      <c r="I321" t="s">
        <v>1052</v>
      </c>
      <c r="J321" t="s">
        <v>1053</v>
      </c>
      <c r="K321" t="s">
        <v>1054</v>
      </c>
      <c r="L321">
        <v>1308</v>
      </c>
      <c r="N321">
        <v>1003</v>
      </c>
      <c r="O321" t="s">
        <v>39</v>
      </c>
      <c r="P321" t="s">
        <v>39</v>
      </c>
      <c r="Q321">
        <v>100</v>
      </c>
      <c r="X321">
        <v>2.4500000000000001E-2</v>
      </c>
      <c r="Y321">
        <v>120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6</v>
      </c>
      <c r="AG321">
        <v>2.4500000000000001E-2</v>
      </c>
      <c r="AH321">
        <v>2</v>
      </c>
      <c r="AI321">
        <v>16814321</v>
      </c>
      <c r="AJ321">
        <v>331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ROW(Source!A204)</f>
        <v>204</v>
      </c>
      <c r="B322">
        <v>16814322</v>
      </c>
      <c r="C322">
        <v>16814314</v>
      </c>
      <c r="D322">
        <v>15170438</v>
      </c>
      <c r="E322">
        <v>1</v>
      </c>
      <c r="F322">
        <v>1</v>
      </c>
      <c r="G322">
        <v>1</v>
      </c>
      <c r="H322">
        <v>3</v>
      </c>
      <c r="I322" t="s">
        <v>986</v>
      </c>
      <c r="J322" t="s">
        <v>987</v>
      </c>
      <c r="K322" t="s">
        <v>988</v>
      </c>
      <c r="L322">
        <v>1348</v>
      </c>
      <c r="N322">
        <v>1009</v>
      </c>
      <c r="O322" t="s">
        <v>145</v>
      </c>
      <c r="P322" t="s">
        <v>145</v>
      </c>
      <c r="Q322">
        <v>1000</v>
      </c>
      <c r="X322">
        <v>6.2E-4</v>
      </c>
      <c r="Y322">
        <v>12430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6</v>
      </c>
      <c r="AG322">
        <v>6.2E-4</v>
      </c>
      <c r="AH322">
        <v>2</v>
      </c>
      <c r="AI322">
        <v>16814322</v>
      </c>
      <c r="AJ322">
        <v>332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ROW(Source!A204)</f>
        <v>204</v>
      </c>
      <c r="B323">
        <v>16814323</v>
      </c>
      <c r="C323">
        <v>16814314</v>
      </c>
      <c r="D323">
        <v>15195042</v>
      </c>
      <c r="E323">
        <v>1</v>
      </c>
      <c r="F323">
        <v>1</v>
      </c>
      <c r="G323">
        <v>1</v>
      </c>
      <c r="H323">
        <v>3</v>
      </c>
      <c r="I323" t="s">
        <v>1070</v>
      </c>
      <c r="J323" t="s">
        <v>1071</v>
      </c>
      <c r="K323" t="s">
        <v>1072</v>
      </c>
      <c r="L323">
        <v>1346</v>
      </c>
      <c r="N323">
        <v>1009</v>
      </c>
      <c r="O323" t="s">
        <v>277</v>
      </c>
      <c r="P323" t="s">
        <v>277</v>
      </c>
      <c r="Q323">
        <v>1</v>
      </c>
      <c r="X323">
        <v>0.25</v>
      </c>
      <c r="Y323">
        <v>68.05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0.25</v>
      </c>
      <c r="AH323">
        <v>2</v>
      </c>
      <c r="AI323">
        <v>16814323</v>
      </c>
      <c r="AJ323">
        <v>333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ROW(Source!A204)</f>
        <v>204</v>
      </c>
      <c r="B324">
        <v>16814324</v>
      </c>
      <c r="C324">
        <v>16814314</v>
      </c>
      <c r="D324">
        <v>15203871</v>
      </c>
      <c r="E324">
        <v>1</v>
      </c>
      <c r="F324">
        <v>1</v>
      </c>
      <c r="G324">
        <v>1</v>
      </c>
      <c r="H324">
        <v>3</v>
      </c>
      <c r="I324" t="s">
        <v>1073</v>
      </c>
      <c r="J324" t="s">
        <v>1074</v>
      </c>
      <c r="K324" t="s">
        <v>1075</v>
      </c>
      <c r="L324">
        <v>1348</v>
      </c>
      <c r="N324">
        <v>1009</v>
      </c>
      <c r="O324" t="s">
        <v>145</v>
      </c>
      <c r="P324" t="s">
        <v>145</v>
      </c>
      <c r="Q324">
        <v>1000</v>
      </c>
      <c r="X324">
        <v>7.2000000000000005E-4</v>
      </c>
      <c r="Y324">
        <v>7826.9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7.2000000000000005E-4</v>
      </c>
      <c r="AH324">
        <v>2</v>
      </c>
      <c r="AI324">
        <v>16814324</v>
      </c>
      <c r="AJ324">
        <v>334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ROW(Source!A204)</f>
        <v>204</v>
      </c>
      <c r="B325">
        <v>16814325</v>
      </c>
      <c r="C325">
        <v>16814314</v>
      </c>
      <c r="D325">
        <v>15164559</v>
      </c>
      <c r="E325">
        <v>17</v>
      </c>
      <c r="F325">
        <v>1</v>
      </c>
      <c r="G325">
        <v>1</v>
      </c>
      <c r="H325">
        <v>3</v>
      </c>
      <c r="I325" t="s">
        <v>989</v>
      </c>
      <c r="J325" t="s">
        <v>6</v>
      </c>
      <c r="K325" t="s">
        <v>990</v>
      </c>
      <c r="L325">
        <v>1374</v>
      </c>
      <c r="N325">
        <v>1013</v>
      </c>
      <c r="O325" t="s">
        <v>991</v>
      </c>
      <c r="P325" t="s">
        <v>991</v>
      </c>
      <c r="Q325">
        <v>1</v>
      </c>
      <c r="X325">
        <v>2.72</v>
      </c>
      <c r="Y325">
        <v>1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2.72</v>
      </c>
      <c r="AH325">
        <v>2</v>
      </c>
      <c r="AI325">
        <v>16814325</v>
      </c>
      <c r="AJ325">
        <v>336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ROW(Source!A206)</f>
        <v>206</v>
      </c>
      <c r="B326">
        <v>16813648</v>
      </c>
      <c r="C326">
        <v>16813638</v>
      </c>
      <c r="D326">
        <v>15446300</v>
      </c>
      <c r="E326">
        <v>1</v>
      </c>
      <c r="F326">
        <v>1</v>
      </c>
      <c r="G326">
        <v>1</v>
      </c>
      <c r="H326">
        <v>1</v>
      </c>
      <c r="I326" t="s">
        <v>780</v>
      </c>
      <c r="J326" t="s">
        <v>6</v>
      </c>
      <c r="K326" t="s">
        <v>781</v>
      </c>
      <c r="L326">
        <v>1191</v>
      </c>
      <c r="N326">
        <v>1013</v>
      </c>
      <c r="O326" t="s">
        <v>773</v>
      </c>
      <c r="P326" t="s">
        <v>773</v>
      </c>
      <c r="Q326">
        <v>1</v>
      </c>
      <c r="X326">
        <v>35.130000000000003</v>
      </c>
      <c r="Y326">
        <v>0</v>
      </c>
      <c r="Z326">
        <v>0</v>
      </c>
      <c r="AA326">
        <v>0</v>
      </c>
      <c r="AB326">
        <v>9.92</v>
      </c>
      <c r="AC326">
        <v>0</v>
      </c>
      <c r="AD326">
        <v>1</v>
      </c>
      <c r="AE326">
        <v>1</v>
      </c>
      <c r="AF326" t="s">
        <v>6</v>
      </c>
      <c r="AG326">
        <v>35.130000000000003</v>
      </c>
      <c r="AH326">
        <v>2</v>
      </c>
      <c r="AI326">
        <v>16813639</v>
      </c>
      <c r="AJ326">
        <v>337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ROW(Source!A206)</f>
        <v>206</v>
      </c>
      <c r="B327">
        <v>16813649</v>
      </c>
      <c r="C327">
        <v>16813638</v>
      </c>
      <c r="D327">
        <v>15430395</v>
      </c>
      <c r="E327">
        <v>1</v>
      </c>
      <c r="F327">
        <v>1</v>
      </c>
      <c r="G327">
        <v>1</v>
      </c>
      <c r="H327">
        <v>1</v>
      </c>
      <c r="I327" t="s">
        <v>774</v>
      </c>
      <c r="J327" t="s">
        <v>6</v>
      </c>
      <c r="K327" t="s">
        <v>775</v>
      </c>
      <c r="L327">
        <v>1191</v>
      </c>
      <c r="N327">
        <v>1013</v>
      </c>
      <c r="O327" t="s">
        <v>773</v>
      </c>
      <c r="P327" t="s">
        <v>773</v>
      </c>
      <c r="Q327">
        <v>1</v>
      </c>
      <c r="X327">
        <v>0.05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2</v>
      </c>
      <c r="AF327" t="s">
        <v>6</v>
      </c>
      <c r="AG327">
        <v>0.05</v>
      </c>
      <c r="AH327">
        <v>2</v>
      </c>
      <c r="AI327">
        <v>16813640</v>
      </c>
      <c r="AJ327">
        <v>338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ROW(Source!A206)</f>
        <v>206</v>
      </c>
      <c r="B328">
        <v>16813650</v>
      </c>
      <c r="C328">
        <v>16813638</v>
      </c>
      <c r="D328">
        <v>15247680</v>
      </c>
      <c r="E328">
        <v>1</v>
      </c>
      <c r="F328">
        <v>1</v>
      </c>
      <c r="G328">
        <v>1</v>
      </c>
      <c r="H328">
        <v>2</v>
      </c>
      <c r="I328" t="s">
        <v>959</v>
      </c>
      <c r="J328" t="s">
        <v>960</v>
      </c>
      <c r="K328" t="s">
        <v>961</v>
      </c>
      <c r="L328">
        <v>1368</v>
      </c>
      <c r="N328">
        <v>1011</v>
      </c>
      <c r="O328" t="s">
        <v>779</v>
      </c>
      <c r="P328" t="s">
        <v>779</v>
      </c>
      <c r="Q328">
        <v>1</v>
      </c>
      <c r="X328">
        <v>0.03</v>
      </c>
      <c r="Y328">
        <v>0</v>
      </c>
      <c r="Z328">
        <v>111.99</v>
      </c>
      <c r="AA328">
        <v>13.5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0.03</v>
      </c>
      <c r="AH328">
        <v>2</v>
      </c>
      <c r="AI328">
        <v>16813641</v>
      </c>
      <c r="AJ328">
        <v>339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ROW(Source!A206)</f>
        <v>206</v>
      </c>
      <c r="B329">
        <v>16813651</v>
      </c>
      <c r="C329">
        <v>16813638</v>
      </c>
      <c r="D329">
        <v>15249073</v>
      </c>
      <c r="E329">
        <v>1</v>
      </c>
      <c r="F329">
        <v>1</v>
      </c>
      <c r="G329">
        <v>1</v>
      </c>
      <c r="H329">
        <v>2</v>
      </c>
      <c r="I329" t="s">
        <v>782</v>
      </c>
      <c r="J329" t="s">
        <v>783</v>
      </c>
      <c r="K329" t="s">
        <v>784</v>
      </c>
      <c r="L329">
        <v>1368</v>
      </c>
      <c r="N329">
        <v>1011</v>
      </c>
      <c r="O329" t="s">
        <v>779</v>
      </c>
      <c r="P329" t="s">
        <v>779</v>
      </c>
      <c r="Q329">
        <v>1</v>
      </c>
      <c r="X329">
        <v>0.02</v>
      </c>
      <c r="Y329">
        <v>0</v>
      </c>
      <c r="Z329">
        <v>65.709999999999994</v>
      </c>
      <c r="AA329">
        <v>11.6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0.02</v>
      </c>
      <c r="AH329">
        <v>2</v>
      </c>
      <c r="AI329">
        <v>16813642</v>
      </c>
      <c r="AJ329">
        <v>340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ROW(Source!A206)</f>
        <v>206</v>
      </c>
      <c r="B330">
        <v>16813652</v>
      </c>
      <c r="C330">
        <v>16813638</v>
      </c>
      <c r="D330">
        <v>15170074</v>
      </c>
      <c r="E330">
        <v>1</v>
      </c>
      <c r="F330">
        <v>1</v>
      </c>
      <c r="G330">
        <v>1</v>
      </c>
      <c r="H330">
        <v>3</v>
      </c>
      <c r="I330" t="s">
        <v>1015</v>
      </c>
      <c r="J330" t="s">
        <v>1016</v>
      </c>
      <c r="K330" t="s">
        <v>1017</v>
      </c>
      <c r="L330">
        <v>1355</v>
      </c>
      <c r="N330">
        <v>1010</v>
      </c>
      <c r="O330" t="s">
        <v>188</v>
      </c>
      <c r="P330" t="s">
        <v>188</v>
      </c>
      <c r="Q330">
        <v>100</v>
      </c>
      <c r="X330">
        <v>1.02</v>
      </c>
      <c r="Y330">
        <v>86</v>
      </c>
      <c r="Z330">
        <v>0</v>
      </c>
      <c r="AA330">
        <v>0</v>
      </c>
      <c r="AB330">
        <v>0</v>
      </c>
      <c r="AC330">
        <v>0</v>
      </c>
      <c r="AD330">
        <v>1</v>
      </c>
      <c r="AE330">
        <v>0</v>
      </c>
      <c r="AF330" t="s">
        <v>6</v>
      </c>
      <c r="AG330">
        <v>1.02</v>
      </c>
      <c r="AH330">
        <v>2</v>
      </c>
      <c r="AI330">
        <v>16813643</v>
      </c>
      <c r="AJ330">
        <v>341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ROW(Source!A206)</f>
        <v>206</v>
      </c>
      <c r="B331">
        <v>16813653</v>
      </c>
      <c r="C331">
        <v>16813638</v>
      </c>
      <c r="D331">
        <v>15170434</v>
      </c>
      <c r="E331">
        <v>1</v>
      </c>
      <c r="F331">
        <v>1</v>
      </c>
      <c r="G331">
        <v>1</v>
      </c>
      <c r="H331">
        <v>3</v>
      </c>
      <c r="I331" t="s">
        <v>1076</v>
      </c>
      <c r="J331" t="s">
        <v>1077</v>
      </c>
      <c r="K331" t="s">
        <v>1078</v>
      </c>
      <c r="L331">
        <v>1348</v>
      </c>
      <c r="N331">
        <v>1009</v>
      </c>
      <c r="O331" t="s">
        <v>145</v>
      </c>
      <c r="P331" t="s">
        <v>145</v>
      </c>
      <c r="Q331">
        <v>1000</v>
      </c>
      <c r="X331">
        <v>1.6000000000000001E-4</v>
      </c>
      <c r="Y331">
        <v>29800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0</v>
      </c>
      <c r="AF331" t="s">
        <v>6</v>
      </c>
      <c r="AG331">
        <v>1.6000000000000001E-4</v>
      </c>
      <c r="AH331">
        <v>2</v>
      </c>
      <c r="AI331">
        <v>16813644</v>
      </c>
      <c r="AJ331">
        <v>342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ROW(Source!A206)</f>
        <v>206</v>
      </c>
      <c r="B332">
        <v>16813654</v>
      </c>
      <c r="C332">
        <v>16813638</v>
      </c>
      <c r="D332">
        <v>15170438</v>
      </c>
      <c r="E332">
        <v>1</v>
      </c>
      <c r="F332">
        <v>1</v>
      </c>
      <c r="G332">
        <v>1</v>
      </c>
      <c r="H332">
        <v>3</v>
      </c>
      <c r="I332" t="s">
        <v>986</v>
      </c>
      <c r="J332" t="s">
        <v>987</v>
      </c>
      <c r="K332" t="s">
        <v>988</v>
      </c>
      <c r="L332">
        <v>1348</v>
      </c>
      <c r="N332">
        <v>1009</v>
      </c>
      <c r="O332" t="s">
        <v>145</v>
      </c>
      <c r="P332" t="s">
        <v>145</v>
      </c>
      <c r="Q332">
        <v>1000</v>
      </c>
      <c r="X332">
        <v>2.9999999999999997E-4</v>
      </c>
      <c r="Y332">
        <v>12430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6</v>
      </c>
      <c r="AG332">
        <v>2.9999999999999997E-4</v>
      </c>
      <c r="AH332">
        <v>2</v>
      </c>
      <c r="AI332">
        <v>16813645</v>
      </c>
      <c r="AJ332">
        <v>343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ROW(Source!A206)</f>
        <v>206</v>
      </c>
      <c r="B333">
        <v>16813655</v>
      </c>
      <c r="C333">
        <v>16813638</v>
      </c>
      <c r="D333">
        <v>15164559</v>
      </c>
      <c r="E333">
        <v>17</v>
      </c>
      <c r="F333">
        <v>1</v>
      </c>
      <c r="G333">
        <v>1</v>
      </c>
      <c r="H333">
        <v>3</v>
      </c>
      <c r="I333" t="s">
        <v>989</v>
      </c>
      <c r="J333" t="s">
        <v>6</v>
      </c>
      <c r="K333" t="s">
        <v>990</v>
      </c>
      <c r="L333">
        <v>1374</v>
      </c>
      <c r="N333">
        <v>1013</v>
      </c>
      <c r="O333" t="s">
        <v>991</v>
      </c>
      <c r="P333" t="s">
        <v>991</v>
      </c>
      <c r="Q333">
        <v>1</v>
      </c>
      <c r="X333">
        <v>6.97</v>
      </c>
      <c r="Y333">
        <v>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6</v>
      </c>
      <c r="AG333">
        <v>6.97</v>
      </c>
      <c r="AH333">
        <v>2</v>
      </c>
      <c r="AI333">
        <v>16813646</v>
      </c>
      <c r="AJ333">
        <v>345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ROW(Source!A208)</f>
        <v>208</v>
      </c>
      <c r="B334">
        <v>16813669</v>
      </c>
      <c r="C334">
        <v>16813657</v>
      </c>
      <c r="D334">
        <v>15446300</v>
      </c>
      <c r="E334">
        <v>1</v>
      </c>
      <c r="F334">
        <v>1</v>
      </c>
      <c r="G334">
        <v>1</v>
      </c>
      <c r="H334">
        <v>1</v>
      </c>
      <c r="I334" t="s">
        <v>780</v>
      </c>
      <c r="J334" t="s">
        <v>6</v>
      </c>
      <c r="K334" t="s">
        <v>781</v>
      </c>
      <c r="L334">
        <v>1191</v>
      </c>
      <c r="N334">
        <v>1013</v>
      </c>
      <c r="O334" t="s">
        <v>773</v>
      </c>
      <c r="P334" t="s">
        <v>773</v>
      </c>
      <c r="Q334">
        <v>1</v>
      </c>
      <c r="X334">
        <v>34.56</v>
      </c>
      <c r="Y334">
        <v>0</v>
      </c>
      <c r="Z334">
        <v>0</v>
      </c>
      <c r="AA334">
        <v>0</v>
      </c>
      <c r="AB334">
        <v>9.92</v>
      </c>
      <c r="AC334">
        <v>0</v>
      </c>
      <c r="AD334">
        <v>1</v>
      </c>
      <c r="AE334">
        <v>1</v>
      </c>
      <c r="AF334" t="s">
        <v>6</v>
      </c>
      <c r="AG334">
        <v>34.56</v>
      </c>
      <c r="AH334">
        <v>2</v>
      </c>
      <c r="AI334">
        <v>16813658</v>
      </c>
      <c r="AJ334">
        <v>346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ROW(Source!A208)</f>
        <v>208</v>
      </c>
      <c r="B335">
        <v>16813670</v>
      </c>
      <c r="C335">
        <v>16813657</v>
      </c>
      <c r="D335">
        <v>15430395</v>
      </c>
      <c r="E335">
        <v>1</v>
      </c>
      <c r="F335">
        <v>1</v>
      </c>
      <c r="G335">
        <v>1</v>
      </c>
      <c r="H335">
        <v>1</v>
      </c>
      <c r="I335" t="s">
        <v>774</v>
      </c>
      <c r="J335" t="s">
        <v>6</v>
      </c>
      <c r="K335" t="s">
        <v>775</v>
      </c>
      <c r="L335">
        <v>1191</v>
      </c>
      <c r="N335">
        <v>1013</v>
      </c>
      <c r="O335" t="s">
        <v>773</v>
      </c>
      <c r="P335" t="s">
        <v>773</v>
      </c>
      <c r="Q335">
        <v>1</v>
      </c>
      <c r="X335">
        <v>0.05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2</v>
      </c>
      <c r="AF335" t="s">
        <v>6</v>
      </c>
      <c r="AG335">
        <v>0.05</v>
      </c>
      <c r="AH335">
        <v>2</v>
      </c>
      <c r="AI335">
        <v>16813659</v>
      </c>
      <c r="AJ335">
        <v>347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ROW(Source!A208)</f>
        <v>208</v>
      </c>
      <c r="B336">
        <v>16813671</v>
      </c>
      <c r="C336">
        <v>16813657</v>
      </c>
      <c r="D336">
        <v>15247680</v>
      </c>
      <c r="E336">
        <v>1</v>
      </c>
      <c r="F336">
        <v>1</v>
      </c>
      <c r="G336">
        <v>1</v>
      </c>
      <c r="H336">
        <v>2</v>
      </c>
      <c r="I336" t="s">
        <v>959</v>
      </c>
      <c r="J336" t="s">
        <v>960</v>
      </c>
      <c r="K336" t="s">
        <v>961</v>
      </c>
      <c r="L336">
        <v>1368</v>
      </c>
      <c r="N336">
        <v>1011</v>
      </c>
      <c r="O336" t="s">
        <v>779</v>
      </c>
      <c r="P336" t="s">
        <v>779</v>
      </c>
      <c r="Q336">
        <v>1</v>
      </c>
      <c r="X336">
        <v>0.03</v>
      </c>
      <c r="Y336">
        <v>0</v>
      </c>
      <c r="Z336">
        <v>111.99</v>
      </c>
      <c r="AA336">
        <v>13.5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0.03</v>
      </c>
      <c r="AH336">
        <v>2</v>
      </c>
      <c r="AI336">
        <v>16813660</v>
      </c>
      <c r="AJ336">
        <v>348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ROW(Source!A208)</f>
        <v>208</v>
      </c>
      <c r="B337">
        <v>16813672</v>
      </c>
      <c r="C337">
        <v>16813657</v>
      </c>
      <c r="D337">
        <v>15249073</v>
      </c>
      <c r="E337">
        <v>1</v>
      </c>
      <c r="F337">
        <v>1</v>
      </c>
      <c r="G337">
        <v>1</v>
      </c>
      <c r="H337">
        <v>2</v>
      </c>
      <c r="I337" t="s">
        <v>782</v>
      </c>
      <c r="J337" t="s">
        <v>783</v>
      </c>
      <c r="K337" t="s">
        <v>784</v>
      </c>
      <c r="L337">
        <v>1368</v>
      </c>
      <c r="N337">
        <v>1011</v>
      </c>
      <c r="O337" t="s">
        <v>779</v>
      </c>
      <c r="P337" t="s">
        <v>779</v>
      </c>
      <c r="Q337">
        <v>1</v>
      </c>
      <c r="X337">
        <v>0.02</v>
      </c>
      <c r="Y337">
        <v>0</v>
      </c>
      <c r="Z337">
        <v>65.709999999999994</v>
      </c>
      <c r="AA337">
        <v>11.6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0.02</v>
      </c>
      <c r="AH337">
        <v>2</v>
      </c>
      <c r="AI337">
        <v>16813661</v>
      </c>
      <c r="AJ337">
        <v>349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ROW(Source!A208)</f>
        <v>208</v>
      </c>
      <c r="B338">
        <v>16813673</v>
      </c>
      <c r="C338">
        <v>16813657</v>
      </c>
      <c r="D338">
        <v>15167588</v>
      </c>
      <c r="E338">
        <v>1</v>
      </c>
      <c r="F338">
        <v>1</v>
      </c>
      <c r="G338">
        <v>1</v>
      </c>
      <c r="H338">
        <v>3</v>
      </c>
      <c r="I338" t="s">
        <v>1006</v>
      </c>
      <c r="J338" t="s">
        <v>1007</v>
      </c>
      <c r="K338" t="s">
        <v>1008</v>
      </c>
      <c r="L338">
        <v>1346</v>
      </c>
      <c r="N338">
        <v>1009</v>
      </c>
      <c r="O338" t="s">
        <v>277</v>
      </c>
      <c r="P338" t="s">
        <v>277</v>
      </c>
      <c r="Q338">
        <v>1</v>
      </c>
      <c r="X338">
        <v>0.11</v>
      </c>
      <c r="Y338">
        <v>30.4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6</v>
      </c>
      <c r="AG338">
        <v>0.11</v>
      </c>
      <c r="AH338">
        <v>2</v>
      </c>
      <c r="AI338">
        <v>16813662</v>
      </c>
      <c r="AJ338">
        <v>350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ROW(Source!A208)</f>
        <v>208</v>
      </c>
      <c r="B339">
        <v>16813674</v>
      </c>
      <c r="C339">
        <v>16813657</v>
      </c>
      <c r="D339">
        <v>15170074</v>
      </c>
      <c r="E339">
        <v>1</v>
      </c>
      <c r="F339">
        <v>1</v>
      </c>
      <c r="G339">
        <v>1</v>
      </c>
      <c r="H339">
        <v>3</v>
      </c>
      <c r="I339" t="s">
        <v>1015</v>
      </c>
      <c r="J339" t="s">
        <v>1016</v>
      </c>
      <c r="K339" t="s">
        <v>1017</v>
      </c>
      <c r="L339">
        <v>1355</v>
      </c>
      <c r="N339">
        <v>1010</v>
      </c>
      <c r="O339" t="s">
        <v>188</v>
      </c>
      <c r="P339" t="s">
        <v>188</v>
      </c>
      <c r="Q339">
        <v>100</v>
      </c>
      <c r="X339">
        <v>1.02</v>
      </c>
      <c r="Y339">
        <v>86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1.02</v>
      </c>
      <c r="AH339">
        <v>2</v>
      </c>
      <c r="AI339">
        <v>16813663</v>
      </c>
      <c r="AJ339">
        <v>351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ROW(Source!A208)</f>
        <v>208</v>
      </c>
      <c r="B340">
        <v>16813675</v>
      </c>
      <c r="C340">
        <v>16813657</v>
      </c>
      <c r="D340">
        <v>15170434</v>
      </c>
      <c r="E340">
        <v>1</v>
      </c>
      <c r="F340">
        <v>1</v>
      </c>
      <c r="G340">
        <v>1</v>
      </c>
      <c r="H340">
        <v>3</v>
      </c>
      <c r="I340" t="s">
        <v>1076</v>
      </c>
      <c r="J340" t="s">
        <v>1077</v>
      </c>
      <c r="K340" t="s">
        <v>1078</v>
      </c>
      <c r="L340">
        <v>1348</v>
      </c>
      <c r="N340">
        <v>1009</v>
      </c>
      <c r="O340" t="s">
        <v>145</v>
      </c>
      <c r="P340" t="s">
        <v>145</v>
      </c>
      <c r="Q340">
        <v>1000</v>
      </c>
      <c r="X340">
        <v>1.6000000000000001E-4</v>
      </c>
      <c r="Y340">
        <v>29800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1.6000000000000001E-4</v>
      </c>
      <c r="AH340">
        <v>2</v>
      </c>
      <c r="AI340">
        <v>16813664</v>
      </c>
      <c r="AJ340">
        <v>352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ROW(Source!A208)</f>
        <v>208</v>
      </c>
      <c r="B341">
        <v>16813676</v>
      </c>
      <c r="C341">
        <v>16813657</v>
      </c>
      <c r="D341">
        <v>15170438</v>
      </c>
      <c r="E341">
        <v>1</v>
      </c>
      <c r="F341">
        <v>1</v>
      </c>
      <c r="G341">
        <v>1</v>
      </c>
      <c r="H341">
        <v>3</v>
      </c>
      <c r="I341" t="s">
        <v>986</v>
      </c>
      <c r="J341" t="s">
        <v>987</v>
      </c>
      <c r="K341" t="s">
        <v>988</v>
      </c>
      <c r="L341">
        <v>1348</v>
      </c>
      <c r="N341">
        <v>1009</v>
      </c>
      <c r="O341" t="s">
        <v>145</v>
      </c>
      <c r="P341" t="s">
        <v>145</v>
      </c>
      <c r="Q341">
        <v>1000</v>
      </c>
      <c r="X341">
        <v>2.9999999999999997E-4</v>
      </c>
      <c r="Y341">
        <v>12430</v>
      </c>
      <c r="Z341">
        <v>0</v>
      </c>
      <c r="AA341">
        <v>0</v>
      </c>
      <c r="AB341">
        <v>0</v>
      </c>
      <c r="AC341">
        <v>0</v>
      </c>
      <c r="AD341">
        <v>1</v>
      </c>
      <c r="AE341">
        <v>0</v>
      </c>
      <c r="AF341" t="s">
        <v>6</v>
      </c>
      <c r="AG341">
        <v>2.9999999999999997E-4</v>
      </c>
      <c r="AH341">
        <v>2</v>
      </c>
      <c r="AI341">
        <v>16813665</v>
      </c>
      <c r="AJ341">
        <v>353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ROW(Source!A208)</f>
        <v>208</v>
      </c>
      <c r="B342">
        <v>16813677</v>
      </c>
      <c r="C342">
        <v>16813657</v>
      </c>
      <c r="D342">
        <v>15164559</v>
      </c>
      <c r="E342">
        <v>17</v>
      </c>
      <c r="F342">
        <v>1</v>
      </c>
      <c r="G342">
        <v>1</v>
      </c>
      <c r="H342">
        <v>3</v>
      </c>
      <c r="I342" t="s">
        <v>989</v>
      </c>
      <c r="J342" t="s">
        <v>6</v>
      </c>
      <c r="K342" t="s">
        <v>990</v>
      </c>
      <c r="L342">
        <v>1374</v>
      </c>
      <c r="N342">
        <v>1013</v>
      </c>
      <c r="O342" t="s">
        <v>991</v>
      </c>
      <c r="P342" t="s">
        <v>991</v>
      </c>
      <c r="Q342">
        <v>1</v>
      </c>
      <c r="X342">
        <v>6.86</v>
      </c>
      <c r="Y342">
        <v>1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6</v>
      </c>
      <c r="AG342">
        <v>6.86</v>
      </c>
      <c r="AH342">
        <v>2</v>
      </c>
      <c r="AI342">
        <v>16813666</v>
      </c>
      <c r="AJ342">
        <v>356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ROW(Source!A211)</f>
        <v>211</v>
      </c>
      <c r="B343">
        <v>16813690</v>
      </c>
      <c r="C343">
        <v>16813680</v>
      </c>
      <c r="D343">
        <v>15442878</v>
      </c>
      <c r="E343">
        <v>1</v>
      </c>
      <c r="F343">
        <v>1</v>
      </c>
      <c r="G343">
        <v>1</v>
      </c>
      <c r="H343">
        <v>1</v>
      </c>
      <c r="I343" t="s">
        <v>1079</v>
      </c>
      <c r="J343" t="s">
        <v>6</v>
      </c>
      <c r="K343" t="s">
        <v>1080</v>
      </c>
      <c r="L343">
        <v>1191</v>
      </c>
      <c r="N343">
        <v>1013</v>
      </c>
      <c r="O343" t="s">
        <v>773</v>
      </c>
      <c r="P343" t="s">
        <v>773</v>
      </c>
      <c r="Q343">
        <v>1</v>
      </c>
      <c r="X343">
        <v>0.9</v>
      </c>
      <c r="Y343">
        <v>0</v>
      </c>
      <c r="Z343">
        <v>0</v>
      </c>
      <c r="AA343">
        <v>0</v>
      </c>
      <c r="AB343">
        <v>10.5</v>
      </c>
      <c r="AC343">
        <v>0</v>
      </c>
      <c r="AD343">
        <v>1</v>
      </c>
      <c r="AE343">
        <v>1</v>
      </c>
      <c r="AF343" t="s">
        <v>6</v>
      </c>
      <c r="AG343">
        <v>0.9</v>
      </c>
      <c r="AH343">
        <v>2</v>
      </c>
      <c r="AI343">
        <v>16813681</v>
      </c>
      <c r="AJ343">
        <v>357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ROW(Source!A211)</f>
        <v>211</v>
      </c>
      <c r="B344">
        <v>16813691</v>
      </c>
      <c r="C344">
        <v>16813680</v>
      </c>
      <c r="D344">
        <v>15430395</v>
      </c>
      <c r="E344">
        <v>1</v>
      </c>
      <c r="F344">
        <v>1</v>
      </c>
      <c r="G344">
        <v>1</v>
      </c>
      <c r="H344">
        <v>1</v>
      </c>
      <c r="I344" t="s">
        <v>774</v>
      </c>
      <c r="J344" t="s">
        <v>6</v>
      </c>
      <c r="K344" t="s">
        <v>775</v>
      </c>
      <c r="L344">
        <v>1191</v>
      </c>
      <c r="N344">
        <v>1013</v>
      </c>
      <c r="O344" t="s">
        <v>773</v>
      </c>
      <c r="P344" t="s">
        <v>773</v>
      </c>
      <c r="Q344">
        <v>1</v>
      </c>
      <c r="X344">
        <v>0.2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2</v>
      </c>
      <c r="AF344" t="s">
        <v>6</v>
      </c>
      <c r="AG344">
        <v>0.2</v>
      </c>
      <c r="AH344">
        <v>2</v>
      </c>
      <c r="AI344">
        <v>16813682</v>
      </c>
      <c r="AJ344">
        <v>358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ROW(Source!A211)</f>
        <v>211</v>
      </c>
      <c r="B345">
        <v>16813692</v>
      </c>
      <c r="C345">
        <v>16813680</v>
      </c>
      <c r="D345">
        <v>15247680</v>
      </c>
      <c r="E345">
        <v>1</v>
      </c>
      <c r="F345">
        <v>1</v>
      </c>
      <c r="G345">
        <v>1</v>
      </c>
      <c r="H345">
        <v>2</v>
      </c>
      <c r="I345" t="s">
        <v>959</v>
      </c>
      <c r="J345" t="s">
        <v>960</v>
      </c>
      <c r="K345" t="s">
        <v>961</v>
      </c>
      <c r="L345">
        <v>1368</v>
      </c>
      <c r="N345">
        <v>1011</v>
      </c>
      <c r="O345" t="s">
        <v>779</v>
      </c>
      <c r="P345" t="s">
        <v>779</v>
      </c>
      <c r="Q345">
        <v>1</v>
      </c>
      <c r="X345">
        <v>0.1</v>
      </c>
      <c r="Y345">
        <v>0</v>
      </c>
      <c r="Z345">
        <v>111.99</v>
      </c>
      <c r="AA345">
        <v>13.5</v>
      </c>
      <c r="AB345">
        <v>0</v>
      </c>
      <c r="AC345">
        <v>0</v>
      </c>
      <c r="AD345">
        <v>1</v>
      </c>
      <c r="AE345">
        <v>0</v>
      </c>
      <c r="AF345" t="s">
        <v>6</v>
      </c>
      <c r="AG345">
        <v>0.1</v>
      </c>
      <c r="AH345">
        <v>2</v>
      </c>
      <c r="AI345">
        <v>16813683</v>
      </c>
      <c r="AJ345">
        <v>359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ROW(Source!A211)</f>
        <v>211</v>
      </c>
      <c r="B346">
        <v>16813693</v>
      </c>
      <c r="C346">
        <v>16813680</v>
      </c>
      <c r="D346">
        <v>15249073</v>
      </c>
      <c r="E346">
        <v>1</v>
      </c>
      <c r="F346">
        <v>1</v>
      </c>
      <c r="G346">
        <v>1</v>
      </c>
      <c r="H346">
        <v>2</v>
      </c>
      <c r="I346" t="s">
        <v>782</v>
      </c>
      <c r="J346" t="s">
        <v>783</v>
      </c>
      <c r="K346" t="s">
        <v>784</v>
      </c>
      <c r="L346">
        <v>1368</v>
      </c>
      <c r="N346">
        <v>1011</v>
      </c>
      <c r="O346" t="s">
        <v>779</v>
      </c>
      <c r="P346" t="s">
        <v>779</v>
      </c>
      <c r="Q346">
        <v>1</v>
      </c>
      <c r="X346">
        <v>0.1</v>
      </c>
      <c r="Y346">
        <v>0</v>
      </c>
      <c r="Z346">
        <v>65.709999999999994</v>
      </c>
      <c r="AA346">
        <v>11.6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0.1</v>
      </c>
      <c r="AH346">
        <v>2</v>
      </c>
      <c r="AI346">
        <v>16813684</v>
      </c>
      <c r="AJ346">
        <v>360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ROW(Source!A211)</f>
        <v>211</v>
      </c>
      <c r="B347">
        <v>16813694</v>
      </c>
      <c r="C347">
        <v>16813680</v>
      </c>
      <c r="D347">
        <v>15167588</v>
      </c>
      <c r="E347">
        <v>1</v>
      </c>
      <c r="F347">
        <v>1</v>
      </c>
      <c r="G347">
        <v>1</v>
      </c>
      <c r="H347">
        <v>3</v>
      </c>
      <c r="I347" t="s">
        <v>1006</v>
      </c>
      <c r="J347" t="s">
        <v>1007</v>
      </c>
      <c r="K347" t="s">
        <v>1008</v>
      </c>
      <c r="L347">
        <v>1346</v>
      </c>
      <c r="N347">
        <v>1009</v>
      </c>
      <c r="O347" t="s">
        <v>277</v>
      </c>
      <c r="P347" t="s">
        <v>277</v>
      </c>
      <c r="Q347">
        <v>1</v>
      </c>
      <c r="X347">
        <v>0.01</v>
      </c>
      <c r="Y347">
        <v>30.4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6</v>
      </c>
      <c r="AG347">
        <v>0.01</v>
      </c>
      <c r="AH347">
        <v>2</v>
      </c>
      <c r="AI347">
        <v>16813685</v>
      </c>
      <c r="AJ347">
        <v>361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ROW(Source!A211)</f>
        <v>211</v>
      </c>
      <c r="B348">
        <v>16813695</v>
      </c>
      <c r="C348">
        <v>16813680</v>
      </c>
      <c r="D348">
        <v>15169942</v>
      </c>
      <c r="E348">
        <v>1</v>
      </c>
      <c r="F348">
        <v>1</v>
      </c>
      <c r="G348">
        <v>1</v>
      </c>
      <c r="H348">
        <v>3</v>
      </c>
      <c r="I348" t="s">
        <v>1012</v>
      </c>
      <c r="J348" t="s">
        <v>1013</v>
      </c>
      <c r="K348" t="s">
        <v>1014</v>
      </c>
      <c r="L348">
        <v>1346</v>
      </c>
      <c r="N348">
        <v>1009</v>
      </c>
      <c r="O348" t="s">
        <v>277</v>
      </c>
      <c r="P348" t="s">
        <v>277</v>
      </c>
      <c r="Q348">
        <v>1</v>
      </c>
      <c r="X348">
        <v>0.3</v>
      </c>
      <c r="Y348">
        <v>9.0399999999999991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6</v>
      </c>
      <c r="AG348">
        <v>0.3</v>
      </c>
      <c r="AH348">
        <v>2</v>
      </c>
      <c r="AI348">
        <v>16813686</v>
      </c>
      <c r="AJ348">
        <v>362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ROW(Source!A211)</f>
        <v>211</v>
      </c>
      <c r="B349">
        <v>16813696</v>
      </c>
      <c r="C349">
        <v>16813680</v>
      </c>
      <c r="D349">
        <v>15191488</v>
      </c>
      <c r="E349">
        <v>1</v>
      </c>
      <c r="F349">
        <v>1</v>
      </c>
      <c r="G349">
        <v>1</v>
      </c>
      <c r="H349">
        <v>3</v>
      </c>
      <c r="I349" t="s">
        <v>1081</v>
      </c>
      <c r="J349" t="s">
        <v>1082</v>
      </c>
      <c r="K349" t="s">
        <v>1083</v>
      </c>
      <c r="L349">
        <v>1348</v>
      </c>
      <c r="N349">
        <v>1009</v>
      </c>
      <c r="O349" t="s">
        <v>145</v>
      </c>
      <c r="P349" t="s">
        <v>145</v>
      </c>
      <c r="Q349">
        <v>1000</v>
      </c>
      <c r="X349">
        <v>5.9999999999999995E-4</v>
      </c>
      <c r="Y349">
        <v>5000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6</v>
      </c>
      <c r="AG349">
        <v>5.9999999999999995E-4</v>
      </c>
      <c r="AH349">
        <v>2</v>
      </c>
      <c r="AI349">
        <v>16813687</v>
      </c>
      <c r="AJ349">
        <v>363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ROW(Source!A211)</f>
        <v>211</v>
      </c>
      <c r="B350">
        <v>16813697</v>
      </c>
      <c r="C350">
        <v>16813680</v>
      </c>
      <c r="D350">
        <v>15164559</v>
      </c>
      <c r="E350">
        <v>17</v>
      </c>
      <c r="F350">
        <v>1</v>
      </c>
      <c r="G350">
        <v>1</v>
      </c>
      <c r="H350">
        <v>3</v>
      </c>
      <c r="I350" t="s">
        <v>989</v>
      </c>
      <c r="J350" t="s">
        <v>6</v>
      </c>
      <c r="K350" t="s">
        <v>990</v>
      </c>
      <c r="L350">
        <v>1374</v>
      </c>
      <c r="N350">
        <v>1013</v>
      </c>
      <c r="O350" t="s">
        <v>991</v>
      </c>
      <c r="P350" t="s">
        <v>991</v>
      </c>
      <c r="Q350">
        <v>1</v>
      </c>
      <c r="X350">
        <v>0.19</v>
      </c>
      <c r="Y350">
        <v>1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0.19</v>
      </c>
      <c r="AH350">
        <v>2</v>
      </c>
      <c r="AI350">
        <v>16813688</v>
      </c>
      <c r="AJ350">
        <v>365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ROW(Source!A213)</f>
        <v>213</v>
      </c>
      <c r="B351">
        <v>16813719</v>
      </c>
      <c r="C351">
        <v>16813699</v>
      </c>
      <c r="D351">
        <v>15435721</v>
      </c>
      <c r="E351">
        <v>1</v>
      </c>
      <c r="F351">
        <v>1</v>
      </c>
      <c r="G351">
        <v>1</v>
      </c>
      <c r="H351">
        <v>1</v>
      </c>
      <c r="I351" t="s">
        <v>816</v>
      </c>
      <c r="J351" t="s">
        <v>6</v>
      </c>
      <c r="K351" t="s">
        <v>817</v>
      </c>
      <c r="L351">
        <v>1191</v>
      </c>
      <c r="N351">
        <v>1013</v>
      </c>
      <c r="O351" t="s">
        <v>773</v>
      </c>
      <c r="P351" t="s">
        <v>773</v>
      </c>
      <c r="Q351">
        <v>1</v>
      </c>
      <c r="X351">
        <v>1.56</v>
      </c>
      <c r="Y351">
        <v>0</v>
      </c>
      <c r="Z351">
        <v>0</v>
      </c>
      <c r="AA351">
        <v>0</v>
      </c>
      <c r="AB351">
        <v>9.51</v>
      </c>
      <c r="AC351">
        <v>0</v>
      </c>
      <c r="AD351">
        <v>1</v>
      </c>
      <c r="AE351">
        <v>1</v>
      </c>
      <c r="AF351" t="s">
        <v>6</v>
      </c>
      <c r="AG351">
        <v>1.56</v>
      </c>
      <c r="AH351">
        <v>2</v>
      </c>
      <c r="AI351">
        <v>16813700</v>
      </c>
      <c r="AJ351">
        <v>366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ROW(Source!A213)</f>
        <v>213</v>
      </c>
      <c r="B352">
        <v>16813720</v>
      </c>
      <c r="C352">
        <v>16813699</v>
      </c>
      <c r="D352">
        <v>15249377</v>
      </c>
      <c r="E352">
        <v>1</v>
      </c>
      <c r="F352">
        <v>1</v>
      </c>
      <c r="G352">
        <v>1</v>
      </c>
      <c r="H352">
        <v>2</v>
      </c>
      <c r="I352" t="s">
        <v>785</v>
      </c>
      <c r="J352" t="s">
        <v>786</v>
      </c>
      <c r="K352" t="s">
        <v>787</v>
      </c>
      <c r="L352">
        <v>1368</v>
      </c>
      <c r="N352">
        <v>1011</v>
      </c>
      <c r="O352" t="s">
        <v>779</v>
      </c>
      <c r="P352" t="s">
        <v>779</v>
      </c>
      <c r="Q352">
        <v>1</v>
      </c>
      <c r="X352">
        <v>0.13</v>
      </c>
      <c r="Y352">
        <v>0</v>
      </c>
      <c r="Z352">
        <v>8.1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0.13</v>
      </c>
      <c r="AH352">
        <v>2</v>
      </c>
      <c r="AI352">
        <v>16813701</v>
      </c>
      <c r="AJ352">
        <v>367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ROW(Source!A213)</f>
        <v>213</v>
      </c>
      <c r="B353">
        <v>16813721</v>
      </c>
      <c r="C353">
        <v>16813699</v>
      </c>
      <c r="D353">
        <v>15165537</v>
      </c>
      <c r="E353">
        <v>1</v>
      </c>
      <c r="F353">
        <v>1</v>
      </c>
      <c r="G353">
        <v>1</v>
      </c>
      <c r="H353">
        <v>3</v>
      </c>
      <c r="I353" t="s">
        <v>1000</v>
      </c>
      <c r="J353" t="s">
        <v>1001</v>
      </c>
      <c r="K353" t="s">
        <v>1002</v>
      </c>
      <c r="L353">
        <v>1346</v>
      </c>
      <c r="N353">
        <v>1009</v>
      </c>
      <c r="O353" t="s">
        <v>277</v>
      </c>
      <c r="P353" t="s">
        <v>277</v>
      </c>
      <c r="Q353">
        <v>1</v>
      </c>
      <c r="X353">
        <v>6.0000000000000001E-3</v>
      </c>
      <c r="Y353">
        <v>44.97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6</v>
      </c>
      <c r="AG353">
        <v>6.0000000000000001E-3</v>
      </c>
      <c r="AH353">
        <v>2</v>
      </c>
      <c r="AI353">
        <v>16813702</v>
      </c>
      <c r="AJ353">
        <v>368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ROW(Source!A213)</f>
        <v>213</v>
      </c>
      <c r="B354">
        <v>16813722</v>
      </c>
      <c r="C354">
        <v>16813699</v>
      </c>
      <c r="D354">
        <v>15167269</v>
      </c>
      <c r="E354">
        <v>1</v>
      </c>
      <c r="F354">
        <v>1</v>
      </c>
      <c r="G354">
        <v>1</v>
      </c>
      <c r="H354">
        <v>3</v>
      </c>
      <c r="I354" t="s">
        <v>1003</v>
      </c>
      <c r="J354" t="s">
        <v>1004</v>
      </c>
      <c r="K354" t="s">
        <v>1005</v>
      </c>
      <c r="L354">
        <v>1346</v>
      </c>
      <c r="N354">
        <v>1009</v>
      </c>
      <c r="O354" t="s">
        <v>277</v>
      </c>
      <c r="P354" t="s">
        <v>277</v>
      </c>
      <c r="Q354">
        <v>1</v>
      </c>
      <c r="X354">
        <v>1E-3</v>
      </c>
      <c r="Y354">
        <v>11.5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6</v>
      </c>
      <c r="AG354">
        <v>1E-3</v>
      </c>
      <c r="AH354">
        <v>2</v>
      </c>
      <c r="AI354">
        <v>16813703</v>
      </c>
      <c r="AJ354">
        <v>369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ROW(Source!A213)</f>
        <v>213</v>
      </c>
      <c r="B355">
        <v>16813723</v>
      </c>
      <c r="C355">
        <v>16813699</v>
      </c>
      <c r="D355">
        <v>15167588</v>
      </c>
      <c r="E355">
        <v>1</v>
      </c>
      <c r="F355">
        <v>1</v>
      </c>
      <c r="G355">
        <v>1</v>
      </c>
      <c r="H355">
        <v>3</v>
      </c>
      <c r="I355" t="s">
        <v>1006</v>
      </c>
      <c r="J355" t="s">
        <v>1007</v>
      </c>
      <c r="K355" t="s">
        <v>1008</v>
      </c>
      <c r="L355">
        <v>1346</v>
      </c>
      <c r="N355">
        <v>1009</v>
      </c>
      <c r="O355" t="s">
        <v>277</v>
      </c>
      <c r="P355" t="s">
        <v>277</v>
      </c>
      <c r="Q355">
        <v>1</v>
      </c>
      <c r="X355">
        <v>1.2E-2</v>
      </c>
      <c r="Y355">
        <v>30.4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6</v>
      </c>
      <c r="AG355">
        <v>1.2E-2</v>
      </c>
      <c r="AH355">
        <v>2</v>
      </c>
      <c r="AI355">
        <v>16813704</v>
      </c>
      <c r="AJ355">
        <v>370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ROW(Source!A213)</f>
        <v>213</v>
      </c>
      <c r="B356">
        <v>16813724</v>
      </c>
      <c r="C356">
        <v>16813699</v>
      </c>
      <c r="D356">
        <v>15168752</v>
      </c>
      <c r="E356">
        <v>1</v>
      </c>
      <c r="F356">
        <v>1</v>
      </c>
      <c r="G356">
        <v>1</v>
      </c>
      <c r="H356">
        <v>3</v>
      </c>
      <c r="I356" t="s">
        <v>1009</v>
      </c>
      <c r="J356" t="s">
        <v>1010</v>
      </c>
      <c r="K356" t="s">
        <v>1011</v>
      </c>
      <c r="L356">
        <v>1346</v>
      </c>
      <c r="N356">
        <v>1009</v>
      </c>
      <c r="O356" t="s">
        <v>277</v>
      </c>
      <c r="P356" t="s">
        <v>277</v>
      </c>
      <c r="Q356">
        <v>1</v>
      </c>
      <c r="X356">
        <v>7.0000000000000007E-2</v>
      </c>
      <c r="Y356">
        <v>10.57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7.0000000000000007E-2</v>
      </c>
      <c r="AH356">
        <v>2</v>
      </c>
      <c r="AI356">
        <v>16813705</v>
      </c>
      <c r="AJ356">
        <v>371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ROW(Source!A213)</f>
        <v>213</v>
      </c>
      <c r="B357">
        <v>16813725</v>
      </c>
      <c r="C357">
        <v>16813699</v>
      </c>
      <c r="D357">
        <v>15169942</v>
      </c>
      <c r="E357">
        <v>1</v>
      </c>
      <c r="F357">
        <v>1</v>
      </c>
      <c r="G357">
        <v>1</v>
      </c>
      <c r="H357">
        <v>3</v>
      </c>
      <c r="I357" t="s">
        <v>1012</v>
      </c>
      <c r="J357" t="s">
        <v>1013</v>
      </c>
      <c r="K357" t="s">
        <v>1014</v>
      </c>
      <c r="L357">
        <v>1346</v>
      </c>
      <c r="N357">
        <v>1009</v>
      </c>
      <c r="O357" t="s">
        <v>277</v>
      </c>
      <c r="P357" t="s">
        <v>277</v>
      </c>
      <c r="Q357">
        <v>1</v>
      </c>
      <c r="X357">
        <v>4.9000000000000002E-2</v>
      </c>
      <c r="Y357">
        <v>9.0399999999999991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6</v>
      </c>
      <c r="AG357">
        <v>4.9000000000000002E-2</v>
      </c>
      <c r="AH357">
        <v>2</v>
      </c>
      <c r="AI357">
        <v>16813706</v>
      </c>
      <c r="AJ357">
        <v>372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ROW(Source!A213)</f>
        <v>213</v>
      </c>
      <c r="B358">
        <v>16813726</v>
      </c>
      <c r="C358">
        <v>16813699</v>
      </c>
      <c r="D358">
        <v>15170074</v>
      </c>
      <c r="E358">
        <v>1</v>
      </c>
      <c r="F358">
        <v>1</v>
      </c>
      <c r="G358">
        <v>1</v>
      </c>
      <c r="H358">
        <v>3</v>
      </c>
      <c r="I358" t="s">
        <v>1015</v>
      </c>
      <c r="J358" t="s">
        <v>1016</v>
      </c>
      <c r="K358" t="s">
        <v>1017</v>
      </c>
      <c r="L358">
        <v>1355</v>
      </c>
      <c r="N358">
        <v>1010</v>
      </c>
      <c r="O358" t="s">
        <v>188</v>
      </c>
      <c r="P358" t="s">
        <v>188</v>
      </c>
      <c r="Q358">
        <v>100</v>
      </c>
      <c r="X358">
        <v>1.4E-2</v>
      </c>
      <c r="Y358">
        <v>86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1.4E-2</v>
      </c>
      <c r="AH358">
        <v>2</v>
      </c>
      <c r="AI358">
        <v>16813707</v>
      </c>
      <c r="AJ358">
        <v>373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ROW(Source!A213)</f>
        <v>213</v>
      </c>
      <c r="B359">
        <v>16813727</v>
      </c>
      <c r="C359">
        <v>16813699</v>
      </c>
      <c r="D359">
        <v>15170994</v>
      </c>
      <c r="E359">
        <v>1</v>
      </c>
      <c r="F359">
        <v>1</v>
      </c>
      <c r="G359">
        <v>1</v>
      </c>
      <c r="H359">
        <v>3</v>
      </c>
      <c r="I359" t="s">
        <v>1018</v>
      </c>
      <c r="J359" t="s">
        <v>1019</v>
      </c>
      <c r="K359" t="s">
        <v>1020</v>
      </c>
      <c r="L359">
        <v>1346</v>
      </c>
      <c r="N359">
        <v>1009</v>
      </c>
      <c r="O359" t="s">
        <v>277</v>
      </c>
      <c r="P359" t="s">
        <v>277</v>
      </c>
      <c r="Q359">
        <v>1</v>
      </c>
      <c r="X359">
        <v>1E-3</v>
      </c>
      <c r="Y359">
        <v>133.05000000000001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0</v>
      </c>
      <c r="AF359" t="s">
        <v>6</v>
      </c>
      <c r="AG359">
        <v>1E-3</v>
      </c>
      <c r="AH359">
        <v>2</v>
      </c>
      <c r="AI359">
        <v>16813708</v>
      </c>
      <c r="AJ359">
        <v>374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ROW(Source!A213)</f>
        <v>213</v>
      </c>
      <c r="B360">
        <v>16813728</v>
      </c>
      <c r="C360">
        <v>16813699</v>
      </c>
      <c r="D360">
        <v>15188647</v>
      </c>
      <c r="E360">
        <v>1</v>
      </c>
      <c r="F360">
        <v>1</v>
      </c>
      <c r="G360">
        <v>1</v>
      </c>
      <c r="H360">
        <v>3</v>
      </c>
      <c r="I360" t="s">
        <v>1021</v>
      </c>
      <c r="J360" t="s">
        <v>1022</v>
      </c>
      <c r="K360" t="s">
        <v>1023</v>
      </c>
      <c r="L360">
        <v>1348</v>
      </c>
      <c r="N360">
        <v>1009</v>
      </c>
      <c r="O360" t="s">
        <v>145</v>
      </c>
      <c r="P360" t="s">
        <v>145</v>
      </c>
      <c r="Q360">
        <v>1000</v>
      </c>
      <c r="X360">
        <v>1E-3</v>
      </c>
      <c r="Y360">
        <v>11500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0</v>
      </c>
      <c r="AF360" t="s">
        <v>6</v>
      </c>
      <c r="AG360">
        <v>1E-3</v>
      </c>
      <c r="AH360">
        <v>2</v>
      </c>
      <c r="AI360">
        <v>16813709</v>
      </c>
      <c r="AJ360">
        <v>375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ROW(Source!A213)</f>
        <v>213</v>
      </c>
      <c r="B361">
        <v>16813729</v>
      </c>
      <c r="C361">
        <v>16813699</v>
      </c>
      <c r="D361">
        <v>15203834</v>
      </c>
      <c r="E361">
        <v>1</v>
      </c>
      <c r="F361">
        <v>1</v>
      </c>
      <c r="G361">
        <v>1</v>
      </c>
      <c r="H361">
        <v>3</v>
      </c>
      <c r="I361" t="s">
        <v>1024</v>
      </c>
      <c r="J361" t="s">
        <v>1025</v>
      </c>
      <c r="K361" t="s">
        <v>320</v>
      </c>
      <c r="L361">
        <v>1346</v>
      </c>
      <c r="N361">
        <v>1009</v>
      </c>
      <c r="O361" t="s">
        <v>277</v>
      </c>
      <c r="P361" t="s">
        <v>277</v>
      </c>
      <c r="Q361">
        <v>1</v>
      </c>
      <c r="X361">
        <v>3.5999999999999997E-2</v>
      </c>
      <c r="Y361">
        <v>28.6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0</v>
      </c>
      <c r="AF361" t="s">
        <v>6</v>
      </c>
      <c r="AG361">
        <v>3.5999999999999997E-2</v>
      </c>
      <c r="AH361">
        <v>2</v>
      </c>
      <c r="AI361">
        <v>16813710</v>
      </c>
      <c r="AJ361">
        <v>376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ROW(Source!A213)</f>
        <v>213</v>
      </c>
      <c r="B362">
        <v>16813730</v>
      </c>
      <c r="C362">
        <v>16813699</v>
      </c>
      <c r="D362">
        <v>15203987</v>
      </c>
      <c r="E362">
        <v>1</v>
      </c>
      <c r="F362">
        <v>1</v>
      </c>
      <c r="G362">
        <v>1</v>
      </c>
      <c r="H362">
        <v>3</v>
      </c>
      <c r="I362" t="s">
        <v>1026</v>
      </c>
      <c r="J362" t="s">
        <v>1027</v>
      </c>
      <c r="K362" t="s">
        <v>1028</v>
      </c>
      <c r="L362">
        <v>1346</v>
      </c>
      <c r="N362">
        <v>1009</v>
      </c>
      <c r="O362" t="s">
        <v>277</v>
      </c>
      <c r="P362" t="s">
        <v>277</v>
      </c>
      <c r="Q362">
        <v>1</v>
      </c>
      <c r="X362">
        <v>6.0000000000000001E-3</v>
      </c>
      <c r="Y362">
        <v>35.630000000000003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6.0000000000000001E-3</v>
      </c>
      <c r="AH362">
        <v>2</v>
      </c>
      <c r="AI362">
        <v>16813711</v>
      </c>
      <c r="AJ362">
        <v>377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ROW(Source!A213)</f>
        <v>213</v>
      </c>
      <c r="B363">
        <v>16813731</v>
      </c>
      <c r="C363">
        <v>16813699</v>
      </c>
      <c r="D363">
        <v>15217463</v>
      </c>
      <c r="E363">
        <v>1</v>
      </c>
      <c r="F363">
        <v>1</v>
      </c>
      <c r="G363">
        <v>1</v>
      </c>
      <c r="H363">
        <v>3</v>
      </c>
      <c r="I363" t="s">
        <v>1029</v>
      </c>
      <c r="J363" t="s">
        <v>1030</v>
      </c>
      <c r="K363" t="s">
        <v>1031</v>
      </c>
      <c r="L363">
        <v>1358</v>
      </c>
      <c r="N363">
        <v>1010</v>
      </c>
      <c r="O363" t="s">
        <v>516</v>
      </c>
      <c r="P363" t="s">
        <v>516</v>
      </c>
      <c r="Q363">
        <v>10</v>
      </c>
      <c r="X363">
        <v>0.1</v>
      </c>
      <c r="Y363">
        <v>39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6</v>
      </c>
      <c r="AG363">
        <v>0.1</v>
      </c>
      <c r="AH363">
        <v>2</v>
      </c>
      <c r="AI363">
        <v>16813712</v>
      </c>
      <c r="AJ363">
        <v>378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ROW(Source!A213)</f>
        <v>213</v>
      </c>
      <c r="B364">
        <v>16813732</v>
      </c>
      <c r="C364">
        <v>16813699</v>
      </c>
      <c r="D364">
        <v>15164559</v>
      </c>
      <c r="E364">
        <v>17</v>
      </c>
      <c r="F364">
        <v>1</v>
      </c>
      <c r="G364">
        <v>1</v>
      </c>
      <c r="H364">
        <v>3</v>
      </c>
      <c r="I364" t="s">
        <v>989</v>
      </c>
      <c r="J364" t="s">
        <v>6</v>
      </c>
      <c r="K364" t="s">
        <v>990</v>
      </c>
      <c r="L364">
        <v>1374</v>
      </c>
      <c r="N364">
        <v>1013</v>
      </c>
      <c r="O364" t="s">
        <v>991</v>
      </c>
      <c r="P364" t="s">
        <v>991</v>
      </c>
      <c r="Q364">
        <v>1</v>
      </c>
      <c r="X364">
        <v>0.3</v>
      </c>
      <c r="Y364">
        <v>1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0.3</v>
      </c>
      <c r="AH364">
        <v>2</v>
      </c>
      <c r="AI364">
        <v>16813713</v>
      </c>
      <c r="AJ364">
        <v>386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ROW(Source!A221)</f>
        <v>221</v>
      </c>
      <c r="B365">
        <v>16813752</v>
      </c>
      <c r="C365">
        <v>16813738</v>
      </c>
      <c r="D365">
        <v>15446300</v>
      </c>
      <c r="E365">
        <v>1</v>
      </c>
      <c r="F365">
        <v>1</v>
      </c>
      <c r="G365">
        <v>1</v>
      </c>
      <c r="H365">
        <v>1</v>
      </c>
      <c r="I365" t="s">
        <v>780</v>
      </c>
      <c r="J365" t="s">
        <v>6</v>
      </c>
      <c r="K365" t="s">
        <v>781</v>
      </c>
      <c r="L365">
        <v>1191</v>
      </c>
      <c r="N365">
        <v>1013</v>
      </c>
      <c r="O365" t="s">
        <v>773</v>
      </c>
      <c r="P365" t="s">
        <v>773</v>
      </c>
      <c r="Q365">
        <v>1</v>
      </c>
      <c r="X365">
        <v>213.6</v>
      </c>
      <c r="Y365">
        <v>0</v>
      </c>
      <c r="Z365">
        <v>0</v>
      </c>
      <c r="AA365">
        <v>0</v>
      </c>
      <c r="AB365">
        <v>9.92</v>
      </c>
      <c r="AC365">
        <v>0</v>
      </c>
      <c r="AD365">
        <v>1</v>
      </c>
      <c r="AE365">
        <v>1</v>
      </c>
      <c r="AF365" t="s">
        <v>6</v>
      </c>
      <c r="AG365">
        <v>213.6</v>
      </c>
      <c r="AH365">
        <v>2</v>
      </c>
      <c r="AI365">
        <v>16813739</v>
      </c>
      <c r="AJ365">
        <v>387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ROW(Source!A221)</f>
        <v>221</v>
      </c>
      <c r="B366">
        <v>16813753</v>
      </c>
      <c r="C366">
        <v>16813738</v>
      </c>
      <c r="D366">
        <v>15430395</v>
      </c>
      <c r="E366">
        <v>1</v>
      </c>
      <c r="F366">
        <v>1</v>
      </c>
      <c r="G366">
        <v>1</v>
      </c>
      <c r="H366">
        <v>1</v>
      </c>
      <c r="I366" t="s">
        <v>774</v>
      </c>
      <c r="J366" t="s">
        <v>6</v>
      </c>
      <c r="K366" t="s">
        <v>775</v>
      </c>
      <c r="L366">
        <v>1191</v>
      </c>
      <c r="N366">
        <v>1013</v>
      </c>
      <c r="O366" t="s">
        <v>773</v>
      </c>
      <c r="P366" t="s">
        <v>773</v>
      </c>
      <c r="Q366">
        <v>1</v>
      </c>
      <c r="X366">
        <v>1.98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6</v>
      </c>
      <c r="AG366">
        <v>1.98</v>
      </c>
      <c r="AH366">
        <v>2</v>
      </c>
      <c r="AI366">
        <v>16813740</v>
      </c>
      <c r="AJ366">
        <v>388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ROW(Source!A221)</f>
        <v>221</v>
      </c>
      <c r="B367">
        <v>16813754</v>
      </c>
      <c r="C367">
        <v>16813738</v>
      </c>
      <c r="D367">
        <v>15247680</v>
      </c>
      <c r="E367">
        <v>1</v>
      </c>
      <c r="F367">
        <v>1</v>
      </c>
      <c r="G367">
        <v>1</v>
      </c>
      <c r="H367">
        <v>2</v>
      </c>
      <c r="I367" t="s">
        <v>959</v>
      </c>
      <c r="J367" t="s">
        <v>960</v>
      </c>
      <c r="K367" t="s">
        <v>961</v>
      </c>
      <c r="L367">
        <v>1368</v>
      </c>
      <c r="N367">
        <v>1011</v>
      </c>
      <c r="O367" t="s">
        <v>779</v>
      </c>
      <c r="P367" t="s">
        <v>779</v>
      </c>
      <c r="Q367">
        <v>1</v>
      </c>
      <c r="X367">
        <v>0.99</v>
      </c>
      <c r="Y367">
        <v>0</v>
      </c>
      <c r="Z367">
        <v>111.99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6</v>
      </c>
      <c r="AG367">
        <v>0.99</v>
      </c>
      <c r="AH367">
        <v>2</v>
      </c>
      <c r="AI367">
        <v>16813741</v>
      </c>
      <c r="AJ367">
        <v>389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ROW(Source!A221)</f>
        <v>221</v>
      </c>
      <c r="B368">
        <v>16813755</v>
      </c>
      <c r="C368">
        <v>16813738</v>
      </c>
      <c r="D368">
        <v>15249073</v>
      </c>
      <c r="E368">
        <v>1</v>
      </c>
      <c r="F368">
        <v>1</v>
      </c>
      <c r="G368">
        <v>1</v>
      </c>
      <c r="H368">
        <v>2</v>
      </c>
      <c r="I368" t="s">
        <v>782</v>
      </c>
      <c r="J368" t="s">
        <v>783</v>
      </c>
      <c r="K368" t="s">
        <v>784</v>
      </c>
      <c r="L368">
        <v>1368</v>
      </c>
      <c r="N368">
        <v>1011</v>
      </c>
      <c r="O368" t="s">
        <v>779</v>
      </c>
      <c r="P368" t="s">
        <v>779</v>
      </c>
      <c r="Q368">
        <v>1</v>
      </c>
      <c r="X368">
        <v>0.99</v>
      </c>
      <c r="Y368">
        <v>0</v>
      </c>
      <c r="Z368">
        <v>65.709999999999994</v>
      </c>
      <c r="AA368">
        <v>11.6</v>
      </c>
      <c r="AB368">
        <v>0</v>
      </c>
      <c r="AC368">
        <v>0</v>
      </c>
      <c r="AD368">
        <v>1</v>
      </c>
      <c r="AE368">
        <v>0</v>
      </c>
      <c r="AF368" t="s">
        <v>6</v>
      </c>
      <c r="AG368">
        <v>0.99</v>
      </c>
      <c r="AH368">
        <v>2</v>
      </c>
      <c r="AI368">
        <v>16813742</v>
      </c>
      <c r="AJ368">
        <v>390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ROW(Source!A221)</f>
        <v>221</v>
      </c>
      <c r="B369">
        <v>16813756</v>
      </c>
      <c r="C369">
        <v>16813738</v>
      </c>
      <c r="D369">
        <v>15249377</v>
      </c>
      <c r="E369">
        <v>1</v>
      </c>
      <c r="F369">
        <v>1</v>
      </c>
      <c r="G369">
        <v>1</v>
      </c>
      <c r="H369">
        <v>2</v>
      </c>
      <c r="I369" t="s">
        <v>785</v>
      </c>
      <c r="J369" t="s">
        <v>786</v>
      </c>
      <c r="K369" t="s">
        <v>787</v>
      </c>
      <c r="L369">
        <v>1368</v>
      </c>
      <c r="N369">
        <v>1011</v>
      </c>
      <c r="O369" t="s">
        <v>779</v>
      </c>
      <c r="P369" t="s">
        <v>779</v>
      </c>
      <c r="Q369">
        <v>1</v>
      </c>
      <c r="X369">
        <v>1.1399999999999999</v>
      </c>
      <c r="Y369">
        <v>0</v>
      </c>
      <c r="Z369">
        <v>8.1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1.1399999999999999</v>
      </c>
      <c r="AH369">
        <v>2</v>
      </c>
      <c r="AI369">
        <v>16813743</v>
      </c>
      <c r="AJ369">
        <v>391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ROW(Source!A221)</f>
        <v>221</v>
      </c>
      <c r="B370">
        <v>16813757</v>
      </c>
      <c r="C370">
        <v>16813738</v>
      </c>
      <c r="D370">
        <v>15167588</v>
      </c>
      <c r="E370">
        <v>1</v>
      </c>
      <c r="F370">
        <v>1</v>
      </c>
      <c r="G370">
        <v>1</v>
      </c>
      <c r="H370">
        <v>3</v>
      </c>
      <c r="I370" t="s">
        <v>1006</v>
      </c>
      <c r="J370" t="s">
        <v>1007</v>
      </c>
      <c r="K370" t="s">
        <v>1008</v>
      </c>
      <c r="L370">
        <v>1346</v>
      </c>
      <c r="N370">
        <v>1009</v>
      </c>
      <c r="O370" t="s">
        <v>277</v>
      </c>
      <c r="P370" t="s">
        <v>277</v>
      </c>
      <c r="Q370">
        <v>1</v>
      </c>
      <c r="X370">
        <v>0.42</v>
      </c>
      <c r="Y370">
        <v>30.4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0.42</v>
      </c>
      <c r="AH370">
        <v>2</v>
      </c>
      <c r="AI370">
        <v>16813744</v>
      </c>
      <c r="AJ370">
        <v>392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ROW(Source!A221)</f>
        <v>221</v>
      </c>
      <c r="B371">
        <v>16813758</v>
      </c>
      <c r="C371">
        <v>16813738</v>
      </c>
      <c r="D371">
        <v>15167600</v>
      </c>
      <c r="E371">
        <v>1</v>
      </c>
      <c r="F371">
        <v>1</v>
      </c>
      <c r="G371">
        <v>1</v>
      </c>
      <c r="H371">
        <v>3</v>
      </c>
      <c r="I371" t="s">
        <v>1052</v>
      </c>
      <c r="J371" t="s">
        <v>1053</v>
      </c>
      <c r="K371" t="s">
        <v>1054</v>
      </c>
      <c r="L371">
        <v>1308</v>
      </c>
      <c r="N371">
        <v>1003</v>
      </c>
      <c r="O371" t="s">
        <v>39</v>
      </c>
      <c r="P371" t="s">
        <v>39</v>
      </c>
      <c r="Q371">
        <v>100</v>
      </c>
      <c r="X371">
        <v>0.1</v>
      </c>
      <c r="Y371">
        <v>120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6</v>
      </c>
      <c r="AG371">
        <v>0.1</v>
      </c>
      <c r="AH371">
        <v>2</v>
      </c>
      <c r="AI371">
        <v>16813745</v>
      </c>
      <c r="AJ371">
        <v>393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ROW(Source!A221)</f>
        <v>221</v>
      </c>
      <c r="B372">
        <v>16813759</v>
      </c>
      <c r="C372">
        <v>16813738</v>
      </c>
      <c r="D372">
        <v>15168752</v>
      </c>
      <c r="E372">
        <v>1</v>
      </c>
      <c r="F372">
        <v>1</v>
      </c>
      <c r="G372">
        <v>1</v>
      </c>
      <c r="H372">
        <v>3</v>
      </c>
      <c r="I372" t="s">
        <v>1009</v>
      </c>
      <c r="J372" t="s">
        <v>1010</v>
      </c>
      <c r="K372" t="s">
        <v>1011</v>
      </c>
      <c r="L372">
        <v>1346</v>
      </c>
      <c r="N372">
        <v>1009</v>
      </c>
      <c r="O372" t="s">
        <v>277</v>
      </c>
      <c r="P372" t="s">
        <v>277</v>
      </c>
      <c r="Q372">
        <v>1</v>
      </c>
      <c r="X372">
        <v>2.1</v>
      </c>
      <c r="Y372">
        <v>10.57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0</v>
      </c>
      <c r="AF372" t="s">
        <v>6</v>
      </c>
      <c r="AG372">
        <v>2.1</v>
      </c>
      <c r="AH372">
        <v>2</v>
      </c>
      <c r="AI372">
        <v>16813746</v>
      </c>
      <c r="AJ372">
        <v>394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ROW(Source!A221)</f>
        <v>221</v>
      </c>
      <c r="B373">
        <v>16813760</v>
      </c>
      <c r="C373">
        <v>16813738</v>
      </c>
      <c r="D373">
        <v>15169942</v>
      </c>
      <c r="E373">
        <v>1</v>
      </c>
      <c r="F373">
        <v>1</v>
      </c>
      <c r="G373">
        <v>1</v>
      </c>
      <c r="H373">
        <v>3</v>
      </c>
      <c r="I373" t="s">
        <v>1012</v>
      </c>
      <c r="J373" t="s">
        <v>1013</v>
      </c>
      <c r="K373" t="s">
        <v>1014</v>
      </c>
      <c r="L373">
        <v>1346</v>
      </c>
      <c r="N373">
        <v>1009</v>
      </c>
      <c r="O373" t="s">
        <v>277</v>
      </c>
      <c r="P373" t="s">
        <v>277</v>
      </c>
      <c r="Q373">
        <v>1</v>
      </c>
      <c r="X373">
        <v>10.4</v>
      </c>
      <c r="Y373">
        <v>9.0399999999999991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0</v>
      </c>
      <c r="AF373" t="s">
        <v>6</v>
      </c>
      <c r="AG373">
        <v>10.4</v>
      </c>
      <c r="AH373">
        <v>2</v>
      </c>
      <c r="AI373">
        <v>16813747</v>
      </c>
      <c r="AJ373">
        <v>395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ROW(Source!A221)</f>
        <v>221</v>
      </c>
      <c r="B374">
        <v>16813761</v>
      </c>
      <c r="C374">
        <v>16813738</v>
      </c>
      <c r="D374">
        <v>15191488</v>
      </c>
      <c r="E374">
        <v>1</v>
      </c>
      <c r="F374">
        <v>1</v>
      </c>
      <c r="G374">
        <v>1</v>
      </c>
      <c r="H374">
        <v>3</v>
      </c>
      <c r="I374" t="s">
        <v>1081</v>
      </c>
      <c r="J374" t="s">
        <v>1082</v>
      </c>
      <c r="K374" t="s">
        <v>1083</v>
      </c>
      <c r="L374">
        <v>1348</v>
      </c>
      <c r="N374">
        <v>1009</v>
      </c>
      <c r="O374" t="s">
        <v>145</v>
      </c>
      <c r="P374" t="s">
        <v>145</v>
      </c>
      <c r="Q374">
        <v>1000</v>
      </c>
      <c r="X374">
        <v>0.15</v>
      </c>
      <c r="Y374">
        <v>5000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0</v>
      </c>
      <c r="AF374" t="s">
        <v>6</v>
      </c>
      <c r="AG374">
        <v>0.15</v>
      </c>
      <c r="AH374">
        <v>2</v>
      </c>
      <c r="AI374">
        <v>16813748</v>
      </c>
      <c r="AJ374">
        <v>396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ROW(Source!A221)</f>
        <v>221</v>
      </c>
      <c r="B375">
        <v>16813762</v>
      </c>
      <c r="C375">
        <v>16813738</v>
      </c>
      <c r="D375">
        <v>15203834</v>
      </c>
      <c r="E375">
        <v>1</v>
      </c>
      <c r="F375">
        <v>1</v>
      </c>
      <c r="G375">
        <v>1</v>
      </c>
      <c r="H375">
        <v>3</v>
      </c>
      <c r="I375" t="s">
        <v>1024</v>
      </c>
      <c r="J375" t="s">
        <v>1025</v>
      </c>
      <c r="K375" t="s">
        <v>320</v>
      </c>
      <c r="L375">
        <v>1346</v>
      </c>
      <c r="N375">
        <v>1009</v>
      </c>
      <c r="O375" t="s">
        <v>277</v>
      </c>
      <c r="P375" t="s">
        <v>277</v>
      </c>
      <c r="Q375">
        <v>1</v>
      </c>
      <c r="X375">
        <v>3</v>
      </c>
      <c r="Y375">
        <v>28.6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0</v>
      </c>
      <c r="AF375" t="s">
        <v>6</v>
      </c>
      <c r="AG375">
        <v>3</v>
      </c>
      <c r="AH375">
        <v>2</v>
      </c>
      <c r="AI375">
        <v>16813749</v>
      </c>
      <c r="AJ375">
        <v>397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ROW(Source!A221)</f>
        <v>221</v>
      </c>
      <c r="B376">
        <v>16813763</v>
      </c>
      <c r="C376">
        <v>16813738</v>
      </c>
      <c r="D376">
        <v>15164559</v>
      </c>
      <c r="E376">
        <v>17</v>
      </c>
      <c r="F376">
        <v>1</v>
      </c>
      <c r="G376">
        <v>1</v>
      </c>
      <c r="H376">
        <v>3</v>
      </c>
      <c r="I376" t="s">
        <v>989</v>
      </c>
      <c r="J376" t="s">
        <v>6</v>
      </c>
      <c r="K376" t="s">
        <v>990</v>
      </c>
      <c r="L376">
        <v>1374</v>
      </c>
      <c r="N376">
        <v>1013</v>
      </c>
      <c r="O376" t="s">
        <v>991</v>
      </c>
      <c r="P376" t="s">
        <v>991</v>
      </c>
      <c r="Q376">
        <v>1</v>
      </c>
      <c r="X376">
        <v>42.38</v>
      </c>
      <c r="Y376">
        <v>1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6</v>
      </c>
      <c r="AG376">
        <v>42.38</v>
      </c>
      <c r="AH376">
        <v>2</v>
      </c>
      <c r="AI376">
        <v>16813750</v>
      </c>
      <c r="AJ376">
        <v>399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ROW(Source!A223)</f>
        <v>223</v>
      </c>
      <c r="B377">
        <v>16813768</v>
      </c>
      <c r="C377">
        <v>16813765</v>
      </c>
      <c r="D377">
        <v>15885198</v>
      </c>
      <c r="E377">
        <v>1</v>
      </c>
      <c r="F377">
        <v>1</v>
      </c>
      <c r="G377">
        <v>1</v>
      </c>
      <c r="H377">
        <v>1</v>
      </c>
      <c r="I377" t="s">
        <v>1084</v>
      </c>
      <c r="J377" t="s">
        <v>6</v>
      </c>
      <c r="K377" t="s">
        <v>1085</v>
      </c>
      <c r="L377">
        <v>1191</v>
      </c>
      <c r="N377">
        <v>1013</v>
      </c>
      <c r="O377" t="s">
        <v>773</v>
      </c>
      <c r="P377" t="s">
        <v>773</v>
      </c>
      <c r="Q377">
        <v>1</v>
      </c>
      <c r="X377">
        <v>0.16</v>
      </c>
      <c r="Y377">
        <v>0</v>
      </c>
      <c r="Z377">
        <v>0</v>
      </c>
      <c r="AA377">
        <v>0</v>
      </c>
      <c r="AB377">
        <v>12.92</v>
      </c>
      <c r="AC377">
        <v>0</v>
      </c>
      <c r="AD377">
        <v>1</v>
      </c>
      <c r="AE377">
        <v>1</v>
      </c>
      <c r="AF377" t="s">
        <v>83</v>
      </c>
      <c r="AG377">
        <v>0.128</v>
      </c>
      <c r="AH377">
        <v>2</v>
      </c>
      <c r="AI377">
        <v>16813766</v>
      </c>
      <c r="AJ377">
        <v>400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ROW(Source!A223)</f>
        <v>223</v>
      </c>
      <c r="B378">
        <v>16813769</v>
      </c>
      <c r="C378">
        <v>16813765</v>
      </c>
      <c r="D378">
        <v>15884235</v>
      </c>
      <c r="E378">
        <v>1</v>
      </c>
      <c r="F378">
        <v>1</v>
      </c>
      <c r="G378">
        <v>1</v>
      </c>
      <c r="H378">
        <v>1</v>
      </c>
      <c r="I378" t="s">
        <v>1086</v>
      </c>
      <c r="J378" t="s">
        <v>6</v>
      </c>
      <c r="K378" t="s">
        <v>1087</v>
      </c>
      <c r="L378">
        <v>1191</v>
      </c>
      <c r="N378">
        <v>1013</v>
      </c>
      <c r="O378" t="s">
        <v>773</v>
      </c>
      <c r="P378" t="s">
        <v>773</v>
      </c>
      <c r="Q378">
        <v>1</v>
      </c>
      <c r="X378">
        <v>0.16</v>
      </c>
      <c r="Y378">
        <v>0</v>
      </c>
      <c r="Z378">
        <v>0</v>
      </c>
      <c r="AA378">
        <v>0</v>
      </c>
      <c r="AB378">
        <v>12.69</v>
      </c>
      <c r="AC378">
        <v>0</v>
      </c>
      <c r="AD378">
        <v>1</v>
      </c>
      <c r="AE378">
        <v>1</v>
      </c>
      <c r="AF378" t="s">
        <v>83</v>
      </c>
      <c r="AG378">
        <v>0.128</v>
      </c>
      <c r="AH378">
        <v>2</v>
      </c>
      <c r="AI378">
        <v>16813767</v>
      </c>
      <c r="AJ378">
        <v>401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ROW(Source!A224)</f>
        <v>224</v>
      </c>
      <c r="B379">
        <v>16813773</v>
      </c>
      <c r="C379">
        <v>16813770</v>
      </c>
      <c r="D379">
        <v>15885198</v>
      </c>
      <c r="E379">
        <v>1</v>
      </c>
      <c r="F379">
        <v>1</v>
      </c>
      <c r="G379">
        <v>1</v>
      </c>
      <c r="H379">
        <v>1</v>
      </c>
      <c r="I379" t="s">
        <v>1084</v>
      </c>
      <c r="J379" t="s">
        <v>6</v>
      </c>
      <c r="K379" t="s">
        <v>1085</v>
      </c>
      <c r="L379">
        <v>1191</v>
      </c>
      <c r="N379">
        <v>1013</v>
      </c>
      <c r="O379" t="s">
        <v>773</v>
      </c>
      <c r="P379" t="s">
        <v>773</v>
      </c>
      <c r="Q379">
        <v>1</v>
      </c>
      <c r="X379">
        <v>6.48</v>
      </c>
      <c r="Y379">
        <v>0</v>
      </c>
      <c r="Z379">
        <v>0</v>
      </c>
      <c r="AA379">
        <v>0</v>
      </c>
      <c r="AB379">
        <v>12.92</v>
      </c>
      <c r="AC379">
        <v>0</v>
      </c>
      <c r="AD379">
        <v>1</v>
      </c>
      <c r="AE379">
        <v>1</v>
      </c>
      <c r="AF379" t="s">
        <v>83</v>
      </c>
      <c r="AG379">
        <v>5.1840000000000011</v>
      </c>
      <c r="AH379">
        <v>2</v>
      </c>
      <c r="AI379">
        <v>16813771</v>
      </c>
      <c r="AJ379">
        <v>402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ROW(Source!A224)</f>
        <v>224</v>
      </c>
      <c r="B380">
        <v>16813774</v>
      </c>
      <c r="C380">
        <v>16813770</v>
      </c>
      <c r="D380">
        <v>15884235</v>
      </c>
      <c r="E380">
        <v>1</v>
      </c>
      <c r="F380">
        <v>1</v>
      </c>
      <c r="G380">
        <v>1</v>
      </c>
      <c r="H380">
        <v>1</v>
      </c>
      <c r="I380" t="s">
        <v>1086</v>
      </c>
      <c r="J380" t="s">
        <v>6</v>
      </c>
      <c r="K380" t="s">
        <v>1087</v>
      </c>
      <c r="L380">
        <v>1191</v>
      </c>
      <c r="N380">
        <v>1013</v>
      </c>
      <c r="O380" t="s">
        <v>773</v>
      </c>
      <c r="P380" t="s">
        <v>773</v>
      </c>
      <c r="Q380">
        <v>1</v>
      </c>
      <c r="X380">
        <v>6.48</v>
      </c>
      <c r="Y380">
        <v>0</v>
      </c>
      <c r="Z380">
        <v>0</v>
      </c>
      <c r="AA380">
        <v>0</v>
      </c>
      <c r="AB380">
        <v>12.69</v>
      </c>
      <c r="AC380">
        <v>0</v>
      </c>
      <c r="AD380">
        <v>1</v>
      </c>
      <c r="AE380">
        <v>1</v>
      </c>
      <c r="AF380" t="s">
        <v>83</v>
      </c>
      <c r="AG380">
        <v>5.1840000000000011</v>
      </c>
      <c r="AH380">
        <v>2</v>
      </c>
      <c r="AI380">
        <v>16813772</v>
      </c>
      <c r="AJ380">
        <v>403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ROW(Source!A225)</f>
        <v>225</v>
      </c>
      <c r="B381">
        <v>16813778</v>
      </c>
      <c r="C381">
        <v>16813775</v>
      </c>
      <c r="D381">
        <v>15885198</v>
      </c>
      <c r="E381">
        <v>1</v>
      </c>
      <c r="F381">
        <v>1</v>
      </c>
      <c r="G381">
        <v>1</v>
      </c>
      <c r="H381">
        <v>1</v>
      </c>
      <c r="I381" t="s">
        <v>1084</v>
      </c>
      <c r="J381" t="s">
        <v>6</v>
      </c>
      <c r="K381" t="s">
        <v>1085</v>
      </c>
      <c r="L381">
        <v>1191</v>
      </c>
      <c r="N381">
        <v>1013</v>
      </c>
      <c r="O381" t="s">
        <v>773</v>
      </c>
      <c r="P381" t="s">
        <v>773</v>
      </c>
      <c r="Q381">
        <v>1</v>
      </c>
      <c r="X381">
        <v>0.61</v>
      </c>
      <c r="Y381">
        <v>0</v>
      </c>
      <c r="Z381">
        <v>0</v>
      </c>
      <c r="AA381">
        <v>0</v>
      </c>
      <c r="AB381">
        <v>12.92</v>
      </c>
      <c r="AC381">
        <v>0</v>
      </c>
      <c r="AD381">
        <v>1</v>
      </c>
      <c r="AE381">
        <v>1</v>
      </c>
      <c r="AF381" t="s">
        <v>83</v>
      </c>
      <c r="AG381">
        <v>0.48799999999999999</v>
      </c>
      <c r="AH381">
        <v>2</v>
      </c>
      <c r="AI381">
        <v>16813776</v>
      </c>
      <c r="AJ381">
        <v>404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ROW(Source!A225)</f>
        <v>225</v>
      </c>
      <c r="B382">
        <v>16813779</v>
      </c>
      <c r="C382">
        <v>16813775</v>
      </c>
      <c r="D382">
        <v>15884235</v>
      </c>
      <c r="E382">
        <v>1</v>
      </c>
      <c r="F382">
        <v>1</v>
      </c>
      <c r="G382">
        <v>1</v>
      </c>
      <c r="H382">
        <v>1</v>
      </c>
      <c r="I382" t="s">
        <v>1086</v>
      </c>
      <c r="J382" t="s">
        <v>6</v>
      </c>
      <c r="K382" t="s">
        <v>1087</v>
      </c>
      <c r="L382">
        <v>1191</v>
      </c>
      <c r="N382">
        <v>1013</v>
      </c>
      <c r="O382" t="s">
        <v>773</v>
      </c>
      <c r="P382" t="s">
        <v>773</v>
      </c>
      <c r="Q382">
        <v>1</v>
      </c>
      <c r="X382">
        <v>0.61</v>
      </c>
      <c r="Y382">
        <v>0</v>
      </c>
      <c r="Z382">
        <v>0</v>
      </c>
      <c r="AA382">
        <v>0</v>
      </c>
      <c r="AB382">
        <v>12.69</v>
      </c>
      <c r="AC382">
        <v>0</v>
      </c>
      <c r="AD382">
        <v>1</v>
      </c>
      <c r="AE382">
        <v>1</v>
      </c>
      <c r="AF382" t="s">
        <v>83</v>
      </c>
      <c r="AG382">
        <v>0.48799999999999999</v>
      </c>
      <c r="AH382">
        <v>2</v>
      </c>
      <c r="AI382">
        <v>16813777</v>
      </c>
      <c r="AJ382">
        <v>405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ROW(Source!A226)</f>
        <v>226</v>
      </c>
      <c r="B383">
        <v>16813783</v>
      </c>
      <c r="C383">
        <v>16813780</v>
      </c>
      <c r="D383">
        <v>15884231</v>
      </c>
      <c r="E383">
        <v>1</v>
      </c>
      <c r="F383">
        <v>1</v>
      </c>
      <c r="G383">
        <v>1</v>
      </c>
      <c r="H383">
        <v>1</v>
      </c>
      <c r="I383" t="s">
        <v>1088</v>
      </c>
      <c r="J383" t="s">
        <v>6</v>
      </c>
      <c r="K383" t="s">
        <v>1089</v>
      </c>
      <c r="L383">
        <v>1191</v>
      </c>
      <c r="N383">
        <v>1013</v>
      </c>
      <c r="O383" t="s">
        <v>773</v>
      </c>
      <c r="P383" t="s">
        <v>773</v>
      </c>
      <c r="Q383">
        <v>1</v>
      </c>
      <c r="X383">
        <v>1.1299999999999999</v>
      </c>
      <c r="Y383">
        <v>0</v>
      </c>
      <c r="Z383">
        <v>0</v>
      </c>
      <c r="AA383">
        <v>0</v>
      </c>
      <c r="AB383">
        <v>9.17</v>
      </c>
      <c r="AC383">
        <v>0</v>
      </c>
      <c r="AD383">
        <v>1</v>
      </c>
      <c r="AE383">
        <v>1</v>
      </c>
      <c r="AF383" t="s">
        <v>83</v>
      </c>
      <c r="AG383">
        <v>0.90399999999999991</v>
      </c>
      <c r="AH383">
        <v>2</v>
      </c>
      <c r="AI383">
        <v>16813781</v>
      </c>
      <c r="AJ383">
        <v>406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ROW(Source!A226)</f>
        <v>226</v>
      </c>
      <c r="B384">
        <v>16813784</v>
      </c>
      <c r="C384">
        <v>16813780</v>
      </c>
      <c r="D384">
        <v>15884285</v>
      </c>
      <c r="E384">
        <v>1</v>
      </c>
      <c r="F384">
        <v>1</v>
      </c>
      <c r="G384">
        <v>1</v>
      </c>
      <c r="H384">
        <v>1</v>
      </c>
      <c r="I384" t="s">
        <v>1090</v>
      </c>
      <c r="J384" t="s">
        <v>6</v>
      </c>
      <c r="K384" t="s">
        <v>1091</v>
      </c>
      <c r="L384">
        <v>1191</v>
      </c>
      <c r="N384">
        <v>1013</v>
      </c>
      <c r="O384" t="s">
        <v>773</v>
      </c>
      <c r="P384" t="s">
        <v>773</v>
      </c>
      <c r="Q384">
        <v>1</v>
      </c>
      <c r="X384">
        <v>1.7</v>
      </c>
      <c r="Y384">
        <v>0</v>
      </c>
      <c r="Z384">
        <v>0</v>
      </c>
      <c r="AA384">
        <v>0</v>
      </c>
      <c r="AB384">
        <v>14.09</v>
      </c>
      <c r="AC384">
        <v>0</v>
      </c>
      <c r="AD384">
        <v>1</v>
      </c>
      <c r="AE384">
        <v>1</v>
      </c>
      <c r="AF384" t="s">
        <v>83</v>
      </c>
      <c r="AG384">
        <v>1.36</v>
      </c>
      <c r="AH384">
        <v>2</v>
      </c>
      <c r="AI384">
        <v>16813782</v>
      </c>
      <c r="AJ384">
        <v>407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ROW(Source!A264)</f>
        <v>264</v>
      </c>
      <c r="B385">
        <v>16813793</v>
      </c>
      <c r="C385">
        <v>16813785</v>
      </c>
      <c r="D385">
        <v>15436556</v>
      </c>
      <c r="E385">
        <v>1</v>
      </c>
      <c r="F385">
        <v>1</v>
      </c>
      <c r="G385">
        <v>1</v>
      </c>
      <c r="H385">
        <v>1</v>
      </c>
      <c r="I385" t="s">
        <v>833</v>
      </c>
      <c r="J385" t="s">
        <v>6</v>
      </c>
      <c r="K385" t="s">
        <v>834</v>
      </c>
      <c r="L385">
        <v>1191</v>
      </c>
      <c r="N385">
        <v>1013</v>
      </c>
      <c r="O385" t="s">
        <v>773</v>
      </c>
      <c r="P385" t="s">
        <v>773</v>
      </c>
      <c r="Q385">
        <v>1</v>
      </c>
      <c r="X385">
        <v>0.84</v>
      </c>
      <c r="Y385">
        <v>0</v>
      </c>
      <c r="Z385">
        <v>0</v>
      </c>
      <c r="AA385">
        <v>0</v>
      </c>
      <c r="AB385">
        <v>9.6199999999999992</v>
      </c>
      <c r="AC385">
        <v>0</v>
      </c>
      <c r="AD385">
        <v>1</v>
      </c>
      <c r="AE385">
        <v>1</v>
      </c>
      <c r="AF385" t="s">
        <v>471</v>
      </c>
      <c r="AG385">
        <v>0.252</v>
      </c>
      <c r="AH385">
        <v>2</v>
      </c>
      <c r="AI385">
        <v>16813786</v>
      </c>
      <c r="AJ385">
        <v>408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ROW(Source!A264)</f>
        <v>264</v>
      </c>
      <c r="B386">
        <v>16813794</v>
      </c>
      <c r="C386">
        <v>16813785</v>
      </c>
      <c r="D386">
        <v>15165918</v>
      </c>
      <c r="E386">
        <v>1</v>
      </c>
      <c r="F386">
        <v>1</v>
      </c>
      <c r="G386">
        <v>1</v>
      </c>
      <c r="H386">
        <v>3</v>
      </c>
      <c r="I386" t="s">
        <v>1092</v>
      </c>
      <c r="J386" t="s">
        <v>1093</v>
      </c>
      <c r="K386" t="s">
        <v>1094</v>
      </c>
      <c r="L386">
        <v>1346</v>
      </c>
      <c r="N386">
        <v>1009</v>
      </c>
      <c r="O386" t="s">
        <v>277</v>
      </c>
      <c r="P386" t="s">
        <v>277</v>
      </c>
      <c r="Q386">
        <v>1</v>
      </c>
      <c r="X386">
        <v>2.0000000000000001E-4</v>
      </c>
      <c r="Y386">
        <v>27.74</v>
      </c>
      <c r="Z386">
        <v>0</v>
      </c>
      <c r="AA386">
        <v>0</v>
      </c>
      <c r="AB386">
        <v>0</v>
      </c>
      <c r="AC386">
        <v>0</v>
      </c>
      <c r="AD386">
        <v>1</v>
      </c>
      <c r="AE386">
        <v>0</v>
      </c>
      <c r="AF386" t="s">
        <v>31</v>
      </c>
      <c r="AG386">
        <v>0</v>
      </c>
      <c r="AH386">
        <v>2</v>
      </c>
      <c r="AI386">
        <v>16813787</v>
      </c>
      <c r="AJ386">
        <v>409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ROW(Source!A264)</f>
        <v>264</v>
      </c>
      <c r="B387">
        <v>16813795</v>
      </c>
      <c r="C387">
        <v>16813785</v>
      </c>
      <c r="D387">
        <v>15170072</v>
      </c>
      <c r="E387">
        <v>1</v>
      </c>
      <c r="F387">
        <v>1</v>
      </c>
      <c r="G387">
        <v>1</v>
      </c>
      <c r="H387">
        <v>3</v>
      </c>
      <c r="I387" t="s">
        <v>1095</v>
      </c>
      <c r="J387" t="s">
        <v>1096</v>
      </c>
      <c r="K387" t="s">
        <v>1097</v>
      </c>
      <c r="L387">
        <v>1355</v>
      </c>
      <c r="N387">
        <v>1010</v>
      </c>
      <c r="O387" t="s">
        <v>188</v>
      </c>
      <c r="P387" t="s">
        <v>188</v>
      </c>
      <c r="Q387">
        <v>100</v>
      </c>
      <c r="X387">
        <v>0.01</v>
      </c>
      <c r="Y387">
        <v>83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0</v>
      </c>
      <c r="AF387" t="s">
        <v>31</v>
      </c>
      <c r="AG387">
        <v>0</v>
      </c>
      <c r="AH387">
        <v>2</v>
      </c>
      <c r="AI387">
        <v>16813788</v>
      </c>
      <c r="AJ387">
        <v>410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ROW(Source!A264)</f>
        <v>264</v>
      </c>
      <c r="B388">
        <v>16813796</v>
      </c>
      <c r="C388">
        <v>16813785</v>
      </c>
      <c r="D388">
        <v>15171982</v>
      </c>
      <c r="E388">
        <v>1</v>
      </c>
      <c r="F388">
        <v>1</v>
      </c>
      <c r="G388">
        <v>1</v>
      </c>
      <c r="H388">
        <v>3</v>
      </c>
      <c r="I388" t="s">
        <v>804</v>
      </c>
      <c r="J388" t="s">
        <v>805</v>
      </c>
      <c r="K388" t="s">
        <v>806</v>
      </c>
      <c r="L388">
        <v>1348</v>
      </c>
      <c r="N388">
        <v>1009</v>
      </c>
      <c r="O388" t="s">
        <v>145</v>
      </c>
      <c r="P388" t="s">
        <v>145</v>
      </c>
      <c r="Q388">
        <v>1000</v>
      </c>
      <c r="X388">
        <v>1.0000000000000001E-5</v>
      </c>
      <c r="Y388">
        <v>729.98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 t="s">
        <v>31</v>
      </c>
      <c r="AG388">
        <v>0</v>
      </c>
      <c r="AH388">
        <v>2</v>
      </c>
      <c r="AI388">
        <v>16813789</v>
      </c>
      <c r="AJ388">
        <v>411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ROW(Source!A264)</f>
        <v>264</v>
      </c>
      <c r="B389">
        <v>16813797</v>
      </c>
      <c r="C389">
        <v>16813785</v>
      </c>
      <c r="D389">
        <v>15195043</v>
      </c>
      <c r="E389">
        <v>1</v>
      </c>
      <c r="F389">
        <v>1</v>
      </c>
      <c r="G389">
        <v>1</v>
      </c>
      <c r="H389">
        <v>3</v>
      </c>
      <c r="I389" t="s">
        <v>1098</v>
      </c>
      <c r="J389" t="s">
        <v>1099</v>
      </c>
      <c r="K389" t="s">
        <v>1100</v>
      </c>
      <c r="L389">
        <v>1346</v>
      </c>
      <c r="N389">
        <v>1009</v>
      </c>
      <c r="O389" t="s">
        <v>277</v>
      </c>
      <c r="P389" t="s">
        <v>277</v>
      </c>
      <c r="Q389">
        <v>1</v>
      </c>
      <c r="X389">
        <v>2E-3</v>
      </c>
      <c r="Y389">
        <v>65.75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0</v>
      </c>
      <c r="AF389" t="s">
        <v>31</v>
      </c>
      <c r="AG389">
        <v>0</v>
      </c>
      <c r="AH389">
        <v>2</v>
      </c>
      <c r="AI389">
        <v>16813790</v>
      </c>
      <c r="AJ389">
        <v>412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ROW(Source!A264)</f>
        <v>264</v>
      </c>
      <c r="B390">
        <v>16813798</v>
      </c>
      <c r="C390">
        <v>16813785</v>
      </c>
      <c r="D390">
        <v>15202502</v>
      </c>
      <c r="E390">
        <v>1</v>
      </c>
      <c r="F390">
        <v>1</v>
      </c>
      <c r="G390">
        <v>1</v>
      </c>
      <c r="H390">
        <v>3</v>
      </c>
      <c r="I390" t="s">
        <v>1101</v>
      </c>
      <c r="J390" t="s">
        <v>1102</v>
      </c>
      <c r="K390" t="s">
        <v>1103</v>
      </c>
      <c r="L390">
        <v>1346</v>
      </c>
      <c r="N390">
        <v>1009</v>
      </c>
      <c r="O390" t="s">
        <v>277</v>
      </c>
      <c r="P390" t="s">
        <v>277</v>
      </c>
      <c r="Q390">
        <v>1</v>
      </c>
      <c r="X390">
        <v>5.0000000000000001E-3</v>
      </c>
      <c r="Y390">
        <v>28.93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31</v>
      </c>
      <c r="AG390">
        <v>0</v>
      </c>
      <c r="AH390">
        <v>2</v>
      </c>
      <c r="AI390">
        <v>16813791</v>
      </c>
      <c r="AJ390">
        <v>413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ROW(Source!A264)</f>
        <v>264</v>
      </c>
      <c r="B391">
        <v>16813799</v>
      </c>
      <c r="C391">
        <v>16813785</v>
      </c>
      <c r="D391">
        <v>15164559</v>
      </c>
      <c r="E391">
        <v>17</v>
      </c>
      <c r="F391">
        <v>1</v>
      </c>
      <c r="G391">
        <v>1</v>
      </c>
      <c r="H391">
        <v>3</v>
      </c>
      <c r="I391" t="s">
        <v>989</v>
      </c>
      <c r="J391" t="s">
        <v>6</v>
      </c>
      <c r="K391" t="s">
        <v>990</v>
      </c>
      <c r="L391">
        <v>1374</v>
      </c>
      <c r="N391">
        <v>1013</v>
      </c>
      <c r="O391" t="s">
        <v>991</v>
      </c>
      <c r="P391" t="s">
        <v>991</v>
      </c>
      <c r="Q391">
        <v>1</v>
      </c>
      <c r="X391">
        <v>0.16</v>
      </c>
      <c r="Y391">
        <v>1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31</v>
      </c>
      <c r="AG391">
        <v>0</v>
      </c>
      <c r="AH391">
        <v>2</v>
      </c>
      <c r="AI391">
        <v>16813792</v>
      </c>
      <c r="AJ391">
        <v>414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ROW(Source!A265)</f>
        <v>265</v>
      </c>
      <c r="B392">
        <v>16813809</v>
      </c>
      <c r="C392">
        <v>16813800</v>
      </c>
      <c r="D392">
        <v>15436556</v>
      </c>
      <c r="E392">
        <v>1</v>
      </c>
      <c r="F392">
        <v>1</v>
      </c>
      <c r="G392">
        <v>1</v>
      </c>
      <c r="H392">
        <v>1</v>
      </c>
      <c r="I392" t="s">
        <v>833</v>
      </c>
      <c r="J392" t="s">
        <v>6</v>
      </c>
      <c r="K392" t="s">
        <v>834</v>
      </c>
      <c r="L392">
        <v>1191</v>
      </c>
      <c r="N392">
        <v>1013</v>
      </c>
      <c r="O392" t="s">
        <v>773</v>
      </c>
      <c r="P392" t="s">
        <v>773</v>
      </c>
      <c r="Q392">
        <v>1</v>
      </c>
      <c r="X392">
        <v>0.84</v>
      </c>
      <c r="Y392">
        <v>0</v>
      </c>
      <c r="Z392">
        <v>0</v>
      </c>
      <c r="AA392">
        <v>0</v>
      </c>
      <c r="AB392">
        <v>9.6199999999999992</v>
      </c>
      <c r="AC392">
        <v>0</v>
      </c>
      <c r="AD392">
        <v>1</v>
      </c>
      <c r="AE392">
        <v>1</v>
      </c>
      <c r="AF392" t="s">
        <v>6</v>
      </c>
      <c r="AG392">
        <v>0.84</v>
      </c>
      <c r="AH392">
        <v>2</v>
      </c>
      <c r="AI392">
        <v>16813801</v>
      </c>
      <c r="AJ392">
        <v>415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ROW(Source!A265)</f>
        <v>265</v>
      </c>
      <c r="B393">
        <v>16813810</v>
      </c>
      <c r="C393">
        <v>16813800</v>
      </c>
      <c r="D393">
        <v>15165918</v>
      </c>
      <c r="E393">
        <v>1</v>
      </c>
      <c r="F393">
        <v>1</v>
      </c>
      <c r="G393">
        <v>1</v>
      </c>
      <c r="H393">
        <v>3</v>
      </c>
      <c r="I393" t="s">
        <v>1092</v>
      </c>
      <c r="J393" t="s">
        <v>1093</v>
      </c>
      <c r="K393" t="s">
        <v>1094</v>
      </c>
      <c r="L393">
        <v>1346</v>
      </c>
      <c r="N393">
        <v>1009</v>
      </c>
      <c r="O393" t="s">
        <v>277</v>
      </c>
      <c r="P393" t="s">
        <v>277</v>
      </c>
      <c r="Q393">
        <v>1</v>
      </c>
      <c r="X393">
        <v>2.0000000000000001E-4</v>
      </c>
      <c r="Y393">
        <v>27.74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2.0000000000000001E-4</v>
      </c>
      <c r="AH393">
        <v>2</v>
      </c>
      <c r="AI393">
        <v>16813802</v>
      </c>
      <c r="AJ393">
        <v>416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ROW(Source!A265)</f>
        <v>265</v>
      </c>
      <c r="B394">
        <v>16813811</v>
      </c>
      <c r="C394">
        <v>16813800</v>
      </c>
      <c r="D394">
        <v>15170072</v>
      </c>
      <c r="E394">
        <v>1</v>
      </c>
      <c r="F394">
        <v>1</v>
      </c>
      <c r="G394">
        <v>1</v>
      </c>
      <c r="H394">
        <v>3</v>
      </c>
      <c r="I394" t="s">
        <v>1095</v>
      </c>
      <c r="J394" t="s">
        <v>1096</v>
      </c>
      <c r="K394" t="s">
        <v>1097</v>
      </c>
      <c r="L394">
        <v>1355</v>
      </c>
      <c r="N394">
        <v>1010</v>
      </c>
      <c r="O394" t="s">
        <v>188</v>
      </c>
      <c r="P394" t="s">
        <v>188</v>
      </c>
      <c r="Q394">
        <v>100</v>
      </c>
      <c r="X394">
        <v>0.01</v>
      </c>
      <c r="Y394">
        <v>83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0.01</v>
      </c>
      <c r="AH394">
        <v>2</v>
      </c>
      <c r="AI394">
        <v>16813803</v>
      </c>
      <c r="AJ394">
        <v>417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ROW(Source!A265)</f>
        <v>265</v>
      </c>
      <c r="B395">
        <v>16813812</v>
      </c>
      <c r="C395">
        <v>16813800</v>
      </c>
      <c r="D395">
        <v>15171982</v>
      </c>
      <c r="E395">
        <v>1</v>
      </c>
      <c r="F395">
        <v>1</v>
      </c>
      <c r="G395">
        <v>1</v>
      </c>
      <c r="H395">
        <v>3</v>
      </c>
      <c r="I395" t="s">
        <v>804</v>
      </c>
      <c r="J395" t="s">
        <v>805</v>
      </c>
      <c r="K395" t="s">
        <v>806</v>
      </c>
      <c r="L395">
        <v>1348</v>
      </c>
      <c r="N395">
        <v>1009</v>
      </c>
      <c r="O395" t="s">
        <v>145</v>
      </c>
      <c r="P395" t="s">
        <v>145</v>
      </c>
      <c r="Q395">
        <v>1000</v>
      </c>
      <c r="X395">
        <v>1.0000000000000001E-5</v>
      </c>
      <c r="Y395">
        <v>729.98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6</v>
      </c>
      <c r="AG395">
        <v>1.0000000000000001E-5</v>
      </c>
      <c r="AH395">
        <v>2</v>
      </c>
      <c r="AI395">
        <v>16813804</v>
      </c>
      <c r="AJ395">
        <v>418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ROW(Source!A265)</f>
        <v>265</v>
      </c>
      <c r="B396">
        <v>16813813</v>
      </c>
      <c r="C396">
        <v>16813800</v>
      </c>
      <c r="D396">
        <v>15195043</v>
      </c>
      <c r="E396">
        <v>1</v>
      </c>
      <c r="F396">
        <v>1</v>
      </c>
      <c r="G396">
        <v>1</v>
      </c>
      <c r="H396">
        <v>3</v>
      </c>
      <c r="I396" t="s">
        <v>1098</v>
      </c>
      <c r="J396" t="s">
        <v>1099</v>
      </c>
      <c r="K396" t="s">
        <v>1100</v>
      </c>
      <c r="L396">
        <v>1346</v>
      </c>
      <c r="N396">
        <v>1009</v>
      </c>
      <c r="O396" t="s">
        <v>277</v>
      </c>
      <c r="P396" t="s">
        <v>277</v>
      </c>
      <c r="Q396">
        <v>1</v>
      </c>
      <c r="X396">
        <v>2E-3</v>
      </c>
      <c r="Y396">
        <v>65.75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2E-3</v>
      </c>
      <c r="AH396">
        <v>2</v>
      </c>
      <c r="AI396">
        <v>16813805</v>
      </c>
      <c r="AJ396">
        <v>419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ROW(Source!A265)</f>
        <v>265</v>
      </c>
      <c r="B397">
        <v>16813814</v>
      </c>
      <c r="C397">
        <v>16813800</v>
      </c>
      <c r="D397">
        <v>15202502</v>
      </c>
      <c r="E397">
        <v>1</v>
      </c>
      <c r="F397">
        <v>1</v>
      </c>
      <c r="G397">
        <v>1</v>
      </c>
      <c r="H397">
        <v>3</v>
      </c>
      <c r="I397" t="s">
        <v>1101</v>
      </c>
      <c r="J397" t="s">
        <v>1102</v>
      </c>
      <c r="K397" t="s">
        <v>1103</v>
      </c>
      <c r="L397">
        <v>1346</v>
      </c>
      <c r="N397">
        <v>1009</v>
      </c>
      <c r="O397" t="s">
        <v>277</v>
      </c>
      <c r="P397" t="s">
        <v>277</v>
      </c>
      <c r="Q397">
        <v>1</v>
      </c>
      <c r="X397">
        <v>5.0000000000000001E-3</v>
      </c>
      <c r="Y397">
        <v>28.93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6</v>
      </c>
      <c r="AG397">
        <v>5.0000000000000001E-3</v>
      </c>
      <c r="AH397">
        <v>2</v>
      </c>
      <c r="AI397">
        <v>16813806</v>
      </c>
      <c r="AJ397">
        <v>420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ROW(Source!A265)</f>
        <v>265</v>
      </c>
      <c r="B398">
        <v>16813815</v>
      </c>
      <c r="C398">
        <v>16813800</v>
      </c>
      <c r="D398">
        <v>15164559</v>
      </c>
      <c r="E398">
        <v>17</v>
      </c>
      <c r="F398">
        <v>1</v>
      </c>
      <c r="G398">
        <v>1</v>
      </c>
      <c r="H398">
        <v>3</v>
      </c>
      <c r="I398" t="s">
        <v>989</v>
      </c>
      <c r="J398" t="s">
        <v>6</v>
      </c>
      <c r="K398" t="s">
        <v>990</v>
      </c>
      <c r="L398">
        <v>1374</v>
      </c>
      <c r="N398">
        <v>1013</v>
      </c>
      <c r="O398" t="s">
        <v>991</v>
      </c>
      <c r="P398" t="s">
        <v>991</v>
      </c>
      <c r="Q398">
        <v>1</v>
      </c>
      <c r="X398">
        <v>0.16</v>
      </c>
      <c r="Y398">
        <v>1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6</v>
      </c>
      <c r="AG398">
        <v>0.16</v>
      </c>
      <c r="AH398">
        <v>2</v>
      </c>
      <c r="AI398">
        <v>16813807</v>
      </c>
      <c r="AJ398">
        <v>422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ROW(Source!A267)</f>
        <v>267</v>
      </c>
      <c r="B399">
        <v>16813824</v>
      </c>
      <c r="C399">
        <v>16813817</v>
      </c>
      <c r="D399">
        <v>15446300</v>
      </c>
      <c r="E399">
        <v>1</v>
      </c>
      <c r="F399">
        <v>1</v>
      </c>
      <c r="G399">
        <v>1</v>
      </c>
      <c r="H399">
        <v>1</v>
      </c>
      <c r="I399" t="s">
        <v>780</v>
      </c>
      <c r="J399" t="s">
        <v>6</v>
      </c>
      <c r="K399" t="s">
        <v>781</v>
      </c>
      <c r="L399">
        <v>1191</v>
      </c>
      <c r="N399">
        <v>1013</v>
      </c>
      <c r="O399" t="s">
        <v>773</v>
      </c>
      <c r="P399" t="s">
        <v>773</v>
      </c>
      <c r="Q399">
        <v>1</v>
      </c>
      <c r="X399">
        <v>5.4</v>
      </c>
      <c r="Y399">
        <v>0</v>
      </c>
      <c r="Z399">
        <v>0</v>
      </c>
      <c r="AA399">
        <v>0</v>
      </c>
      <c r="AB399">
        <v>9.92</v>
      </c>
      <c r="AC399">
        <v>0</v>
      </c>
      <c r="AD399">
        <v>1</v>
      </c>
      <c r="AE399">
        <v>1</v>
      </c>
      <c r="AF399" t="s">
        <v>6</v>
      </c>
      <c r="AG399">
        <v>5.4</v>
      </c>
      <c r="AH399">
        <v>2</v>
      </c>
      <c r="AI399">
        <v>16813818</v>
      </c>
      <c r="AJ399">
        <v>423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ROW(Source!A267)</f>
        <v>267</v>
      </c>
      <c r="B400">
        <v>16813825</v>
      </c>
      <c r="C400">
        <v>16813817</v>
      </c>
      <c r="D400">
        <v>15165918</v>
      </c>
      <c r="E400">
        <v>1</v>
      </c>
      <c r="F400">
        <v>1</v>
      </c>
      <c r="G400">
        <v>1</v>
      </c>
      <c r="H400">
        <v>3</v>
      </c>
      <c r="I400" t="s">
        <v>1092</v>
      </c>
      <c r="J400" t="s">
        <v>1093</v>
      </c>
      <c r="K400" t="s">
        <v>1094</v>
      </c>
      <c r="L400">
        <v>1346</v>
      </c>
      <c r="N400">
        <v>1009</v>
      </c>
      <c r="O400" t="s">
        <v>277</v>
      </c>
      <c r="P400" t="s">
        <v>277</v>
      </c>
      <c r="Q400">
        <v>1</v>
      </c>
      <c r="X400">
        <v>1.2E-2</v>
      </c>
      <c r="Y400">
        <v>27.74</v>
      </c>
      <c r="Z400">
        <v>0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6</v>
      </c>
      <c r="AG400">
        <v>1.2E-2</v>
      </c>
      <c r="AH400">
        <v>2</v>
      </c>
      <c r="AI400">
        <v>16813819</v>
      </c>
      <c r="AJ400">
        <v>424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ROW(Source!A267)</f>
        <v>267</v>
      </c>
      <c r="B401">
        <v>16813826</v>
      </c>
      <c r="C401">
        <v>16813817</v>
      </c>
      <c r="D401">
        <v>15170072</v>
      </c>
      <c r="E401">
        <v>1</v>
      </c>
      <c r="F401">
        <v>1</v>
      </c>
      <c r="G401">
        <v>1</v>
      </c>
      <c r="H401">
        <v>3</v>
      </c>
      <c r="I401" t="s">
        <v>1095</v>
      </c>
      <c r="J401" t="s">
        <v>1096</v>
      </c>
      <c r="K401" t="s">
        <v>1097</v>
      </c>
      <c r="L401">
        <v>1355</v>
      </c>
      <c r="N401">
        <v>1010</v>
      </c>
      <c r="O401" t="s">
        <v>188</v>
      </c>
      <c r="P401" t="s">
        <v>188</v>
      </c>
      <c r="Q401">
        <v>100</v>
      </c>
      <c r="X401">
        <v>0.04</v>
      </c>
      <c r="Y401">
        <v>83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0.04</v>
      </c>
      <c r="AH401">
        <v>2</v>
      </c>
      <c r="AI401">
        <v>16813820</v>
      </c>
      <c r="AJ401">
        <v>425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ROW(Source!A267)</f>
        <v>267</v>
      </c>
      <c r="B402">
        <v>16813827</v>
      </c>
      <c r="C402">
        <v>16813817</v>
      </c>
      <c r="D402">
        <v>15195043</v>
      </c>
      <c r="E402">
        <v>1</v>
      </c>
      <c r="F402">
        <v>1</v>
      </c>
      <c r="G402">
        <v>1</v>
      </c>
      <c r="H402">
        <v>3</v>
      </c>
      <c r="I402" t="s">
        <v>1098</v>
      </c>
      <c r="J402" t="s">
        <v>1099</v>
      </c>
      <c r="K402" t="s">
        <v>1100</v>
      </c>
      <c r="L402">
        <v>1346</v>
      </c>
      <c r="N402">
        <v>1009</v>
      </c>
      <c r="O402" t="s">
        <v>277</v>
      </c>
      <c r="P402" t="s">
        <v>277</v>
      </c>
      <c r="Q402">
        <v>1</v>
      </c>
      <c r="X402">
        <v>0.12</v>
      </c>
      <c r="Y402">
        <v>65.75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0.12</v>
      </c>
      <c r="AH402">
        <v>2</v>
      </c>
      <c r="AI402">
        <v>16813821</v>
      </c>
      <c r="AJ402">
        <v>426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ROW(Source!A267)</f>
        <v>267</v>
      </c>
      <c r="B403">
        <v>16813828</v>
      </c>
      <c r="C403">
        <v>16813817</v>
      </c>
      <c r="D403">
        <v>15164559</v>
      </c>
      <c r="E403">
        <v>17</v>
      </c>
      <c r="F403">
        <v>1</v>
      </c>
      <c r="G403">
        <v>1</v>
      </c>
      <c r="H403">
        <v>3</v>
      </c>
      <c r="I403" t="s">
        <v>989</v>
      </c>
      <c r="J403" t="s">
        <v>6</v>
      </c>
      <c r="K403" t="s">
        <v>990</v>
      </c>
      <c r="L403">
        <v>1374</v>
      </c>
      <c r="N403">
        <v>1013</v>
      </c>
      <c r="O403" t="s">
        <v>991</v>
      </c>
      <c r="P403" t="s">
        <v>991</v>
      </c>
      <c r="Q403">
        <v>1</v>
      </c>
      <c r="X403">
        <v>1.07</v>
      </c>
      <c r="Y403">
        <v>1</v>
      </c>
      <c r="Z403">
        <v>0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6</v>
      </c>
      <c r="AG403">
        <v>1.07</v>
      </c>
      <c r="AH403">
        <v>2</v>
      </c>
      <c r="AI403">
        <v>16813822</v>
      </c>
      <c r="AJ403">
        <v>428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ROW(Source!A269)</f>
        <v>269</v>
      </c>
      <c r="B404">
        <v>16813835</v>
      </c>
      <c r="C404">
        <v>16813830</v>
      </c>
      <c r="D404">
        <v>15438286</v>
      </c>
      <c r="E404">
        <v>1</v>
      </c>
      <c r="F404">
        <v>1</v>
      </c>
      <c r="G404">
        <v>1</v>
      </c>
      <c r="H404">
        <v>1</v>
      </c>
      <c r="I404" t="s">
        <v>874</v>
      </c>
      <c r="J404" t="s">
        <v>6</v>
      </c>
      <c r="K404" t="s">
        <v>875</v>
      </c>
      <c r="L404">
        <v>1191</v>
      </c>
      <c r="N404">
        <v>1013</v>
      </c>
      <c r="O404" t="s">
        <v>773</v>
      </c>
      <c r="P404" t="s">
        <v>773</v>
      </c>
      <c r="Q404">
        <v>1</v>
      </c>
      <c r="X404">
        <v>15.2</v>
      </c>
      <c r="Y404">
        <v>0</v>
      </c>
      <c r="Z404">
        <v>0</v>
      </c>
      <c r="AA404">
        <v>0</v>
      </c>
      <c r="AB404">
        <v>9.18</v>
      </c>
      <c r="AC404">
        <v>0</v>
      </c>
      <c r="AD404">
        <v>1</v>
      </c>
      <c r="AE404">
        <v>1</v>
      </c>
      <c r="AF404" t="s">
        <v>6</v>
      </c>
      <c r="AG404">
        <v>15.2</v>
      </c>
      <c r="AH404">
        <v>2</v>
      </c>
      <c r="AI404">
        <v>16813831</v>
      </c>
      <c r="AJ404">
        <v>429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ROW(Source!A269)</f>
        <v>269</v>
      </c>
      <c r="B405">
        <v>16813836</v>
      </c>
      <c r="C405">
        <v>16813830</v>
      </c>
      <c r="D405">
        <v>15170155</v>
      </c>
      <c r="E405">
        <v>1</v>
      </c>
      <c r="F405">
        <v>1</v>
      </c>
      <c r="G405">
        <v>1</v>
      </c>
      <c r="H405">
        <v>3</v>
      </c>
      <c r="I405" t="s">
        <v>899</v>
      </c>
      <c r="J405" t="s">
        <v>900</v>
      </c>
      <c r="K405" t="s">
        <v>901</v>
      </c>
      <c r="L405">
        <v>1355</v>
      </c>
      <c r="N405">
        <v>1010</v>
      </c>
      <c r="O405" t="s">
        <v>188</v>
      </c>
      <c r="P405" t="s">
        <v>188</v>
      </c>
      <c r="Q405">
        <v>100</v>
      </c>
      <c r="X405">
        <v>1.75</v>
      </c>
      <c r="Y405">
        <v>8</v>
      </c>
      <c r="Z405">
        <v>0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6</v>
      </c>
      <c r="AG405">
        <v>1.75</v>
      </c>
      <c r="AH405">
        <v>2</v>
      </c>
      <c r="AI405">
        <v>16813832</v>
      </c>
      <c r="AJ405">
        <v>430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ROW(Source!A269)</f>
        <v>269</v>
      </c>
      <c r="B406">
        <v>16813837</v>
      </c>
      <c r="C406">
        <v>16813830</v>
      </c>
      <c r="D406">
        <v>15164559</v>
      </c>
      <c r="E406">
        <v>17</v>
      </c>
      <c r="F406">
        <v>1</v>
      </c>
      <c r="G406">
        <v>1</v>
      </c>
      <c r="H406">
        <v>3</v>
      </c>
      <c r="I406" t="s">
        <v>989</v>
      </c>
      <c r="J406" t="s">
        <v>6</v>
      </c>
      <c r="K406" t="s">
        <v>990</v>
      </c>
      <c r="L406">
        <v>1374</v>
      </c>
      <c r="N406">
        <v>1013</v>
      </c>
      <c r="O406" t="s">
        <v>991</v>
      </c>
      <c r="P406" t="s">
        <v>991</v>
      </c>
      <c r="Q406">
        <v>1</v>
      </c>
      <c r="X406">
        <v>2.79</v>
      </c>
      <c r="Y406">
        <v>1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2.79</v>
      </c>
      <c r="AH406">
        <v>2</v>
      </c>
      <c r="AI406">
        <v>16813833</v>
      </c>
      <c r="AJ406">
        <v>432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ROW(Source!A271)</f>
        <v>271</v>
      </c>
      <c r="B407">
        <v>16813851</v>
      </c>
      <c r="C407">
        <v>16813839</v>
      </c>
      <c r="D407">
        <v>15430397</v>
      </c>
      <c r="E407">
        <v>1</v>
      </c>
      <c r="F407">
        <v>1</v>
      </c>
      <c r="G407">
        <v>1</v>
      </c>
      <c r="H407">
        <v>1</v>
      </c>
      <c r="I407" t="s">
        <v>838</v>
      </c>
      <c r="J407" t="s">
        <v>6</v>
      </c>
      <c r="K407" t="s">
        <v>839</v>
      </c>
      <c r="L407">
        <v>1191</v>
      </c>
      <c r="N407">
        <v>1013</v>
      </c>
      <c r="O407" t="s">
        <v>773</v>
      </c>
      <c r="P407" t="s">
        <v>773</v>
      </c>
      <c r="Q407">
        <v>1</v>
      </c>
      <c r="X407">
        <v>5.39</v>
      </c>
      <c r="Y407">
        <v>0</v>
      </c>
      <c r="Z407">
        <v>0</v>
      </c>
      <c r="AA407">
        <v>0</v>
      </c>
      <c r="AB407">
        <v>9.4</v>
      </c>
      <c r="AC407">
        <v>0</v>
      </c>
      <c r="AD407">
        <v>1</v>
      </c>
      <c r="AE407">
        <v>1</v>
      </c>
      <c r="AF407" t="s">
        <v>6</v>
      </c>
      <c r="AG407">
        <v>5.39</v>
      </c>
      <c r="AH407">
        <v>2</v>
      </c>
      <c r="AI407">
        <v>16813840</v>
      </c>
      <c r="AJ407">
        <v>433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ROW(Source!A271)</f>
        <v>271</v>
      </c>
      <c r="B408">
        <v>16813852</v>
      </c>
      <c r="C408">
        <v>16813839</v>
      </c>
      <c r="D408">
        <v>15430395</v>
      </c>
      <c r="E408">
        <v>1</v>
      </c>
      <c r="F408">
        <v>1</v>
      </c>
      <c r="G408">
        <v>1</v>
      </c>
      <c r="H408">
        <v>1</v>
      </c>
      <c r="I408" t="s">
        <v>774</v>
      </c>
      <c r="J408" t="s">
        <v>6</v>
      </c>
      <c r="K408" t="s">
        <v>775</v>
      </c>
      <c r="L408">
        <v>1191</v>
      </c>
      <c r="N408">
        <v>1013</v>
      </c>
      <c r="O408" t="s">
        <v>773</v>
      </c>
      <c r="P408" t="s">
        <v>773</v>
      </c>
      <c r="Q408">
        <v>1</v>
      </c>
      <c r="X408">
        <v>0.04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2</v>
      </c>
      <c r="AF408" t="s">
        <v>6</v>
      </c>
      <c r="AG408">
        <v>0.04</v>
      </c>
      <c r="AH408">
        <v>2</v>
      </c>
      <c r="AI408">
        <v>16813841</v>
      </c>
      <c r="AJ408">
        <v>434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ROW(Source!A271)</f>
        <v>271</v>
      </c>
      <c r="B409">
        <v>16813853</v>
      </c>
      <c r="C409">
        <v>16813839</v>
      </c>
      <c r="D409">
        <v>15247680</v>
      </c>
      <c r="E409">
        <v>1</v>
      </c>
      <c r="F409">
        <v>1</v>
      </c>
      <c r="G409">
        <v>1</v>
      </c>
      <c r="H409">
        <v>2</v>
      </c>
      <c r="I409" t="s">
        <v>959</v>
      </c>
      <c r="J409" t="s">
        <v>960</v>
      </c>
      <c r="K409" t="s">
        <v>961</v>
      </c>
      <c r="L409">
        <v>1368</v>
      </c>
      <c r="N409">
        <v>1011</v>
      </c>
      <c r="O409" t="s">
        <v>779</v>
      </c>
      <c r="P409" t="s">
        <v>779</v>
      </c>
      <c r="Q409">
        <v>1</v>
      </c>
      <c r="X409">
        <v>0.02</v>
      </c>
      <c r="Y409">
        <v>0</v>
      </c>
      <c r="Z409">
        <v>111.99</v>
      </c>
      <c r="AA409">
        <v>13.5</v>
      </c>
      <c r="AB409">
        <v>0</v>
      </c>
      <c r="AC409">
        <v>0</v>
      </c>
      <c r="AD409">
        <v>1</v>
      </c>
      <c r="AE409">
        <v>0</v>
      </c>
      <c r="AF409" t="s">
        <v>6</v>
      </c>
      <c r="AG409">
        <v>0.02</v>
      </c>
      <c r="AH409">
        <v>2</v>
      </c>
      <c r="AI409">
        <v>16813842</v>
      </c>
      <c r="AJ409">
        <v>435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ROW(Source!A271)</f>
        <v>271</v>
      </c>
      <c r="B410">
        <v>16813854</v>
      </c>
      <c r="C410">
        <v>16813839</v>
      </c>
      <c r="D410">
        <v>15249073</v>
      </c>
      <c r="E410">
        <v>1</v>
      </c>
      <c r="F410">
        <v>1</v>
      </c>
      <c r="G410">
        <v>1</v>
      </c>
      <c r="H410">
        <v>2</v>
      </c>
      <c r="I410" t="s">
        <v>782</v>
      </c>
      <c r="J410" t="s">
        <v>783</v>
      </c>
      <c r="K410" t="s">
        <v>784</v>
      </c>
      <c r="L410">
        <v>1368</v>
      </c>
      <c r="N410">
        <v>1011</v>
      </c>
      <c r="O410" t="s">
        <v>779</v>
      </c>
      <c r="P410" t="s">
        <v>779</v>
      </c>
      <c r="Q410">
        <v>1</v>
      </c>
      <c r="X410">
        <v>0.02</v>
      </c>
      <c r="Y410">
        <v>0</v>
      </c>
      <c r="Z410">
        <v>65.709999999999994</v>
      </c>
      <c r="AA410">
        <v>11.6</v>
      </c>
      <c r="AB410">
        <v>0</v>
      </c>
      <c r="AC410">
        <v>0</v>
      </c>
      <c r="AD410">
        <v>1</v>
      </c>
      <c r="AE410">
        <v>0</v>
      </c>
      <c r="AF410" t="s">
        <v>6</v>
      </c>
      <c r="AG410">
        <v>0.02</v>
      </c>
      <c r="AH410">
        <v>2</v>
      </c>
      <c r="AI410">
        <v>16813843</v>
      </c>
      <c r="AJ410">
        <v>436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ROW(Source!A271)</f>
        <v>271</v>
      </c>
      <c r="B411">
        <v>16813855</v>
      </c>
      <c r="C411">
        <v>16813839</v>
      </c>
      <c r="D411">
        <v>15167588</v>
      </c>
      <c r="E411">
        <v>1</v>
      </c>
      <c r="F411">
        <v>1</v>
      </c>
      <c r="G411">
        <v>1</v>
      </c>
      <c r="H411">
        <v>3</v>
      </c>
      <c r="I411" t="s">
        <v>1006</v>
      </c>
      <c r="J411" t="s">
        <v>1007</v>
      </c>
      <c r="K411" t="s">
        <v>1008</v>
      </c>
      <c r="L411">
        <v>1346</v>
      </c>
      <c r="N411">
        <v>1009</v>
      </c>
      <c r="O411" t="s">
        <v>277</v>
      </c>
      <c r="P411" t="s">
        <v>277</v>
      </c>
      <c r="Q411">
        <v>1</v>
      </c>
      <c r="X411">
        <v>0.16</v>
      </c>
      <c r="Y411">
        <v>30.4</v>
      </c>
      <c r="Z411">
        <v>0</v>
      </c>
      <c r="AA411">
        <v>0</v>
      </c>
      <c r="AB411">
        <v>0</v>
      </c>
      <c r="AC411">
        <v>0</v>
      </c>
      <c r="AD411">
        <v>1</v>
      </c>
      <c r="AE411">
        <v>0</v>
      </c>
      <c r="AF411" t="s">
        <v>6</v>
      </c>
      <c r="AG411">
        <v>0.16</v>
      </c>
      <c r="AH411">
        <v>2</v>
      </c>
      <c r="AI411">
        <v>16813844</v>
      </c>
      <c r="AJ411">
        <v>437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ROW(Source!A271)</f>
        <v>271</v>
      </c>
      <c r="B412">
        <v>16813856</v>
      </c>
      <c r="C412">
        <v>16813839</v>
      </c>
      <c r="D412">
        <v>15167867</v>
      </c>
      <c r="E412">
        <v>1</v>
      </c>
      <c r="F412">
        <v>1</v>
      </c>
      <c r="G412">
        <v>1</v>
      </c>
      <c r="H412">
        <v>3</v>
      </c>
      <c r="I412" t="s">
        <v>1055</v>
      </c>
      <c r="J412" t="s">
        <v>1056</v>
      </c>
      <c r="K412" t="s">
        <v>1057</v>
      </c>
      <c r="L412">
        <v>1348</v>
      </c>
      <c r="N412">
        <v>1009</v>
      </c>
      <c r="O412" t="s">
        <v>145</v>
      </c>
      <c r="P412" t="s">
        <v>145</v>
      </c>
      <c r="Q412">
        <v>1000</v>
      </c>
      <c r="X412">
        <v>5.9999999999999995E-4</v>
      </c>
      <c r="Y412">
        <v>1820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6</v>
      </c>
      <c r="AG412">
        <v>5.9999999999999995E-4</v>
      </c>
      <c r="AH412">
        <v>2</v>
      </c>
      <c r="AI412">
        <v>16813845</v>
      </c>
      <c r="AJ412">
        <v>438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ROW(Source!A271)</f>
        <v>271</v>
      </c>
      <c r="B413">
        <v>16813857</v>
      </c>
      <c r="C413">
        <v>16813839</v>
      </c>
      <c r="D413">
        <v>15203834</v>
      </c>
      <c r="E413">
        <v>1</v>
      </c>
      <c r="F413">
        <v>1</v>
      </c>
      <c r="G413">
        <v>1</v>
      </c>
      <c r="H413">
        <v>3</v>
      </c>
      <c r="I413" t="s">
        <v>1024</v>
      </c>
      <c r="J413" t="s">
        <v>1025</v>
      </c>
      <c r="K413" t="s">
        <v>320</v>
      </c>
      <c r="L413">
        <v>1346</v>
      </c>
      <c r="N413">
        <v>1009</v>
      </c>
      <c r="O413" t="s">
        <v>277</v>
      </c>
      <c r="P413" t="s">
        <v>277</v>
      </c>
      <c r="Q413">
        <v>1</v>
      </c>
      <c r="X413">
        <v>0.02</v>
      </c>
      <c r="Y413">
        <v>28.6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6</v>
      </c>
      <c r="AG413">
        <v>0.02</v>
      </c>
      <c r="AH413">
        <v>2</v>
      </c>
      <c r="AI413">
        <v>16813846</v>
      </c>
      <c r="AJ413">
        <v>439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ROW(Source!A271)</f>
        <v>271</v>
      </c>
      <c r="B414">
        <v>16813858</v>
      </c>
      <c r="C414">
        <v>16813839</v>
      </c>
      <c r="D414">
        <v>15217527</v>
      </c>
      <c r="E414">
        <v>1</v>
      </c>
      <c r="F414">
        <v>1</v>
      </c>
      <c r="G414">
        <v>1</v>
      </c>
      <c r="H414">
        <v>3</v>
      </c>
      <c r="I414" t="s">
        <v>1104</v>
      </c>
      <c r="J414" t="s">
        <v>1105</v>
      </c>
      <c r="K414" t="s">
        <v>1106</v>
      </c>
      <c r="L414">
        <v>1355</v>
      </c>
      <c r="N414">
        <v>1010</v>
      </c>
      <c r="O414" t="s">
        <v>188</v>
      </c>
      <c r="P414" t="s">
        <v>188</v>
      </c>
      <c r="Q414">
        <v>100</v>
      </c>
      <c r="X414">
        <v>0.05</v>
      </c>
      <c r="Y414">
        <v>110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0</v>
      </c>
      <c r="AF414" t="s">
        <v>6</v>
      </c>
      <c r="AG414">
        <v>0.05</v>
      </c>
      <c r="AH414">
        <v>2</v>
      </c>
      <c r="AI414">
        <v>16813847</v>
      </c>
      <c r="AJ414">
        <v>440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ROW(Source!A271)</f>
        <v>271</v>
      </c>
      <c r="B415">
        <v>16813859</v>
      </c>
      <c r="C415">
        <v>16813839</v>
      </c>
      <c r="D415">
        <v>15217578</v>
      </c>
      <c r="E415">
        <v>1</v>
      </c>
      <c r="F415">
        <v>1</v>
      </c>
      <c r="G415">
        <v>1</v>
      </c>
      <c r="H415">
        <v>3</v>
      </c>
      <c r="I415" t="s">
        <v>1107</v>
      </c>
      <c r="J415" t="s">
        <v>1108</v>
      </c>
      <c r="K415" t="s">
        <v>1109</v>
      </c>
      <c r="L415">
        <v>1356</v>
      </c>
      <c r="N415">
        <v>1010</v>
      </c>
      <c r="O415" t="s">
        <v>882</v>
      </c>
      <c r="P415" t="s">
        <v>882</v>
      </c>
      <c r="Q415">
        <v>1000</v>
      </c>
      <c r="X415">
        <v>1.2200000000000001E-2</v>
      </c>
      <c r="Y415">
        <v>119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0</v>
      </c>
      <c r="AF415" t="s">
        <v>6</v>
      </c>
      <c r="AG415">
        <v>1.2200000000000001E-2</v>
      </c>
      <c r="AH415">
        <v>2</v>
      </c>
      <c r="AI415">
        <v>16813848</v>
      </c>
      <c r="AJ415">
        <v>441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ROW(Source!A271)</f>
        <v>271</v>
      </c>
      <c r="B416">
        <v>16813860</v>
      </c>
      <c r="C416">
        <v>16813839</v>
      </c>
      <c r="D416">
        <v>15164559</v>
      </c>
      <c r="E416">
        <v>17</v>
      </c>
      <c r="F416">
        <v>1</v>
      </c>
      <c r="G416">
        <v>1</v>
      </c>
      <c r="H416">
        <v>3</v>
      </c>
      <c r="I416" t="s">
        <v>989</v>
      </c>
      <c r="J416" t="s">
        <v>6</v>
      </c>
      <c r="K416" t="s">
        <v>990</v>
      </c>
      <c r="L416">
        <v>1374</v>
      </c>
      <c r="N416">
        <v>1013</v>
      </c>
      <c r="O416" t="s">
        <v>991</v>
      </c>
      <c r="P416" t="s">
        <v>991</v>
      </c>
      <c r="Q416">
        <v>1</v>
      </c>
      <c r="X416">
        <v>1.01</v>
      </c>
      <c r="Y416">
        <v>1</v>
      </c>
      <c r="Z416">
        <v>0</v>
      </c>
      <c r="AA416">
        <v>0</v>
      </c>
      <c r="AB416">
        <v>0</v>
      </c>
      <c r="AC416">
        <v>0</v>
      </c>
      <c r="AD416">
        <v>1</v>
      </c>
      <c r="AE416">
        <v>0</v>
      </c>
      <c r="AF416" t="s">
        <v>6</v>
      </c>
      <c r="AG416">
        <v>1.01</v>
      </c>
      <c r="AH416">
        <v>2</v>
      </c>
      <c r="AI416">
        <v>16813849</v>
      </c>
      <c r="AJ416">
        <v>443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ROW(Source!A273)</f>
        <v>273</v>
      </c>
      <c r="B417">
        <v>16813865</v>
      </c>
      <c r="C417">
        <v>16813862</v>
      </c>
      <c r="D417">
        <v>15478766</v>
      </c>
      <c r="E417">
        <v>1</v>
      </c>
      <c r="F417">
        <v>1</v>
      </c>
      <c r="G417">
        <v>1</v>
      </c>
      <c r="H417">
        <v>1</v>
      </c>
      <c r="I417" t="s">
        <v>1110</v>
      </c>
      <c r="J417" t="s">
        <v>6</v>
      </c>
      <c r="K417" t="s">
        <v>1111</v>
      </c>
      <c r="L417">
        <v>1191</v>
      </c>
      <c r="N417">
        <v>1013</v>
      </c>
      <c r="O417" t="s">
        <v>773</v>
      </c>
      <c r="P417" t="s">
        <v>773</v>
      </c>
      <c r="Q417">
        <v>1</v>
      </c>
      <c r="X417">
        <v>0.4</v>
      </c>
      <c r="Y417">
        <v>0</v>
      </c>
      <c r="Z417">
        <v>0</v>
      </c>
      <c r="AA417">
        <v>0</v>
      </c>
      <c r="AB417">
        <v>11.09</v>
      </c>
      <c r="AC417">
        <v>0</v>
      </c>
      <c r="AD417">
        <v>1</v>
      </c>
      <c r="AE417">
        <v>1</v>
      </c>
      <c r="AF417" t="s">
        <v>6</v>
      </c>
      <c r="AG417">
        <v>0.4</v>
      </c>
      <c r="AH417">
        <v>2</v>
      </c>
      <c r="AI417">
        <v>16813863</v>
      </c>
      <c r="AJ417">
        <v>444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ROW(Source!A273)</f>
        <v>273</v>
      </c>
      <c r="B418">
        <v>16813866</v>
      </c>
      <c r="C418">
        <v>16813862</v>
      </c>
      <c r="D418">
        <v>15164559</v>
      </c>
      <c r="E418">
        <v>17</v>
      </c>
      <c r="F418">
        <v>1</v>
      </c>
      <c r="G418">
        <v>1</v>
      </c>
      <c r="H418">
        <v>3</v>
      </c>
      <c r="I418" t="s">
        <v>989</v>
      </c>
      <c r="J418" t="s">
        <v>6</v>
      </c>
      <c r="K418" t="s">
        <v>990</v>
      </c>
      <c r="L418">
        <v>1374</v>
      </c>
      <c r="N418">
        <v>1013</v>
      </c>
      <c r="O418" t="s">
        <v>991</v>
      </c>
      <c r="P418" t="s">
        <v>991</v>
      </c>
      <c r="Q418">
        <v>1</v>
      </c>
      <c r="X418">
        <v>0.09</v>
      </c>
      <c r="Y418">
        <v>1</v>
      </c>
      <c r="Z418">
        <v>0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6</v>
      </c>
      <c r="AG418">
        <v>0.09</v>
      </c>
      <c r="AH418">
        <v>2</v>
      </c>
      <c r="AI418">
        <v>16813864</v>
      </c>
      <c r="AJ418">
        <v>445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ROW(Source!A308)</f>
        <v>308</v>
      </c>
      <c r="B419">
        <v>16814409</v>
      </c>
      <c r="C419">
        <v>16814404</v>
      </c>
      <c r="D419">
        <v>15438286</v>
      </c>
      <c r="E419">
        <v>1</v>
      </c>
      <c r="F419">
        <v>1</v>
      </c>
      <c r="G419">
        <v>1</v>
      </c>
      <c r="H419">
        <v>1</v>
      </c>
      <c r="I419" t="s">
        <v>874</v>
      </c>
      <c r="J419" t="s">
        <v>6</v>
      </c>
      <c r="K419" t="s">
        <v>875</v>
      </c>
      <c r="L419">
        <v>1191</v>
      </c>
      <c r="N419">
        <v>1013</v>
      </c>
      <c r="O419" t="s">
        <v>773</v>
      </c>
      <c r="P419" t="s">
        <v>773</v>
      </c>
      <c r="Q419">
        <v>1</v>
      </c>
      <c r="X419">
        <v>15.2</v>
      </c>
      <c r="Y419">
        <v>0</v>
      </c>
      <c r="Z419">
        <v>0</v>
      </c>
      <c r="AA419">
        <v>0</v>
      </c>
      <c r="AB419">
        <v>9.18</v>
      </c>
      <c r="AC419">
        <v>0</v>
      </c>
      <c r="AD419">
        <v>1</v>
      </c>
      <c r="AE419">
        <v>1</v>
      </c>
      <c r="AF419" t="s">
        <v>6</v>
      </c>
      <c r="AG419">
        <v>15.2</v>
      </c>
      <c r="AH419">
        <v>2</v>
      </c>
      <c r="AI419">
        <v>16814405</v>
      </c>
      <c r="AJ419">
        <v>446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ROW(Source!A308)</f>
        <v>308</v>
      </c>
      <c r="B420">
        <v>16814410</v>
      </c>
      <c r="C420">
        <v>16814404</v>
      </c>
      <c r="D420">
        <v>15170155</v>
      </c>
      <c r="E420">
        <v>1</v>
      </c>
      <c r="F420">
        <v>1</v>
      </c>
      <c r="G420">
        <v>1</v>
      </c>
      <c r="H420">
        <v>3</v>
      </c>
      <c r="I420" t="s">
        <v>899</v>
      </c>
      <c r="J420" t="s">
        <v>900</v>
      </c>
      <c r="K420" t="s">
        <v>901</v>
      </c>
      <c r="L420">
        <v>1355</v>
      </c>
      <c r="N420">
        <v>1010</v>
      </c>
      <c r="O420" t="s">
        <v>188</v>
      </c>
      <c r="P420" t="s">
        <v>188</v>
      </c>
      <c r="Q420">
        <v>100</v>
      </c>
      <c r="X420">
        <v>1.75</v>
      </c>
      <c r="Y420">
        <v>8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6</v>
      </c>
      <c r="AG420">
        <v>1.75</v>
      </c>
      <c r="AH420">
        <v>2</v>
      </c>
      <c r="AI420">
        <v>16814406</v>
      </c>
      <c r="AJ420">
        <v>447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ROW(Source!A308)</f>
        <v>308</v>
      </c>
      <c r="B421">
        <v>16814411</v>
      </c>
      <c r="C421">
        <v>16814404</v>
      </c>
      <c r="D421">
        <v>15164559</v>
      </c>
      <c r="E421">
        <v>17</v>
      </c>
      <c r="F421">
        <v>1</v>
      </c>
      <c r="G421">
        <v>1</v>
      </c>
      <c r="H421">
        <v>3</v>
      </c>
      <c r="I421" t="s">
        <v>989</v>
      </c>
      <c r="J421" t="s">
        <v>6</v>
      </c>
      <c r="K421" t="s">
        <v>990</v>
      </c>
      <c r="L421">
        <v>1374</v>
      </c>
      <c r="N421">
        <v>1013</v>
      </c>
      <c r="O421" t="s">
        <v>991</v>
      </c>
      <c r="P421" t="s">
        <v>991</v>
      </c>
      <c r="Q421">
        <v>1</v>
      </c>
      <c r="X421">
        <v>2.79</v>
      </c>
      <c r="Y421">
        <v>1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6</v>
      </c>
      <c r="AG421">
        <v>2.79</v>
      </c>
      <c r="AH421">
        <v>2</v>
      </c>
      <c r="AI421">
        <v>16814408</v>
      </c>
      <c r="AJ421">
        <v>449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ROW(Source!A310)</f>
        <v>310</v>
      </c>
      <c r="B422">
        <v>16814425</v>
      </c>
      <c r="C422">
        <v>16814413</v>
      </c>
      <c r="D422">
        <v>15430397</v>
      </c>
      <c r="E422">
        <v>1</v>
      </c>
      <c r="F422">
        <v>1</v>
      </c>
      <c r="G422">
        <v>1</v>
      </c>
      <c r="H422">
        <v>1</v>
      </c>
      <c r="I422" t="s">
        <v>838</v>
      </c>
      <c r="J422" t="s">
        <v>6</v>
      </c>
      <c r="K422" t="s">
        <v>839</v>
      </c>
      <c r="L422">
        <v>1191</v>
      </c>
      <c r="N422">
        <v>1013</v>
      </c>
      <c r="O422" t="s">
        <v>773</v>
      </c>
      <c r="P422" t="s">
        <v>773</v>
      </c>
      <c r="Q422">
        <v>1</v>
      </c>
      <c r="X422">
        <v>5.39</v>
      </c>
      <c r="Y422">
        <v>0</v>
      </c>
      <c r="Z422">
        <v>0</v>
      </c>
      <c r="AA422">
        <v>0</v>
      </c>
      <c r="AB422">
        <v>9.4</v>
      </c>
      <c r="AC422">
        <v>0</v>
      </c>
      <c r="AD422">
        <v>1</v>
      </c>
      <c r="AE422">
        <v>1</v>
      </c>
      <c r="AF422" t="s">
        <v>6</v>
      </c>
      <c r="AG422">
        <v>5.39</v>
      </c>
      <c r="AH422">
        <v>2</v>
      </c>
      <c r="AI422">
        <v>16814414</v>
      </c>
      <c r="AJ422">
        <v>450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ROW(Source!A310)</f>
        <v>310</v>
      </c>
      <c r="B423">
        <v>16814426</v>
      </c>
      <c r="C423">
        <v>16814413</v>
      </c>
      <c r="D423">
        <v>15430395</v>
      </c>
      <c r="E423">
        <v>1</v>
      </c>
      <c r="F423">
        <v>1</v>
      </c>
      <c r="G423">
        <v>1</v>
      </c>
      <c r="H423">
        <v>1</v>
      </c>
      <c r="I423" t="s">
        <v>774</v>
      </c>
      <c r="J423" t="s">
        <v>6</v>
      </c>
      <c r="K423" t="s">
        <v>775</v>
      </c>
      <c r="L423">
        <v>1191</v>
      </c>
      <c r="N423">
        <v>1013</v>
      </c>
      <c r="O423" t="s">
        <v>773</v>
      </c>
      <c r="P423" t="s">
        <v>773</v>
      </c>
      <c r="Q423">
        <v>1</v>
      </c>
      <c r="X423">
        <v>0.04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2</v>
      </c>
      <c r="AF423" t="s">
        <v>6</v>
      </c>
      <c r="AG423">
        <v>0.04</v>
      </c>
      <c r="AH423">
        <v>2</v>
      </c>
      <c r="AI423">
        <v>16814415</v>
      </c>
      <c r="AJ423">
        <v>451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ROW(Source!A310)</f>
        <v>310</v>
      </c>
      <c r="B424">
        <v>16814427</v>
      </c>
      <c r="C424">
        <v>16814413</v>
      </c>
      <c r="D424">
        <v>15247680</v>
      </c>
      <c r="E424">
        <v>1</v>
      </c>
      <c r="F424">
        <v>1</v>
      </c>
      <c r="G424">
        <v>1</v>
      </c>
      <c r="H424">
        <v>2</v>
      </c>
      <c r="I424" t="s">
        <v>959</v>
      </c>
      <c r="J424" t="s">
        <v>960</v>
      </c>
      <c r="K424" t="s">
        <v>961</v>
      </c>
      <c r="L424">
        <v>1368</v>
      </c>
      <c r="N424">
        <v>1011</v>
      </c>
      <c r="O424" t="s">
        <v>779</v>
      </c>
      <c r="P424" t="s">
        <v>779</v>
      </c>
      <c r="Q424">
        <v>1</v>
      </c>
      <c r="X424">
        <v>0.02</v>
      </c>
      <c r="Y424">
        <v>0</v>
      </c>
      <c r="Z424">
        <v>111.99</v>
      </c>
      <c r="AA424">
        <v>13.5</v>
      </c>
      <c r="AB424">
        <v>0</v>
      </c>
      <c r="AC424">
        <v>0</v>
      </c>
      <c r="AD424">
        <v>1</v>
      </c>
      <c r="AE424">
        <v>0</v>
      </c>
      <c r="AF424" t="s">
        <v>6</v>
      </c>
      <c r="AG424">
        <v>0.02</v>
      </c>
      <c r="AH424">
        <v>2</v>
      </c>
      <c r="AI424">
        <v>16814416</v>
      </c>
      <c r="AJ424">
        <v>452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ROW(Source!A310)</f>
        <v>310</v>
      </c>
      <c r="B425">
        <v>16814428</v>
      </c>
      <c r="C425">
        <v>16814413</v>
      </c>
      <c r="D425">
        <v>15249073</v>
      </c>
      <c r="E425">
        <v>1</v>
      </c>
      <c r="F425">
        <v>1</v>
      </c>
      <c r="G425">
        <v>1</v>
      </c>
      <c r="H425">
        <v>2</v>
      </c>
      <c r="I425" t="s">
        <v>782</v>
      </c>
      <c r="J425" t="s">
        <v>783</v>
      </c>
      <c r="K425" t="s">
        <v>784</v>
      </c>
      <c r="L425">
        <v>1368</v>
      </c>
      <c r="N425">
        <v>1011</v>
      </c>
      <c r="O425" t="s">
        <v>779</v>
      </c>
      <c r="P425" t="s">
        <v>779</v>
      </c>
      <c r="Q425">
        <v>1</v>
      </c>
      <c r="X425">
        <v>0.02</v>
      </c>
      <c r="Y425">
        <v>0</v>
      </c>
      <c r="Z425">
        <v>65.709999999999994</v>
      </c>
      <c r="AA425">
        <v>11.6</v>
      </c>
      <c r="AB425">
        <v>0</v>
      </c>
      <c r="AC425">
        <v>0</v>
      </c>
      <c r="AD425">
        <v>1</v>
      </c>
      <c r="AE425">
        <v>0</v>
      </c>
      <c r="AF425" t="s">
        <v>6</v>
      </c>
      <c r="AG425">
        <v>0.02</v>
      </c>
      <c r="AH425">
        <v>2</v>
      </c>
      <c r="AI425">
        <v>16814417</v>
      </c>
      <c r="AJ425">
        <v>453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ROW(Source!A310)</f>
        <v>310</v>
      </c>
      <c r="B426">
        <v>16814429</v>
      </c>
      <c r="C426">
        <v>16814413</v>
      </c>
      <c r="D426">
        <v>15167588</v>
      </c>
      <c r="E426">
        <v>1</v>
      </c>
      <c r="F426">
        <v>1</v>
      </c>
      <c r="G426">
        <v>1</v>
      </c>
      <c r="H426">
        <v>3</v>
      </c>
      <c r="I426" t="s">
        <v>1006</v>
      </c>
      <c r="J426" t="s">
        <v>1007</v>
      </c>
      <c r="K426" t="s">
        <v>1008</v>
      </c>
      <c r="L426">
        <v>1346</v>
      </c>
      <c r="N426">
        <v>1009</v>
      </c>
      <c r="O426" t="s">
        <v>277</v>
      </c>
      <c r="P426" t="s">
        <v>277</v>
      </c>
      <c r="Q426">
        <v>1</v>
      </c>
      <c r="X426">
        <v>0.16</v>
      </c>
      <c r="Y426">
        <v>30.4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6</v>
      </c>
      <c r="AG426">
        <v>0.16</v>
      </c>
      <c r="AH426">
        <v>2</v>
      </c>
      <c r="AI426">
        <v>16814418</v>
      </c>
      <c r="AJ426">
        <v>454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ROW(Source!A310)</f>
        <v>310</v>
      </c>
      <c r="B427">
        <v>16814430</v>
      </c>
      <c r="C427">
        <v>16814413</v>
      </c>
      <c r="D427">
        <v>15167867</v>
      </c>
      <c r="E427">
        <v>1</v>
      </c>
      <c r="F427">
        <v>1</v>
      </c>
      <c r="G427">
        <v>1</v>
      </c>
      <c r="H427">
        <v>3</v>
      </c>
      <c r="I427" t="s">
        <v>1055</v>
      </c>
      <c r="J427" t="s">
        <v>1056</v>
      </c>
      <c r="K427" t="s">
        <v>1057</v>
      </c>
      <c r="L427">
        <v>1348</v>
      </c>
      <c r="N427">
        <v>1009</v>
      </c>
      <c r="O427" t="s">
        <v>145</v>
      </c>
      <c r="P427" t="s">
        <v>145</v>
      </c>
      <c r="Q427">
        <v>1000</v>
      </c>
      <c r="X427">
        <v>5.9999999999999995E-4</v>
      </c>
      <c r="Y427">
        <v>1820</v>
      </c>
      <c r="Z427">
        <v>0</v>
      </c>
      <c r="AA427">
        <v>0</v>
      </c>
      <c r="AB427">
        <v>0</v>
      </c>
      <c r="AC427">
        <v>0</v>
      </c>
      <c r="AD427">
        <v>1</v>
      </c>
      <c r="AE427">
        <v>0</v>
      </c>
      <c r="AF427" t="s">
        <v>6</v>
      </c>
      <c r="AG427">
        <v>5.9999999999999995E-4</v>
      </c>
      <c r="AH427">
        <v>2</v>
      </c>
      <c r="AI427">
        <v>16814419</v>
      </c>
      <c r="AJ427">
        <v>455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ROW(Source!A310)</f>
        <v>310</v>
      </c>
      <c r="B428">
        <v>16814431</v>
      </c>
      <c r="C428">
        <v>16814413</v>
      </c>
      <c r="D428">
        <v>15203834</v>
      </c>
      <c r="E428">
        <v>1</v>
      </c>
      <c r="F428">
        <v>1</v>
      </c>
      <c r="G428">
        <v>1</v>
      </c>
      <c r="H428">
        <v>3</v>
      </c>
      <c r="I428" t="s">
        <v>1024</v>
      </c>
      <c r="J428" t="s">
        <v>1025</v>
      </c>
      <c r="K428" t="s">
        <v>320</v>
      </c>
      <c r="L428">
        <v>1346</v>
      </c>
      <c r="N428">
        <v>1009</v>
      </c>
      <c r="O428" t="s">
        <v>277</v>
      </c>
      <c r="P428" t="s">
        <v>277</v>
      </c>
      <c r="Q428">
        <v>1</v>
      </c>
      <c r="X428">
        <v>0.02</v>
      </c>
      <c r="Y428">
        <v>28.6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6</v>
      </c>
      <c r="AG428">
        <v>0.02</v>
      </c>
      <c r="AH428">
        <v>2</v>
      </c>
      <c r="AI428">
        <v>16814420</v>
      </c>
      <c r="AJ428">
        <v>456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ROW(Source!A310)</f>
        <v>310</v>
      </c>
      <c r="B429">
        <v>16814432</v>
      </c>
      <c r="C429">
        <v>16814413</v>
      </c>
      <c r="D429">
        <v>15217527</v>
      </c>
      <c r="E429">
        <v>1</v>
      </c>
      <c r="F429">
        <v>1</v>
      </c>
      <c r="G429">
        <v>1</v>
      </c>
      <c r="H429">
        <v>3</v>
      </c>
      <c r="I429" t="s">
        <v>1104</v>
      </c>
      <c r="J429" t="s">
        <v>1105</v>
      </c>
      <c r="K429" t="s">
        <v>1106</v>
      </c>
      <c r="L429">
        <v>1355</v>
      </c>
      <c r="N429">
        <v>1010</v>
      </c>
      <c r="O429" t="s">
        <v>188</v>
      </c>
      <c r="P429" t="s">
        <v>188</v>
      </c>
      <c r="Q429">
        <v>100</v>
      </c>
      <c r="X429">
        <v>0.05</v>
      </c>
      <c r="Y429">
        <v>110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6</v>
      </c>
      <c r="AG429">
        <v>0.05</v>
      </c>
      <c r="AH429">
        <v>2</v>
      </c>
      <c r="AI429">
        <v>16814421</v>
      </c>
      <c r="AJ429">
        <v>457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ROW(Source!A310)</f>
        <v>310</v>
      </c>
      <c r="B430">
        <v>16814433</v>
      </c>
      <c r="C430">
        <v>16814413</v>
      </c>
      <c r="D430">
        <v>15217578</v>
      </c>
      <c r="E430">
        <v>1</v>
      </c>
      <c r="F430">
        <v>1</v>
      </c>
      <c r="G430">
        <v>1</v>
      </c>
      <c r="H430">
        <v>3</v>
      </c>
      <c r="I430" t="s">
        <v>1107</v>
      </c>
      <c r="J430" t="s">
        <v>1108</v>
      </c>
      <c r="K430" t="s">
        <v>1109</v>
      </c>
      <c r="L430">
        <v>1356</v>
      </c>
      <c r="N430">
        <v>1010</v>
      </c>
      <c r="O430" t="s">
        <v>882</v>
      </c>
      <c r="P430" t="s">
        <v>882</v>
      </c>
      <c r="Q430">
        <v>1000</v>
      </c>
      <c r="X430">
        <v>1.2200000000000001E-2</v>
      </c>
      <c r="Y430">
        <v>119</v>
      </c>
      <c r="Z430">
        <v>0</v>
      </c>
      <c r="AA430">
        <v>0</v>
      </c>
      <c r="AB430">
        <v>0</v>
      </c>
      <c r="AC430">
        <v>0</v>
      </c>
      <c r="AD430">
        <v>1</v>
      </c>
      <c r="AE430">
        <v>0</v>
      </c>
      <c r="AF430" t="s">
        <v>6</v>
      </c>
      <c r="AG430">
        <v>1.2200000000000001E-2</v>
      </c>
      <c r="AH430">
        <v>2</v>
      </c>
      <c r="AI430">
        <v>16814422</v>
      </c>
      <c r="AJ430">
        <v>458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ROW(Source!A310)</f>
        <v>310</v>
      </c>
      <c r="B431">
        <v>16814434</v>
      </c>
      <c r="C431">
        <v>16814413</v>
      </c>
      <c r="D431">
        <v>15164559</v>
      </c>
      <c r="E431">
        <v>17</v>
      </c>
      <c r="F431">
        <v>1</v>
      </c>
      <c r="G431">
        <v>1</v>
      </c>
      <c r="H431">
        <v>3</v>
      </c>
      <c r="I431" t="s">
        <v>989</v>
      </c>
      <c r="J431" t="s">
        <v>6</v>
      </c>
      <c r="K431" t="s">
        <v>990</v>
      </c>
      <c r="L431">
        <v>1374</v>
      </c>
      <c r="N431">
        <v>1013</v>
      </c>
      <c r="O431" t="s">
        <v>991</v>
      </c>
      <c r="P431" t="s">
        <v>991</v>
      </c>
      <c r="Q431">
        <v>1</v>
      </c>
      <c r="X431">
        <v>1.01</v>
      </c>
      <c r="Y431">
        <v>1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0</v>
      </c>
      <c r="AF431" t="s">
        <v>6</v>
      </c>
      <c r="AG431">
        <v>1.01</v>
      </c>
      <c r="AH431">
        <v>2</v>
      </c>
      <c r="AI431">
        <v>16814424</v>
      </c>
      <c r="AJ431">
        <v>461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ROW(Source!A313)</f>
        <v>313</v>
      </c>
      <c r="B432">
        <v>16814440</v>
      </c>
      <c r="C432">
        <v>16814438</v>
      </c>
      <c r="D432">
        <v>15430517</v>
      </c>
      <c r="E432">
        <v>1</v>
      </c>
      <c r="F432">
        <v>1</v>
      </c>
      <c r="G432">
        <v>1</v>
      </c>
      <c r="H432">
        <v>1</v>
      </c>
      <c r="I432" t="s">
        <v>797</v>
      </c>
      <c r="J432" t="s">
        <v>6</v>
      </c>
      <c r="K432" t="s">
        <v>798</v>
      </c>
      <c r="L432">
        <v>1191</v>
      </c>
      <c r="N432">
        <v>1013</v>
      </c>
      <c r="O432" t="s">
        <v>773</v>
      </c>
      <c r="P432" t="s">
        <v>773</v>
      </c>
      <c r="Q432">
        <v>1</v>
      </c>
      <c r="X432">
        <v>85.5</v>
      </c>
      <c r="Y432">
        <v>0</v>
      </c>
      <c r="Z432">
        <v>0</v>
      </c>
      <c r="AA432">
        <v>0</v>
      </c>
      <c r="AB432">
        <v>7.8</v>
      </c>
      <c r="AC432">
        <v>0</v>
      </c>
      <c r="AD432">
        <v>1</v>
      </c>
      <c r="AE432">
        <v>1</v>
      </c>
      <c r="AF432" t="s">
        <v>6</v>
      </c>
      <c r="AG432">
        <v>85.5</v>
      </c>
      <c r="AH432">
        <v>2</v>
      </c>
      <c r="AI432">
        <v>16814439</v>
      </c>
      <c r="AJ432">
        <v>462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ROW(Source!A313)</f>
        <v>313</v>
      </c>
      <c r="B433">
        <v>16814441</v>
      </c>
      <c r="C433">
        <v>16814438</v>
      </c>
      <c r="D433">
        <v>15164566</v>
      </c>
      <c r="E433">
        <v>17</v>
      </c>
      <c r="F433">
        <v>1</v>
      </c>
      <c r="G433">
        <v>1</v>
      </c>
      <c r="H433">
        <v>3</v>
      </c>
      <c r="I433" t="s">
        <v>338</v>
      </c>
      <c r="J433" t="s">
        <v>6</v>
      </c>
      <c r="K433" t="s">
        <v>339</v>
      </c>
      <c r="L433">
        <v>1348</v>
      </c>
      <c r="N433">
        <v>1009</v>
      </c>
      <c r="O433" t="s">
        <v>145</v>
      </c>
      <c r="P433" t="s">
        <v>145</v>
      </c>
      <c r="Q433">
        <v>1000</v>
      </c>
      <c r="X433">
        <v>0.11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 t="s">
        <v>6</v>
      </c>
      <c r="AG433">
        <v>0.11</v>
      </c>
      <c r="AH433">
        <v>3</v>
      </c>
      <c r="AI433">
        <v>-1</v>
      </c>
      <c r="AJ433" t="s">
        <v>6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ROW(Source!A314)</f>
        <v>314</v>
      </c>
      <c r="B434">
        <v>16814454</v>
      </c>
      <c r="C434">
        <v>16814442</v>
      </c>
      <c r="D434">
        <v>15430397</v>
      </c>
      <c r="E434">
        <v>1</v>
      </c>
      <c r="F434">
        <v>1</v>
      </c>
      <c r="G434">
        <v>1</v>
      </c>
      <c r="H434">
        <v>1</v>
      </c>
      <c r="I434" t="s">
        <v>838</v>
      </c>
      <c r="J434" t="s">
        <v>6</v>
      </c>
      <c r="K434" t="s">
        <v>839</v>
      </c>
      <c r="L434">
        <v>1191</v>
      </c>
      <c r="N434">
        <v>1013</v>
      </c>
      <c r="O434" t="s">
        <v>773</v>
      </c>
      <c r="P434" t="s">
        <v>773</v>
      </c>
      <c r="Q434">
        <v>1</v>
      </c>
      <c r="X434">
        <v>15.28</v>
      </c>
      <c r="Y434">
        <v>0</v>
      </c>
      <c r="Z434">
        <v>0</v>
      </c>
      <c r="AA434">
        <v>0</v>
      </c>
      <c r="AB434">
        <v>9.4</v>
      </c>
      <c r="AC434">
        <v>0</v>
      </c>
      <c r="AD434">
        <v>1</v>
      </c>
      <c r="AE434">
        <v>1</v>
      </c>
      <c r="AF434" t="s">
        <v>6</v>
      </c>
      <c r="AG434">
        <v>15.28</v>
      </c>
      <c r="AH434">
        <v>2</v>
      </c>
      <c r="AI434">
        <v>16814443</v>
      </c>
      <c r="AJ434">
        <v>463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ROW(Source!A314)</f>
        <v>314</v>
      </c>
      <c r="B435">
        <v>16814455</v>
      </c>
      <c r="C435">
        <v>16814442</v>
      </c>
      <c r="D435">
        <v>15430395</v>
      </c>
      <c r="E435">
        <v>1</v>
      </c>
      <c r="F435">
        <v>1</v>
      </c>
      <c r="G435">
        <v>1</v>
      </c>
      <c r="H435">
        <v>1</v>
      </c>
      <c r="I435" t="s">
        <v>774</v>
      </c>
      <c r="J435" t="s">
        <v>6</v>
      </c>
      <c r="K435" t="s">
        <v>775</v>
      </c>
      <c r="L435">
        <v>1191</v>
      </c>
      <c r="N435">
        <v>1013</v>
      </c>
      <c r="O435" t="s">
        <v>773</v>
      </c>
      <c r="P435" t="s">
        <v>773</v>
      </c>
      <c r="Q435">
        <v>1</v>
      </c>
      <c r="X435">
        <v>0.22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2</v>
      </c>
      <c r="AF435" t="s">
        <v>6</v>
      </c>
      <c r="AG435">
        <v>0.22</v>
      </c>
      <c r="AH435">
        <v>2</v>
      </c>
      <c r="AI435">
        <v>16814444</v>
      </c>
      <c r="AJ435">
        <v>464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ROW(Source!A314)</f>
        <v>314</v>
      </c>
      <c r="B436">
        <v>16814456</v>
      </c>
      <c r="C436">
        <v>16814442</v>
      </c>
      <c r="D436">
        <v>15247680</v>
      </c>
      <c r="E436">
        <v>1</v>
      </c>
      <c r="F436">
        <v>1</v>
      </c>
      <c r="G436">
        <v>1</v>
      </c>
      <c r="H436">
        <v>2</v>
      </c>
      <c r="I436" t="s">
        <v>959</v>
      </c>
      <c r="J436" t="s">
        <v>960</v>
      </c>
      <c r="K436" t="s">
        <v>961</v>
      </c>
      <c r="L436">
        <v>1368</v>
      </c>
      <c r="N436">
        <v>1011</v>
      </c>
      <c r="O436" t="s">
        <v>779</v>
      </c>
      <c r="P436" t="s">
        <v>779</v>
      </c>
      <c r="Q436">
        <v>1</v>
      </c>
      <c r="X436">
        <v>0.11</v>
      </c>
      <c r="Y436">
        <v>0</v>
      </c>
      <c r="Z436">
        <v>111.99</v>
      </c>
      <c r="AA436">
        <v>13.5</v>
      </c>
      <c r="AB436">
        <v>0</v>
      </c>
      <c r="AC436">
        <v>0</v>
      </c>
      <c r="AD436">
        <v>1</v>
      </c>
      <c r="AE436">
        <v>0</v>
      </c>
      <c r="AF436" t="s">
        <v>6</v>
      </c>
      <c r="AG436">
        <v>0.11</v>
      </c>
      <c r="AH436">
        <v>2</v>
      </c>
      <c r="AI436">
        <v>16814445</v>
      </c>
      <c r="AJ436">
        <v>465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ROW(Source!A314)</f>
        <v>314</v>
      </c>
      <c r="B437">
        <v>16814457</v>
      </c>
      <c r="C437">
        <v>16814442</v>
      </c>
      <c r="D437">
        <v>15249073</v>
      </c>
      <c r="E437">
        <v>1</v>
      </c>
      <c r="F437">
        <v>1</v>
      </c>
      <c r="G437">
        <v>1</v>
      </c>
      <c r="H437">
        <v>2</v>
      </c>
      <c r="I437" t="s">
        <v>782</v>
      </c>
      <c r="J437" t="s">
        <v>783</v>
      </c>
      <c r="K437" t="s">
        <v>784</v>
      </c>
      <c r="L437">
        <v>1368</v>
      </c>
      <c r="N437">
        <v>1011</v>
      </c>
      <c r="O437" t="s">
        <v>779</v>
      </c>
      <c r="P437" t="s">
        <v>779</v>
      </c>
      <c r="Q437">
        <v>1</v>
      </c>
      <c r="X437">
        <v>0.11</v>
      </c>
      <c r="Y437">
        <v>0</v>
      </c>
      <c r="Z437">
        <v>65.709999999999994</v>
      </c>
      <c r="AA437">
        <v>11.6</v>
      </c>
      <c r="AB437">
        <v>0</v>
      </c>
      <c r="AC437">
        <v>0</v>
      </c>
      <c r="AD437">
        <v>1</v>
      </c>
      <c r="AE437">
        <v>0</v>
      </c>
      <c r="AF437" t="s">
        <v>6</v>
      </c>
      <c r="AG437">
        <v>0.11</v>
      </c>
      <c r="AH437">
        <v>2</v>
      </c>
      <c r="AI437">
        <v>16814446</v>
      </c>
      <c r="AJ437">
        <v>466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ROW(Source!A314)</f>
        <v>314</v>
      </c>
      <c r="B438">
        <v>16814458</v>
      </c>
      <c r="C438">
        <v>16814442</v>
      </c>
      <c r="D438">
        <v>15172838</v>
      </c>
      <c r="E438">
        <v>1</v>
      </c>
      <c r="F438">
        <v>1</v>
      </c>
      <c r="G438">
        <v>1</v>
      </c>
      <c r="H438">
        <v>3</v>
      </c>
      <c r="I438" t="s">
        <v>1032</v>
      </c>
      <c r="J438" t="s">
        <v>1033</v>
      </c>
      <c r="K438" t="s">
        <v>1034</v>
      </c>
      <c r="L438">
        <v>1339</v>
      </c>
      <c r="N438">
        <v>1007</v>
      </c>
      <c r="O438" t="s">
        <v>141</v>
      </c>
      <c r="P438" t="s">
        <v>141</v>
      </c>
      <c r="Q438">
        <v>1</v>
      </c>
      <c r="X438">
        <v>2.1000000000000001E-2</v>
      </c>
      <c r="Y438">
        <v>600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6</v>
      </c>
      <c r="AG438">
        <v>2.1000000000000001E-2</v>
      </c>
      <c r="AH438">
        <v>2</v>
      </c>
      <c r="AI438">
        <v>16814447</v>
      </c>
      <c r="AJ438">
        <v>467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ROW(Source!A314)</f>
        <v>314</v>
      </c>
      <c r="B439">
        <v>16814459</v>
      </c>
      <c r="C439">
        <v>16814442</v>
      </c>
      <c r="D439">
        <v>15202442</v>
      </c>
      <c r="E439">
        <v>1</v>
      </c>
      <c r="F439">
        <v>1</v>
      </c>
      <c r="G439">
        <v>1</v>
      </c>
      <c r="H439">
        <v>3</v>
      </c>
      <c r="I439" t="s">
        <v>1035</v>
      </c>
      <c r="J439" t="s">
        <v>1036</v>
      </c>
      <c r="K439" t="s">
        <v>1037</v>
      </c>
      <c r="L439">
        <v>1346</v>
      </c>
      <c r="N439">
        <v>1009</v>
      </c>
      <c r="O439" t="s">
        <v>277</v>
      </c>
      <c r="P439" t="s">
        <v>277</v>
      </c>
      <c r="Q439">
        <v>1</v>
      </c>
      <c r="X439">
        <v>0.4</v>
      </c>
      <c r="Y439">
        <v>25.8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6</v>
      </c>
      <c r="AG439">
        <v>0.4</v>
      </c>
      <c r="AH439">
        <v>2</v>
      </c>
      <c r="AI439">
        <v>16814448</v>
      </c>
      <c r="AJ439">
        <v>468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ROW(Source!A314)</f>
        <v>314</v>
      </c>
      <c r="B440">
        <v>16814460</v>
      </c>
      <c r="C440">
        <v>16814442</v>
      </c>
      <c r="D440">
        <v>15217585</v>
      </c>
      <c r="E440">
        <v>1</v>
      </c>
      <c r="F440">
        <v>1</v>
      </c>
      <c r="G440">
        <v>1</v>
      </c>
      <c r="H440">
        <v>3</v>
      </c>
      <c r="I440" t="s">
        <v>1038</v>
      </c>
      <c r="J440" t="s">
        <v>1039</v>
      </c>
      <c r="K440" t="s">
        <v>1040</v>
      </c>
      <c r="L440">
        <v>1356</v>
      </c>
      <c r="N440">
        <v>1010</v>
      </c>
      <c r="O440" t="s">
        <v>882</v>
      </c>
      <c r="P440" t="s">
        <v>882</v>
      </c>
      <c r="Q440">
        <v>1000</v>
      </c>
      <c r="X440">
        <v>3.2000000000000001E-2</v>
      </c>
      <c r="Y440">
        <v>270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6</v>
      </c>
      <c r="AG440">
        <v>3.2000000000000001E-2</v>
      </c>
      <c r="AH440">
        <v>2</v>
      </c>
      <c r="AI440">
        <v>16814449</v>
      </c>
      <c r="AJ440">
        <v>469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ROW(Source!A314)</f>
        <v>314</v>
      </c>
      <c r="B441">
        <v>16814461</v>
      </c>
      <c r="C441">
        <v>16814442</v>
      </c>
      <c r="D441">
        <v>15217593</v>
      </c>
      <c r="E441">
        <v>1</v>
      </c>
      <c r="F441">
        <v>1</v>
      </c>
      <c r="G441">
        <v>1</v>
      </c>
      <c r="H441">
        <v>3</v>
      </c>
      <c r="I441" t="s">
        <v>1041</v>
      </c>
      <c r="J441" t="s">
        <v>1042</v>
      </c>
      <c r="K441" t="s">
        <v>1043</v>
      </c>
      <c r="L441">
        <v>1358</v>
      </c>
      <c r="N441">
        <v>1010</v>
      </c>
      <c r="O441" t="s">
        <v>516</v>
      </c>
      <c r="P441" t="s">
        <v>516</v>
      </c>
      <c r="Q441">
        <v>10</v>
      </c>
      <c r="X441">
        <v>1</v>
      </c>
      <c r="Y441">
        <v>19.899999999999999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6</v>
      </c>
      <c r="AG441">
        <v>1</v>
      </c>
      <c r="AH441">
        <v>2</v>
      </c>
      <c r="AI441">
        <v>16814450</v>
      </c>
      <c r="AJ441">
        <v>470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ROW(Source!A314)</f>
        <v>314</v>
      </c>
      <c r="B442">
        <v>16814462</v>
      </c>
      <c r="C442">
        <v>16814442</v>
      </c>
      <c r="D442">
        <v>15218939</v>
      </c>
      <c r="E442">
        <v>1</v>
      </c>
      <c r="F442">
        <v>1</v>
      </c>
      <c r="G442">
        <v>1</v>
      </c>
      <c r="H442">
        <v>3</v>
      </c>
      <c r="I442" t="s">
        <v>1044</v>
      </c>
      <c r="J442" t="s">
        <v>1045</v>
      </c>
      <c r="K442" t="s">
        <v>1046</v>
      </c>
      <c r="L442">
        <v>1354</v>
      </c>
      <c r="N442">
        <v>1010</v>
      </c>
      <c r="O442" t="s">
        <v>62</v>
      </c>
      <c r="P442" t="s">
        <v>62</v>
      </c>
      <c r="Q442">
        <v>1</v>
      </c>
      <c r="X442">
        <v>0.5</v>
      </c>
      <c r="Y442">
        <v>66.819999999999993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6</v>
      </c>
      <c r="AG442">
        <v>0.5</v>
      </c>
      <c r="AH442">
        <v>2</v>
      </c>
      <c r="AI442">
        <v>16814451</v>
      </c>
      <c r="AJ442">
        <v>471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ROW(Source!A314)</f>
        <v>314</v>
      </c>
      <c r="B443">
        <v>16814463</v>
      </c>
      <c r="C443">
        <v>16814442</v>
      </c>
      <c r="D443">
        <v>15164559</v>
      </c>
      <c r="E443">
        <v>17</v>
      </c>
      <c r="F443">
        <v>1</v>
      </c>
      <c r="G443">
        <v>1</v>
      </c>
      <c r="H443">
        <v>3</v>
      </c>
      <c r="I443" t="s">
        <v>989</v>
      </c>
      <c r="J443" t="s">
        <v>6</v>
      </c>
      <c r="K443" t="s">
        <v>990</v>
      </c>
      <c r="L443">
        <v>1374</v>
      </c>
      <c r="N443">
        <v>1013</v>
      </c>
      <c r="O443" t="s">
        <v>991</v>
      </c>
      <c r="P443" t="s">
        <v>991</v>
      </c>
      <c r="Q443">
        <v>1</v>
      </c>
      <c r="X443">
        <v>2.87</v>
      </c>
      <c r="Y443">
        <v>1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6</v>
      </c>
      <c r="AG443">
        <v>2.87</v>
      </c>
      <c r="AH443">
        <v>2</v>
      </c>
      <c r="AI443">
        <v>16814453</v>
      </c>
      <c r="AJ443">
        <v>473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ROW(Source!A316)</f>
        <v>316</v>
      </c>
      <c r="B444">
        <v>16814477</v>
      </c>
      <c r="C444">
        <v>16814465</v>
      </c>
      <c r="D444">
        <v>15446300</v>
      </c>
      <c r="E444">
        <v>1</v>
      </c>
      <c r="F444">
        <v>1</v>
      </c>
      <c r="G444">
        <v>1</v>
      </c>
      <c r="H444">
        <v>1</v>
      </c>
      <c r="I444" t="s">
        <v>780</v>
      </c>
      <c r="J444" t="s">
        <v>6</v>
      </c>
      <c r="K444" t="s">
        <v>781</v>
      </c>
      <c r="L444">
        <v>1191</v>
      </c>
      <c r="N444">
        <v>1013</v>
      </c>
      <c r="O444" t="s">
        <v>773</v>
      </c>
      <c r="P444" t="s">
        <v>773</v>
      </c>
      <c r="Q444">
        <v>1</v>
      </c>
      <c r="X444">
        <v>34.56</v>
      </c>
      <c r="Y444">
        <v>0</v>
      </c>
      <c r="Z444">
        <v>0</v>
      </c>
      <c r="AA444">
        <v>0</v>
      </c>
      <c r="AB444">
        <v>9.92</v>
      </c>
      <c r="AC444">
        <v>0</v>
      </c>
      <c r="AD444">
        <v>1</v>
      </c>
      <c r="AE444">
        <v>1</v>
      </c>
      <c r="AF444" t="s">
        <v>6</v>
      </c>
      <c r="AG444">
        <v>34.56</v>
      </c>
      <c r="AH444">
        <v>2</v>
      </c>
      <c r="AI444">
        <v>16814466</v>
      </c>
      <c r="AJ444">
        <v>474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ROW(Source!A316)</f>
        <v>316</v>
      </c>
      <c r="B445">
        <v>16814478</v>
      </c>
      <c r="C445">
        <v>16814465</v>
      </c>
      <c r="D445">
        <v>15430395</v>
      </c>
      <c r="E445">
        <v>1</v>
      </c>
      <c r="F445">
        <v>1</v>
      </c>
      <c r="G445">
        <v>1</v>
      </c>
      <c r="H445">
        <v>1</v>
      </c>
      <c r="I445" t="s">
        <v>774</v>
      </c>
      <c r="J445" t="s">
        <v>6</v>
      </c>
      <c r="K445" t="s">
        <v>775</v>
      </c>
      <c r="L445">
        <v>1191</v>
      </c>
      <c r="N445">
        <v>1013</v>
      </c>
      <c r="O445" t="s">
        <v>773</v>
      </c>
      <c r="P445" t="s">
        <v>773</v>
      </c>
      <c r="Q445">
        <v>1</v>
      </c>
      <c r="X445">
        <v>0.05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2</v>
      </c>
      <c r="AF445" t="s">
        <v>6</v>
      </c>
      <c r="AG445">
        <v>0.05</v>
      </c>
      <c r="AH445">
        <v>2</v>
      </c>
      <c r="AI445">
        <v>16814467</v>
      </c>
      <c r="AJ445">
        <v>475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ROW(Source!A316)</f>
        <v>316</v>
      </c>
      <c r="B446">
        <v>16814479</v>
      </c>
      <c r="C446">
        <v>16814465</v>
      </c>
      <c r="D446">
        <v>15247680</v>
      </c>
      <c r="E446">
        <v>1</v>
      </c>
      <c r="F446">
        <v>1</v>
      </c>
      <c r="G446">
        <v>1</v>
      </c>
      <c r="H446">
        <v>2</v>
      </c>
      <c r="I446" t="s">
        <v>959</v>
      </c>
      <c r="J446" t="s">
        <v>960</v>
      </c>
      <c r="K446" t="s">
        <v>961</v>
      </c>
      <c r="L446">
        <v>1368</v>
      </c>
      <c r="N446">
        <v>1011</v>
      </c>
      <c r="O446" t="s">
        <v>779</v>
      </c>
      <c r="P446" t="s">
        <v>779</v>
      </c>
      <c r="Q446">
        <v>1</v>
      </c>
      <c r="X446">
        <v>0.03</v>
      </c>
      <c r="Y446">
        <v>0</v>
      </c>
      <c r="Z446">
        <v>111.99</v>
      </c>
      <c r="AA446">
        <v>13.5</v>
      </c>
      <c r="AB446">
        <v>0</v>
      </c>
      <c r="AC446">
        <v>0</v>
      </c>
      <c r="AD446">
        <v>1</v>
      </c>
      <c r="AE446">
        <v>0</v>
      </c>
      <c r="AF446" t="s">
        <v>6</v>
      </c>
      <c r="AG446">
        <v>0.03</v>
      </c>
      <c r="AH446">
        <v>2</v>
      </c>
      <c r="AI446">
        <v>16814468</v>
      </c>
      <c r="AJ446">
        <v>476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ROW(Source!A316)</f>
        <v>316</v>
      </c>
      <c r="B447">
        <v>16814480</v>
      </c>
      <c r="C447">
        <v>16814465</v>
      </c>
      <c r="D447">
        <v>15249073</v>
      </c>
      <c r="E447">
        <v>1</v>
      </c>
      <c r="F447">
        <v>1</v>
      </c>
      <c r="G447">
        <v>1</v>
      </c>
      <c r="H447">
        <v>2</v>
      </c>
      <c r="I447" t="s">
        <v>782</v>
      </c>
      <c r="J447" t="s">
        <v>783</v>
      </c>
      <c r="K447" t="s">
        <v>784</v>
      </c>
      <c r="L447">
        <v>1368</v>
      </c>
      <c r="N447">
        <v>1011</v>
      </c>
      <c r="O447" t="s">
        <v>779</v>
      </c>
      <c r="P447" t="s">
        <v>779</v>
      </c>
      <c r="Q447">
        <v>1</v>
      </c>
      <c r="X447">
        <v>0.02</v>
      </c>
      <c r="Y447">
        <v>0</v>
      </c>
      <c r="Z447">
        <v>65.709999999999994</v>
      </c>
      <c r="AA447">
        <v>11.6</v>
      </c>
      <c r="AB447">
        <v>0</v>
      </c>
      <c r="AC447">
        <v>0</v>
      </c>
      <c r="AD447">
        <v>1</v>
      </c>
      <c r="AE447">
        <v>0</v>
      </c>
      <c r="AF447" t="s">
        <v>6</v>
      </c>
      <c r="AG447">
        <v>0.02</v>
      </c>
      <c r="AH447">
        <v>2</v>
      </c>
      <c r="AI447">
        <v>16814469</v>
      </c>
      <c r="AJ447">
        <v>477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ROW(Source!A316)</f>
        <v>316</v>
      </c>
      <c r="B448">
        <v>16814481</v>
      </c>
      <c r="C448">
        <v>16814465</v>
      </c>
      <c r="D448">
        <v>15167588</v>
      </c>
      <c r="E448">
        <v>1</v>
      </c>
      <c r="F448">
        <v>1</v>
      </c>
      <c r="G448">
        <v>1</v>
      </c>
      <c r="H448">
        <v>3</v>
      </c>
      <c r="I448" t="s">
        <v>1006</v>
      </c>
      <c r="J448" t="s">
        <v>1007</v>
      </c>
      <c r="K448" t="s">
        <v>1008</v>
      </c>
      <c r="L448">
        <v>1346</v>
      </c>
      <c r="N448">
        <v>1009</v>
      </c>
      <c r="O448" t="s">
        <v>277</v>
      </c>
      <c r="P448" t="s">
        <v>277</v>
      </c>
      <c r="Q448">
        <v>1</v>
      </c>
      <c r="X448">
        <v>0.11</v>
      </c>
      <c r="Y448">
        <v>30.4</v>
      </c>
      <c r="Z448">
        <v>0</v>
      </c>
      <c r="AA448">
        <v>0</v>
      </c>
      <c r="AB448">
        <v>0</v>
      </c>
      <c r="AC448">
        <v>0</v>
      </c>
      <c r="AD448">
        <v>1</v>
      </c>
      <c r="AE448">
        <v>0</v>
      </c>
      <c r="AF448" t="s">
        <v>6</v>
      </c>
      <c r="AG448">
        <v>0.11</v>
      </c>
      <c r="AH448">
        <v>2</v>
      </c>
      <c r="AI448">
        <v>16814470</v>
      </c>
      <c r="AJ448">
        <v>478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ROW(Source!A316)</f>
        <v>316</v>
      </c>
      <c r="B449">
        <v>16814482</v>
      </c>
      <c r="C449">
        <v>16814465</v>
      </c>
      <c r="D449">
        <v>15170074</v>
      </c>
      <c r="E449">
        <v>1</v>
      </c>
      <c r="F449">
        <v>1</v>
      </c>
      <c r="G449">
        <v>1</v>
      </c>
      <c r="H449">
        <v>3</v>
      </c>
      <c r="I449" t="s">
        <v>1015</v>
      </c>
      <c r="J449" t="s">
        <v>1016</v>
      </c>
      <c r="K449" t="s">
        <v>1017</v>
      </c>
      <c r="L449">
        <v>1355</v>
      </c>
      <c r="N449">
        <v>1010</v>
      </c>
      <c r="O449" t="s">
        <v>188</v>
      </c>
      <c r="P449" t="s">
        <v>188</v>
      </c>
      <c r="Q449">
        <v>100</v>
      </c>
      <c r="X449">
        <v>1.02</v>
      </c>
      <c r="Y449">
        <v>86</v>
      </c>
      <c r="Z449">
        <v>0</v>
      </c>
      <c r="AA449">
        <v>0</v>
      </c>
      <c r="AB449">
        <v>0</v>
      </c>
      <c r="AC449">
        <v>0</v>
      </c>
      <c r="AD449">
        <v>1</v>
      </c>
      <c r="AE449">
        <v>0</v>
      </c>
      <c r="AF449" t="s">
        <v>6</v>
      </c>
      <c r="AG449">
        <v>1.02</v>
      </c>
      <c r="AH449">
        <v>2</v>
      </c>
      <c r="AI449">
        <v>16814471</v>
      </c>
      <c r="AJ449">
        <v>479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ROW(Source!A316)</f>
        <v>316</v>
      </c>
      <c r="B450">
        <v>16814483</v>
      </c>
      <c r="C450">
        <v>16814465</v>
      </c>
      <c r="D450">
        <v>15170434</v>
      </c>
      <c r="E450">
        <v>1</v>
      </c>
      <c r="F450">
        <v>1</v>
      </c>
      <c r="G450">
        <v>1</v>
      </c>
      <c r="H450">
        <v>3</v>
      </c>
      <c r="I450" t="s">
        <v>1076</v>
      </c>
      <c r="J450" t="s">
        <v>1077</v>
      </c>
      <c r="K450" t="s">
        <v>1078</v>
      </c>
      <c r="L450">
        <v>1348</v>
      </c>
      <c r="N450">
        <v>1009</v>
      </c>
      <c r="O450" t="s">
        <v>145</v>
      </c>
      <c r="P450" t="s">
        <v>145</v>
      </c>
      <c r="Q450">
        <v>1000</v>
      </c>
      <c r="X450">
        <v>1.6000000000000001E-4</v>
      </c>
      <c r="Y450">
        <v>29800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6</v>
      </c>
      <c r="AG450">
        <v>1.6000000000000001E-4</v>
      </c>
      <c r="AH450">
        <v>2</v>
      </c>
      <c r="AI450">
        <v>16814472</v>
      </c>
      <c r="AJ450">
        <v>480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ROW(Source!A316)</f>
        <v>316</v>
      </c>
      <c r="B451">
        <v>16814484</v>
      </c>
      <c r="C451">
        <v>16814465</v>
      </c>
      <c r="D451">
        <v>15170438</v>
      </c>
      <c r="E451">
        <v>1</v>
      </c>
      <c r="F451">
        <v>1</v>
      </c>
      <c r="G451">
        <v>1</v>
      </c>
      <c r="H451">
        <v>3</v>
      </c>
      <c r="I451" t="s">
        <v>986</v>
      </c>
      <c r="J451" t="s">
        <v>987</v>
      </c>
      <c r="K451" t="s">
        <v>988</v>
      </c>
      <c r="L451">
        <v>1348</v>
      </c>
      <c r="N451">
        <v>1009</v>
      </c>
      <c r="O451" t="s">
        <v>145</v>
      </c>
      <c r="P451" t="s">
        <v>145</v>
      </c>
      <c r="Q451">
        <v>1000</v>
      </c>
      <c r="X451">
        <v>2.9999999999999997E-4</v>
      </c>
      <c r="Y451">
        <v>12430</v>
      </c>
      <c r="Z451">
        <v>0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6</v>
      </c>
      <c r="AG451">
        <v>2.9999999999999997E-4</v>
      </c>
      <c r="AH451">
        <v>2</v>
      </c>
      <c r="AI451">
        <v>16814473</v>
      </c>
      <c r="AJ451">
        <v>481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ROW(Source!A316)</f>
        <v>316</v>
      </c>
      <c r="B452">
        <v>16814485</v>
      </c>
      <c r="C452">
        <v>16814465</v>
      </c>
      <c r="D452">
        <v>15164559</v>
      </c>
      <c r="E452">
        <v>17</v>
      </c>
      <c r="F452">
        <v>1</v>
      </c>
      <c r="G452">
        <v>1</v>
      </c>
      <c r="H452">
        <v>3</v>
      </c>
      <c r="I452" t="s">
        <v>989</v>
      </c>
      <c r="J452" t="s">
        <v>6</v>
      </c>
      <c r="K452" t="s">
        <v>990</v>
      </c>
      <c r="L452">
        <v>1374</v>
      </c>
      <c r="N452">
        <v>1013</v>
      </c>
      <c r="O452" t="s">
        <v>991</v>
      </c>
      <c r="P452" t="s">
        <v>991</v>
      </c>
      <c r="Q452">
        <v>1</v>
      </c>
      <c r="X452">
        <v>6.86</v>
      </c>
      <c r="Y452">
        <v>1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</v>
      </c>
      <c r="AG452">
        <v>6.86</v>
      </c>
      <c r="AH452">
        <v>2</v>
      </c>
      <c r="AI452">
        <v>16814476</v>
      </c>
      <c r="AJ452">
        <v>483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Смета 12 гр. по ФЕР</vt:lpstr>
      <vt:lpstr>Акт КС-2 c НР и СП</vt:lpstr>
      <vt:lpstr>Макет форма-3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2018-10-17T07:17:01Z</cp:lastPrinted>
  <dcterms:created xsi:type="dcterms:W3CDTF">2018-10-16T07:23:20Z</dcterms:created>
  <dcterms:modified xsi:type="dcterms:W3CDTF">2018-10-17T07:17:46Z</dcterms:modified>
</cp:coreProperties>
</file>