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Бухгалтерия\Тарасов Д.В\Катя 2018\Ремонт 2018 ПСР УрТК НИЯУ МИФИ - АУКЦИОН\"/>
    </mc:Choice>
  </mc:AlternateContent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СП'!$A$1:$H$145</definedName>
    <definedName name="_xlnm.Print_Area" localSheetId="0">'Смета 12 гр. по ФЕР'!$A$1:$L$116</definedName>
  </definedNames>
  <calcPr calcId="162913"/>
</workbook>
</file>

<file path=xl/calcChain.xml><?xml version="1.0" encoding="utf-8"?>
<calcChain xmlns="http://schemas.openxmlformats.org/spreadsheetml/2006/main">
  <c r="B14" i="5" l="1"/>
  <c r="A1" i="7" l="1"/>
  <c r="G140" i="6"/>
  <c r="G135" i="6"/>
  <c r="C140" i="6"/>
  <c r="C135" i="6"/>
  <c r="C132" i="6"/>
  <c r="C131" i="6"/>
  <c r="C130" i="6"/>
  <c r="D125" i="6"/>
  <c r="E124" i="6"/>
  <c r="C124" i="6"/>
  <c r="D124" i="6"/>
  <c r="B124" i="6"/>
  <c r="D123" i="6"/>
  <c r="E122" i="6"/>
  <c r="D122" i="6"/>
  <c r="B122" i="6"/>
  <c r="H120" i="6"/>
  <c r="G120" i="6"/>
  <c r="F119" i="6"/>
  <c r="H118" i="6"/>
  <c r="G118" i="6"/>
  <c r="F117" i="6"/>
  <c r="D116" i="6"/>
  <c r="D115" i="6"/>
  <c r="D114" i="6"/>
  <c r="D113" i="6"/>
  <c r="E112" i="6"/>
  <c r="C112" i="6"/>
  <c r="D112" i="6"/>
  <c r="B112" i="6"/>
  <c r="D111" i="6"/>
  <c r="E110" i="6"/>
  <c r="C110" i="6"/>
  <c r="D110" i="6"/>
  <c r="B110" i="6"/>
  <c r="D109" i="6"/>
  <c r="E108" i="6"/>
  <c r="D108" i="6"/>
  <c r="B108" i="6"/>
  <c r="H106" i="6"/>
  <c r="G106" i="6"/>
  <c r="F105" i="6"/>
  <c r="H104" i="6"/>
  <c r="G104" i="6"/>
  <c r="F103" i="6"/>
  <c r="D102" i="6"/>
  <c r="D101" i="6"/>
  <c r="D100" i="6"/>
  <c r="D99" i="6"/>
  <c r="E98" i="6"/>
  <c r="C98" i="6"/>
  <c r="D98" i="6"/>
  <c r="B98" i="6"/>
  <c r="D97" i="6"/>
  <c r="E96" i="6"/>
  <c r="C96" i="6"/>
  <c r="D96" i="6"/>
  <c r="B96" i="6"/>
  <c r="D95" i="6"/>
  <c r="E94" i="6"/>
  <c r="C94" i="6"/>
  <c r="D94" i="6"/>
  <c r="B94" i="6"/>
  <c r="H92" i="6"/>
  <c r="G92" i="6"/>
  <c r="F91" i="6"/>
  <c r="H90" i="6"/>
  <c r="G90" i="6"/>
  <c r="F89" i="6"/>
  <c r="D88" i="6"/>
  <c r="D87" i="6"/>
  <c r="D86" i="6"/>
  <c r="D85" i="6"/>
  <c r="E84" i="6"/>
  <c r="C84" i="6"/>
  <c r="D84" i="6"/>
  <c r="B84" i="6"/>
  <c r="D83" i="6"/>
  <c r="E82" i="6"/>
  <c r="C82" i="6"/>
  <c r="D82" i="6"/>
  <c r="B82" i="6"/>
  <c r="D81" i="6"/>
  <c r="E80" i="6"/>
  <c r="D80" i="6"/>
  <c r="B80" i="6"/>
  <c r="F78" i="6"/>
  <c r="F77" i="6"/>
  <c r="D76" i="6"/>
  <c r="D75" i="6"/>
  <c r="D74" i="6"/>
  <c r="D73" i="6"/>
  <c r="E72" i="6"/>
  <c r="C72" i="6"/>
  <c r="D72" i="6"/>
  <c r="B72" i="6"/>
  <c r="D71" i="6"/>
  <c r="E70" i="6"/>
  <c r="D70" i="6"/>
  <c r="B70" i="6"/>
  <c r="H68" i="6"/>
  <c r="G68" i="6"/>
  <c r="F67" i="6"/>
  <c r="H66" i="6"/>
  <c r="G66" i="6"/>
  <c r="F65" i="6"/>
  <c r="D64" i="6"/>
  <c r="D63" i="6"/>
  <c r="D62" i="6"/>
  <c r="D61" i="6"/>
  <c r="E60" i="6"/>
  <c r="C60" i="6"/>
  <c r="D60" i="6"/>
  <c r="B60" i="6"/>
  <c r="D59" i="6"/>
  <c r="E58" i="6"/>
  <c r="C58" i="6"/>
  <c r="D58" i="6"/>
  <c r="B58" i="6"/>
  <c r="D57" i="6"/>
  <c r="E56" i="6"/>
  <c r="D56" i="6"/>
  <c r="B56" i="6"/>
  <c r="H54" i="6"/>
  <c r="G54" i="6"/>
  <c r="F53" i="6"/>
  <c r="H52" i="6"/>
  <c r="G52" i="6"/>
  <c r="F51" i="6"/>
  <c r="D50" i="6"/>
  <c r="D49" i="6"/>
  <c r="D48" i="6"/>
  <c r="D47" i="6"/>
  <c r="E46" i="6"/>
  <c r="C46" i="6"/>
  <c r="D46" i="6"/>
  <c r="B46" i="6"/>
  <c r="H44" i="6"/>
  <c r="G44" i="6"/>
  <c r="F43" i="6"/>
  <c r="H42" i="6"/>
  <c r="G42" i="6"/>
  <c r="F41" i="6"/>
  <c r="D40" i="6"/>
  <c r="D39" i="6"/>
  <c r="D38" i="6"/>
  <c r="D37" i="6"/>
  <c r="E36" i="6"/>
  <c r="C36" i="6"/>
  <c r="D36" i="6"/>
  <c r="B36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4" i="5"/>
  <c r="D114" i="5"/>
  <c r="C108" i="5"/>
  <c r="C107" i="5"/>
  <c r="C106" i="5"/>
  <c r="Z104" i="5"/>
  <c r="Y104" i="5"/>
  <c r="X104" i="5"/>
  <c r="J103" i="5"/>
  <c r="Z103" i="5"/>
  <c r="Y103" i="5"/>
  <c r="X103" i="5"/>
  <c r="F103" i="5"/>
  <c r="D103" i="5"/>
  <c r="C103" i="5"/>
  <c r="B103" i="5"/>
  <c r="A103" i="5"/>
  <c r="J102" i="5"/>
  <c r="Z102" i="5"/>
  <c r="Y102" i="5"/>
  <c r="X102" i="5"/>
  <c r="F102" i="5"/>
  <c r="D102" i="5"/>
  <c r="B102" i="5"/>
  <c r="A102" i="5"/>
  <c r="G101" i="5"/>
  <c r="E101" i="5"/>
  <c r="J100" i="5"/>
  <c r="F100" i="5"/>
  <c r="E100" i="5"/>
  <c r="J99" i="5"/>
  <c r="F99" i="5"/>
  <c r="E99" i="5"/>
  <c r="J98" i="5"/>
  <c r="G98" i="5"/>
  <c r="F98" i="5"/>
  <c r="J97" i="5"/>
  <c r="G97" i="5"/>
  <c r="F97" i="5"/>
  <c r="F95" i="5"/>
  <c r="D95" i="5"/>
  <c r="I95" i="5"/>
  <c r="C95" i="5"/>
  <c r="B95" i="5"/>
  <c r="A95" i="5"/>
  <c r="Z94" i="5"/>
  <c r="Y94" i="5"/>
  <c r="X94" i="5"/>
  <c r="J93" i="5"/>
  <c r="Z93" i="5"/>
  <c r="Y93" i="5"/>
  <c r="X93" i="5"/>
  <c r="F93" i="5"/>
  <c r="D93" i="5"/>
  <c r="C93" i="5"/>
  <c r="B93" i="5"/>
  <c r="A93" i="5"/>
  <c r="J92" i="5"/>
  <c r="Z92" i="5"/>
  <c r="Y92" i="5"/>
  <c r="X92" i="5"/>
  <c r="F92" i="5"/>
  <c r="D92" i="5"/>
  <c r="B92" i="5"/>
  <c r="A92" i="5"/>
  <c r="G91" i="5"/>
  <c r="E91" i="5"/>
  <c r="J90" i="5"/>
  <c r="F90" i="5"/>
  <c r="E90" i="5"/>
  <c r="J89" i="5"/>
  <c r="F89" i="5"/>
  <c r="E89" i="5"/>
  <c r="J88" i="5"/>
  <c r="G88" i="5"/>
  <c r="F88" i="5"/>
  <c r="J87" i="5"/>
  <c r="G87" i="5"/>
  <c r="F87" i="5"/>
  <c r="J86" i="5"/>
  <c r="G86" i="5"/>
  <c r="F86" i="5"/>
  <c r="J85" i="5"/>
  <c r="G85" i="5"/>
  <c r="F85" i="5"/>
  <c r="F83" i="5"/>
  <c r="D83" i="5"/>
  <c r="I83" i="5"/>
  <c r="C83" i="5"/>
  <c r="B83" i="5"/>
  <c r="A83" i="5"/>
  <c r="Z82" i="5"/>
  <c r="Y82" i="5"/>
  <c r="X82" i="5"/>
  <c r="J81" i="5"/>
  <c r="Z81" i="5"/>
  <c r="Y81" i="5"/>
  <c r="X81" i="5"/>
  <c r="F81" i="5"/>
  <c r="D81" i="5"/>
  <c r="C81" i="5"/>
  <c r="B81" i="5"/>
  <c r="A81" i="5"/>
  <c r="J80" i="5"/>
  <c r="Z80" i="5"/>
  <c r="Y80" i="5"/>
  <c r="X80" i="5"/>
  <c r="F80" i="5"/>
  <c r="D80" i="5"/>
  <c r="C80" i="5"/>
  <c r="B80" i="5"/>
  <c r="A80" i="5"/>
  <c r="G79" i="5"/>
  <c r="E79" i="5"/>
  <c r="J78" i="5"/>
  <c r="F78" i="5"/>
  <c r="E78" i="5"/>
  <c r="J77" i="5"/>
  <c r="F77" i="5"/>
  <c r="E77" i="5"/>
  <c r="J76" i="5"/>
  <c r="G76" i="5"/>
  <c r="F76" i="5"/>
  <c r="J75" i="5"/>
  <c r="G75" i="5"/>
  <c r="F75" i="5"/>
  <c r="J74" i="5"/>
  <c r="G74" i="5"/>
  <c r="F74" i="5"/>
  <c r="J73" i="5"/>
  <c r="G73" i="5"/>
  <c r="F73" i="5"/>
  <c r="F71" i="5"/>
  <c r="D71" i="5"/>
  <c r="I71" i="5"/>
  <c r="C71" i="5"/>
  <c r="B71" i="5"/>
  <c r="A71" i="5"/>
  <c r="Z70" i="5"/>
  <c r="Y70" i="5"/>
  <c r="X70" i="5"/>
  <c r="J69" i="5"/>
  <c r="Z69" i="5"/>
  <c r="Y69" i="5"/>
  <c r="X69" i="5"/>
  <c r="F69" i="5"/>
  <c r="D69" i="5"/>
  <c r="C69" i="5"/>
  <c r="B69" i="5"/>
  <c r="A69" i="5"/>
  <c r="J68" i="5"/>
  <c r="Z68" i="5"/>
  <c r="Y68" i="5"/>
  <c r="X68" i="5"/>
  <c r="F68" i="5"/>
  <c r="D68" i="5"/>
  <c r="B68" i="5"/>
  <c r="A68" i="5"/>
  <c r="G67" i="5"/>
  <c r="E67" i="5"/>
  <c r="J66" i="5"/>
  <c r="E66" i="5"/>
  <c r="J65" i="5"/>
  <c r="E65" i="5"/>
  <c r="J64" i="5"/>
  <c r="G64" i="5"/>
  <c r="F64" i="5"/>
  <c r="J63" i="5"/>
  <c r="G63" i="5"/>
  <c r="F63" i="5"/>
  <c r="J62" i="5"/>
  <c r="G62" i="5"/>
  <c r="F62" i="5"/>
  <c r="J61" i="5"/>
  <c r="G61" i="5"/>
  <c r="F61" i="5"/>
  <c r="F59" i="5"/>
  <c r="D59" i="5"/>
  <c r="I59" i="5"/>
  <c r="C59" i="5"/>
  <c r="B59" i="5"/>
  <c r="A59" i="5"/>
  <c r="Z58" i="5"/>
  <c r="Y58" i="5"/>
  <c r="X58" i="5"/>
  <c r="J57" i="5"/>
  <c r="Z57" i="5"/>
  <c r="Y57" i="5"/>
  <c r="X57" i="5"/>
  <c r="F57" i="5"/>
  <c r="D57" i="5"/>
  <c r="B57" i="5"/>
  <c r="A57" i="5"/>
  <c r="G56" i="5"/>
  <c r="E56" i="5"/>
  <c r="J55" i="5"/>
  <c r="F55" i="5"/>
  <c r="E55" i="5"/>
  <c r="J54" i="5"/>
  <c r="F54" i="5"/>
  <c r="E54" i="5"/>
  <c r="J53" i="5"/>
  <c r="G53" i="5"/>
  <c r="F53" i="5"/>
  <c r="J52" i="5"/>
  <c r="G52" i="5"/>
  <c r="F52" i="5"/>
  <c r="J51" i="5"/>
  <c r="G51" i="5"/>
  <c r="F51" i="5"/>
  <c r="J50" i="5"/>
  <c r="G50" i="5"/>
  <c r="F50" i="5"/>
  <c r="F48" i="5"/>
  <c r="D48" i="5"/>
  <c r="I48" i="5"/>
  <c r="C48" i="5"/>
  <c r="B48" i="5"/>
  <c r="A48" i="5"/>
  <c r="Z47" i="5"/>
  <c r="Y47" i="5"/>
  <c r="X47" i="5"/>
  <c r="J46" i="5"/>
  <c r="Z46" i="5"/>
  <c r="Y46" i="5"/>
  <c r="X46" i="5"/>
  <c r="F46" i="5"/>
  <c r="D46" i="5"/>
  <c r="C46" i="5"/>
  <c r="B46" i="5"/>
  <c r="A46" i="5"/>
  <c r="J45" i="5"/>
  <c r="Z45" i="5"/>
  <c r="Y45" i="5"/>
  <c r="X45" i="5"/>
  <c r="F45" i="5"/>
  <c r="D45" i="5"/>
  <c r="B45" i="5"/>
  <c r="A45" i="5"/>
  <c r="G44" i="5"/>
  <c r="E44" i="5"/>
  <c r="J43" i="5"/>
  <c r="F43" i="5"/>
  <c r="E43" i="5"/>
  <c r="J42" i="5"/>
  <c r="F42" i="5"/>
  <c r="E42" i="5"/>
  <c r="J41" i="5"/>
  <c r="G41" i="5"/>
  <c r="F41" i="5"/>
  <c r="J40" i="5"/>
  <c r="G40" i="5"/>
  <c r="F40" i="5"/>
  <c r="J39" i="5"/>
  <c r="G39" i="5"/>
  <c r="F39" i="5"/>
  <c r="J38" i="5"/>
  <c r="G38" i="5"/>
  <c r="F38" i="5"/>
  <c r="F36" i="5"/>
  <c r="D36" i="5"/>
  <c r="I36" i="5"/>
  <c r="C36" i="5"/>
  <c r="B36" i="5"/>
  <c r="A36" i="5"/>
  <c r="Z35" i="5"/>
  <c r="Y35" i="5"/>
  <c r="X35" i="5"/>
  <c r="G34" i="5"/>
  <c r="E34" i="5"/>
  <c r="J33" i="5"/>
  <c r="F33" i="5"/>
  <c r="E33" i="5"/>
  <c r="J32" i="5"/>
  <c r="F32" i="5"/>
  <c r="E32" i="5"/>
  <c r="J31" i="5"/>
  <c r="G31" i="5"/>
  <c r="F31" i="5"/>
  <c r="J30" i="5"/>
  <c r="G30" i="5"/>
  <c r="F30" i="5"/>
  <c r="J29" i="5"/>
  <c r="G29" i="5"/>
  <c r="F29" i="5"/>
  <c r="F27" i="5"/>
  <c r="D27" i="5"/>
  <c r="I27" i="5"/>
  <c r="C27" i="5"/>
  <c r="B27" i="5"/>
  <c r="A27" i="5"/>
  <c r="B12" i="5"/>
  <c r="H6" i="5"/>
  <c r="A1" i="5"/>
  <c r="G20" i="5" l="1"/>
  <c r="G19" i="5"/>
  <c r="G18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CQ24" i="1" s="1"/>
  <c r="P24" i="1" s="1"/>
  <c r="U36" i="6" s="1"/>
  <c r="AE24" i="1"/>
  <c r="AF24" i="1"/>
  <c r="AG24" i="1"/>
  <c r="AH24" i="1"/>
  <c r="CV24" i="1" s="1"/>
  <c r="U24" i="1" s="1"/>
  <c r="AI24" i="1"/>
  <c r="CW24" i="1" s="1"/>
  <c r="AJ24" i="1"/>
  <c r="CX24" i="1" s="1"/>
  <c r="CU24" i="1"/>
  <c r="T24" i="1" s="1"/>
  <c r="FR24" i="1"/>
  <c r="GL24" i="1"/>
  <c r="GO24" i="1"/>
  <c r="GP24" i="1"/>
  <c r="GV24" i="1"/>
  <c r="GX24" i="1"/>
  <c r="C25" i="1"/>
  <c r="D25" i="1"/>
  <c r="I25" i="1"/>
  <c r="AC25" i="1"/>
  <c r="H41" i="5" s="1"/>
  <c r="AE25" i="1"/>
  <c r="CS25" i="1" s="1"/>
  <c r="R25" i="1" s="1"/>
  <c r="AF25" i="1"/>
  <c r="AG25" i="1"/>
  <c r="CU25" i="1" s="1"/>
  <c r="T25" i="1" s="1"/>
  <c r="AH25" i="1"/>
  <c r="CV25" i="1" s="1"/>
  <c r="U25" i="1" s="1"/>
  <c r="AI25" i="1"/>
  <c r="AJ25" i="1"/>
  <c r="CT25" i="1"/>
  <c r="S25" i="1" s="1"/>
  <c r="CW25" i="1"/>
  <c r="V25" i="1" s="1"/>
  <c r="Z46" i="6" s="1"/>
  <c r="CX25" i="1"/>
  <c r="W25" i="1" s="1"/>
  <c r="FR25" i="1"/>
  <c r="GL25" i="1"/>
  <c r="GO25" i="1"/>
  <c r="GP25" i="1"/>
  <c r="GV25" i="1"/>
  <c r="GX25" i="1" s="1"/>
  <c r="I26" i="1"/>
  <c r="GX26" i="1" s="1"/>
  <c r="AC26" i="1"/>
  <c r="AE26" i="1"/>
  <c r="AD26" i="1" s="1"/>
  <c r="AF26" i="1"/>
  <c r="AG26" i="1"/>
  <c r="AH26" i="1"/>
  <c r="CV26" i="1" s="1"/>
  <c r="AI26" i="1"/>
  <c r="CW26" i="1" s="1"/>
  <c r="AJ26" i="1"/>
  <c r="CX26" i="1" s="1"/>
  <c r="CU26" i="1"/>
  <c r="T26" i="1" s="1"/>
  <c r="FR26" i="1"/>
  <c r="GL26" i="1"/>
  <c r="GO26" i="1"/>
  <c r="GP26" i="1"/>
  <c r="GV26" i="1"/>
  <c r="AC27" i="1"/>
  <c r="AE27" i="1"/>
  <c r="AF27" i="1"/>
  <c r="AG27" i="1"/>
  <c r="CU27" i="1" s="1"/>
  <c r="AH27" i="1"/>
  <c r="AI27" i="1"/>
  <c r="CW27" i="1" s="1"/>
  <c r="AJ27" i="1"/>
  <c r="CQ27" i="1"/>
  <c r="CV27" i="1"/>
  <c r="CX27" i="1"/>
  <c r="FR27" i="1"/>
  <c r="GL27" i="1"/>
  <c r="GO27" i="1"/>
  <c r="GP27" i="1"/>
  <c r="GV27" i="1"/>
  <c r="C28" i="1"/>
  <c r="D28" i="1"/>
  <c r="I28" i="1"/>
  <c r="AC28" i="1"/>
  <c r="AE28" i="1"/>
  <c r="AF28" i="1"/>
  <c r="AG28" i="1"/>
  <c r="CU28" i="1" s="1"/>
  <c r="T28" i="1" s="1"/>
  <c r="AH28" i="1"/>
  <c r="CV28" i="1" s="1"/>
  <c r="AI28" i="1"/>
  <c r="CW28" i="1" s="1"/>
  <c r="AJ28" i="1"/>
  <c r="CX28" i="1" s="1"/>
  <c r="CS28" i="1"/>
  <c r="R28" i="1" s="1"/>
  <c r="FR28" i="1"/>
  <c r="GL28" i="1"/>
  <c r="GO28" i="1"/>
  <c r="GP28" i="1"/>
  <c r="GV28" i="1"/>
  <c r="AC29" i="1"/>
  <c r="CQ29" i="1" s="1"/>
  <c r="AE29" i="1"/>
  <c r="CS29" i="1" s="1"/>
  <c r="AF29" i="1"/>
  <c r="AG29" i="1"/>
  <c r="CU29" i="1" s="1"/>
  <c r="AH29" i="1"/>
  <c r="AI29" i="1"/>
  <c r="CW29" i="1" s="1"/>
  <c r="AJ29" i="1"/>
  <c r="CX29" i="1" s="1"/>
  <c r="CV29" i="1"/>
  <c r="FR29" i="1"/>
  <c r="GL29" i="1"/>
  <c r="GO29" i="1"/>
  <c r="GP29" i="1"/>
  <c r="GV29" i="1"/>
  <c r="C30" i="1"/>
  <c r="D30" i="1"/>
  <c r="I30" i="1"/>
  <c r="AC30" i="1"/>
  <c r="AE30" i="1"/>
  <c r="AF30" i="1"/>
  <c r="AG30" i="1"/>
  <c r="AH30" i="1"/>
  <c r="CV30" i="1" s="1"/>
  <c r="U30" i="1" s="1"/>
  <c r="AI30" i="1"/>
  <c r="CW30" i="1" s="1"/>
  <c r="V30" i="1" s="1"/>
  <c r="Z72" i="6" s="1"/>
  <c r="AJ30" i="1"/>
  <c r="CX30" i="1" s="1"/>
  <c r="CU30" i="1"/>
  <c r="T30" i="1" s="1"/>
  <c r="FR30" i="1"/>
  <c r="GL30" i="1"/>
  <c r="GO30" i="1"/>
  <c r="GP30" i="1"/>
  <c r="GV30" i="1"/>
  <c r="AC31" i="1"/>
  <c r="AE31" i="1"/>
  <c r="AD31" i="1" s="1"/>
  <c r="CR31" i="1" s="1"/>
  <c r="AF31" i="1"/>
  <c r="AG31" i="1"/>
  <c r="CU31" i="1" s="1"/>
  <c r="AH31" i="1"/>
  <c r="CV31" i="1" s="1"/>
  <c r="AI31" i="1"/>
  <c r="CW31" i="1" s="1"/>
  <c r="AJ31" i="1"/>
  <c r="CS31" i="1"/>
  <c r="CX31" i="1"/>
  <c r="FR31" i="1"/>
  <c r="GL31" i="1"/>
  <c r="GO31" i="1"/>
  <c r="GP31" i="1"/>
  <c r="GV31" i="1"/>
  <c r="AC32" i="1"/>
  <c r="AE32" i="1"/>
  <c r="AD32" i="1" s="1"/>
  <c r="AF32" i="1"/>
  <c r="AG32" i="1"/>
  <c r="CU32" i="1" s="1"/>
  <c r="AH32" i="1"/>
  <c r="CV32" i="1" s="1"/>
  <c r="AI32" i="1"/>
  <c r="AJ32" i="1"/>
  <c r="CX32" i="1" s="1"/>
  <c r="CW32" i="1"/>
  <c r="FR32" i="1"/>
  <c r="GL32" i="1"/>
  <c r="GO32" i="1"/>
  <c r="GP32" i="1"/>
  <c r="GV32" i="1"/>
  <c r="C33" i="1"/>
  <c r="D33" i="1"/>
  <c r="I33" i="1"/>
  <c r="I34" i="1" s="1"/>
  <c r="AC33" i="1"/>
  <c r="AE33" i="1"/>
  <c r="AF33" i="1"/>
  <c r="AG33" i="1"/>
  <c r="CU33" i="1" s="1"/>
  <c r="T33" i="1" s="1"/>
  <c r="AH33" i="1"/>
  <c r="CV33" i="1" s="1"/>
  <c r="AI33" i="1"/>
  <c r="CW33" i="1" s="1"/>
  <c r="V33" i="1" s="1"/>
  <c r="Z84" i="6" s="1"/>
  <c r="AJ33" i="1"/>
  <c r="CT33" i="1"/>
  <c r="S33" i="1" s="1"/>
  <c r="CX33" i="1"/>
  <c r="FR33" i="1"/>
  <c r="GL33" i="1"/>
  <c r="GO33" i="1"/>
  <c r="GP33" i="1"/>
  <c r="GV33" i="1"/>
  <c r="GX33" i="1"/>
  <c r="AC34" i="1"/>
  <c r="AE34" i="1"/>
  <c r="AD34" i="1" s="1"/>
  <c r="AF34" i="1"/>
  <c r="AG34" i="1"/>
  <c r="CU34" i="1" s="1"/>
  <c r="AH34" i="1"/>
  <c r="AI34" i="1"/>
  <c r="AJ34" i="1"/>
  <c r="CX34" i="1" s="1"/>
  <c r="CS34" i="1"/>
  <c r="CV34" i="1"/>
  <c r="CW34" i="1"/>
  <c r="FR34" i="1"/>
  <c r="GL34" i="1"/>
  <c r="GO34" i="1"/>
  <c r="GP34" i="1"/>
  <c r="GV34" i="1"/>
  <c r="AC35" i="1"/>
  <c r="AE35" i="1"/>
  <c r="AD35" i="1" s="1"/>
  <c r="AF35" i="1"/>
  <c r="AG35" i="1"/>
  <c r="AH35" i="1"/>
  <c r="AI35" i="1"/>
  <c r="CW35" i="1" s="1"/>
  <c r="AJ35" i="1"/>
  <c r="CX35" i="1" s="1"/>
  <c r="CU35" i="1"/>
  <c r="CV35" i="1"/>
  <c r="FR35" i="1"/>
  <c r="GL35" i="1"/>
  <c r="GO35" i="1"/>
  <c r="GP35" i="1"/>
  <c r="GV35" i="1"/>
  <c r="C36" i="1"/>
  <c r="D36" i="1"/>
  <c r="I36" i="1"/>
  <c r="AC36" i="1"/>
  <c r="AE36" i="1"/>
  <c r="CS36" i="1" s="1"/>
  <c r="R36" i="1" s="1"/>
  <c r="AF36" i="1"/>
  <c r="AG36" i="1"/>
  <c r="CU36" i="1" s="1"/>
  <c r="T36" i="1" s="1"/>
  <c r="AH36" i="1"/>
  <c r="AI36" i="1"/>
  <c r="AJ36" i="1"/>
  <c r="CX36" i="1" s="1"/>
  <c r="CV36" i="1"/>
  <c r="U36" i="1" s="1"/>
  <c r="CW36" i="1"/>
  <c r="FR36" i="1"/>
  <c r="GL36" i="1"/>
  <c r="GO36" i="1"/>
  <c r="GP36" i="1"/>
  <c r="GV36" i="1"/>
  <c r="GX36" i="1" s="1"/>
  <c r="AC37" i="1"/>
  <c r="AE37" i="1"/>
  <c r="AD37" i="1" s="1"/>
  <c r="AF37" i="1"/>
  <c r="AG37" i="1"/>
  <c r="AH37" i="1"/>
  <c r="CV37" i="1" s="1"/>
  <c r="AI37" i="1"/>
  <c r="CW37" i="1" s="1"/>
  <c r="AJ37" i="1"/>
  <c r="CX37" i="1" s="1"/>
  <c r="CU37" i="1"/>
  <c r="FR37" i="1"/>
  <c r="GL37" i="1"/>
  <c r="GO37" i="1"/>
  <c r="GP37" i="1"/>
  <c r="GV37" i="1"/>
  <c r="AC38" i="1"/>
  <c r="AD38" i="1"/>
  <c r="CR38" i="1" s="1"/>
  <c r="AE38" i="1"/>
  <c r="CS38" i="1" s="1"/>
  <c r="AF38" i="1"/>
  <c r="CT38" i="1" s="1"/>
  <c r="AG38" i="1"/>
  <c r="CU38" i="1" s="1"/>
  <c r="AH38" i="1"/>
  <c r="CV38" i="1" s="1"/>
  <c r="AI38" i="1"/>
  <c r="CW38" i="1" s="1"/>
  <c r="AJ38" i="1"/>
  <c r="CX38" i="1" s="1"/>
  <c r="CQ38" i="1"/>
  <c r="FR38" i="1"/>
  <c r="GL38" i="1"/>
  <c r="GO38" i="1"/>
  <c r="GP38" i="1"/>
  <c r="GV38" i="1"/>
  <c r="C39" i="1"/>
  <c r="D39" i="1"/>
  <c r="I39" i="1"/>
  <c r="AC39" i="1"/>
  <c r="H98" i="5" s="1"/>
  <c r="AE39" i="1"/>
  <c r="AF39" i="1"/>
  <c r="AG39" i="1"/>
  <c r="AH39" i="1"/>
  <c r="AI39" i="1"/>
  <c r="CW39" i="1" s="1"/>
  <c r="V39" i="1" s="1"/>
  <c r="Z112" i="6" s="1"/>
  <c r="AJ39" i="1"/>
  <c r="CX39" i="1" s="1"/>
  <c r="CU39" i="1"/>
  <c r="T39" i="1" s="1"/>
  <c r="CV39" i="1"/>
  <c r="U39" i="1" s="1"/>
  <c r="FR39" i="1"/>
  <c r="BY43" i="1" s="1"/>
  <c r="BY22" i="1" s="1"/>
  <c r="GL39" i="1"/>
  <c r="GO39" i="1"/>
  <c r="GP39" i="1"/>
  <c r="CD43" i="1" s="1"/>
  <c r="CD22" i="1" s="1"/>
  <c r="GV39" i="1"/>
  <c r="AC40" i="1"/>
  <c r="AE40" i="1"/>
  <c r="CS40" i="1" s="1"/>
  <c r="AF40" i="1"/>
  <c r="CT40" i="1" s="1"/>
  <c r="AG40" i="1"/>
  <c r="CU40" i="1" s="1"/>
  <c r="AH40" i="1"/>
  <c r="CV40" i="1" s="1"/>
  <c r="AI40" i="1"/>
  <c r="CW40" i="1" s="1"/>
  <c r="AJ40" i="1"/>
  <c r="CX40" i="1" s="1"/>
  <c r="CQ40" i="1"/>
  <c r="FR40" i="1"/>
  <c r="GL40" i="1"/>
  <c r="GO40" i="1"/>
  <c r="GP40" i="1"/>
  <c r="GV40" i="1"/>
  <c r="AC41" i="1"/>
  <c r="AE41" i="1"/>
  <c r="AD41" i="1" s="1"/>
  <c r="CR41" i="1" s="1"/>
  <c r="AF41" i="1"/>
  <c r="AG41" i="1"/>
  <c r="CU41" i="1" s="1"/>
  <c r="AH41" i="1"/>
  <c r="CV41" i="1" s="1"/>
  <c r="AI41" i="1"/>
  <c r="AJ41" i="1"/>
  <c r="CX41" i="1" s="1"/>
  <c r="CS41" i="1"/>
  <c r="CW41" i="1"/>
  <c r="FR41" i="1"/>
  <c r="GL41" i="1"/>
  <c r="GO41" i="1"/>
  <c r="GP41" i="1"/>
  <c r="GV41" i="1"/>
  <c r="B43" i="1"/>
  <c r="B22" i="1" s="1"/>
  <c r="C43" i="1"/>
  <c r="C22" i="1" s="1"/>
  <c r="D43" i="1"/>
  <c r="D22" i="1" s="1"/>
  <c r="F43" i="1"/>
  <c r="F22" i="1" s="1"/>
  <c r="G43" i="1"/>
  <c r="BX43" i="1"/>
  <c r="BX22" i="1" s="1"/>
  <c r="CC43" i="1"/>
  <c r="CC22" i="1" s="1"/>
  <c r="CK43" i="1"/>
  <c r="CK22" i="1" s="1"/>
  <c r="CL43" i="1"/>
  <c r="CL22" i="1" s="1"/>
  <c r="B75" i="1"/>
  <c r="B18" i="1" s="1"/>
  <c r="C75" i="1"/>
  <c r="C18" i="1" s="1"/>
  <c r="D75" i="1"/>
  <c r="D18" i="1" s="1"/>
  <c r="F75" i="1"/>
  <c r="F18" i="1" s="1"/>
  <c r="G75" i="1"/>
  <c r="G18" i="1" s="1"/>
  <c r="GX34" i="1" l="1"/>
  <c r="AD40" i="1"/>
  <c r="CR40" i="1" s="1"/>
  <c r="Q40" i="1" s="1"/>
  <c r="W122" i="6" s="1"/>
  <c r="V24" i="1"/>
  <c r="Z36" i="6" s="1"/>
  <c r="I35" i="1"/>
  <c r="T35" i="1" s="1"/>
  <c r="W33" i="1"/>
  <c r="H75" i="5"/>
  <c r="R75" i="5" s="1"/>
  <c r="V28" i="1"/>
  <c r="Z60" i="6" s="1"/>
  <c r="V26" i="1"/>
  <c r="Z56" i="6" s="1"/>
  <c r="BZ43" i="1"/>
  <c r="R34" i="1"/>
  <c r="GK34" i="1" s="1"/>
  <c r="T34" i="1"/>
  <c r="U33" i="1"/>
  <c r="L79" i="5" s="1"/>
  <c r="GX28" i="1"/>
  <c r="U28" i="1"/>
  <c r="U26" i="1"/>
  <c r="Y56" i="6" s="1"/>
  <c r="GX35" i="1"/>
  <c r="Y72" i="6"/>
  <c r="L67" i="5"/>
  <c r="L70" i="5"/>
  <c r="Q70" i="5" s="1"/>
  <c r="Y46" i="6"/>
  <c r="L44" i="5"/>
  <c r="L47" i="5"/>
  <c r="Q47" i="5" s="1"/>
  <c r="Y36" i="6"/>
  <c r="L35" i="5"/>
  <c r="Q35" i="5" s="1"/>
  <c r="L34" i="5"/>
  <c r="GK28" i="1"/>
  <c r="X60" i="6"/>
  <c r="K52" i="5"/>
  <c r="Y60" i="6"/>
  <c r="L56" i="5"/>
  <c r="L58" i="5"/>
  <c r="Q58" i="5" s="1"/>
  <c r="L94" i="5"/>
  <c r="Q94" i="5" s="1"/>
  <c r="Y98" i="6"/>
  <c r="L91" i="5"/>
  <c r="CQ36" i="1"/>
  <c r="P36" i="1" s="1"/>
  <c r="H88" i="5"/>
  <c r="CT35" i="1"/>
  <c r="S35" i="1" s="1"/>
  <c r="V96" i="6" s="1"/>
  <c r="S81" i="5"/>
  <c r="U81" i="5"/>
  <c r="X94" i="6"/>
  <c r="F94" i="6"/>
  <c r="E80" i="5"/>
  <c r="AB31" i="1"/>
  <c r="G80" i="6" s="1"/>
  <c r="AD30" i="1"/>
  <c r="H62" i="5" s="1"/>
  <c r="H63" i="5"/>
  <c r="R63" i="5" s="1"/>
  <c r="F72" i="6"/>
  <c r="C60" i="5"/>
  <c r="E59" i="5"/>
  <c r="AD28" i="1"/>
  <c r="H52" i="5"/>
  <c r="R52" i="5" s="1"/>
  <c r="F60" i="6"/>
  <c r="C49" i="5"/>
  <c r="E48" i="5"/>
  <c r="V46" i="6"/>
  <c r="K38" i="5"/>
  <c r="AD24" i="1"/>
  <c r="H30" i="5" s="1"/>
  <c r="H31" i="5"/>
  <c r="R31" i="5" s="1"/>
  <c r="AB41" i="1"/>
  <c r="G124" i="6" s="1"/>
  <c r="Y112" i="6"/>
  <c r="L101" i="5"/>
  <c r="L104" i="5"/>
  <c r="Q104" i="5" s="1"/>
  <c r="AB38" i="1"/>
  <c r="G110" i="6" s="1"/>
  <c r="CQ37" i="1"/>
  <c r="GK36" i="1"/>
  <c r="X98" i="6"/>
  <c r="K87" i="5"/>
  <c r="I37" i="1"/>
  <c r="C84" i="5"/>
  <c r="F98" i="6"/>
  <c r="E83" i="5"/>
  <c r="W34" i="1"/>
  <c r="CT34" i="1"/>
  <c r="S34" i="1" s="1"/>
  <c r="V94" i="6" s="1"/>
  <c r="S80" i="5"/>
  <c r="U80" i="5"/>
  <c r="V84" i="6"/>
  <c r="K73" i="5"/>
  <c r="Y84" i="6"/>
  <c r="L82" i="5"/>
  <c r="Q82" i="5" s="1"/>
  <c r="AD33" i="1"/>
  <c r="CQ32" i="1"/>
  <c r="W31" i="1"/>
  <c r="I31" i="1"/>
  <c r="GX31" i="1" s="1"/>
  <c r="CS30" i="1"/>
  <c r="R30" i="1" s="1"/>
  <c r="H64" i="5"/>
  <c r="H53" i="5"/>
  <c r="CS26" i="1"/>
  <c r="R26" i="1" s="1"/>
  <c r="H45" i="5"/>
  <c r="W45" i="5" s="1"/>
  <c r="GK25" i="1"/>
  <c r="X46" i="6"/>
  <c r="K40" i="5"/>
  <c r="CX6" i="3"/>
  <c r="F46" i="6"/>
  <c r="C37" i="5"/>
  <c r="E36" i="5"/>
  <c r="CS24" i="1"/>
  <c r="R24" i="1" s="1"/>
  <c r="AO43" i="1"/>
  <c r="F47" i="1" s="1"/>
  <c r="U102" i="5"/>
  <c r="CQ39" i="1"/>
  <c r="P39" i="1" s="1"/>
  <c r="I40" i="1"/>
  <c r="S40" i="1" s="1"/>
  <c r="F112" i="6"/>
  <c r="C96" i="5"/>
  <c r="E95" i="5"/>
  <c r="GX37" i="1"/>
  <c r="W37" i="1"/>
  <c r="CT37" i="1"/>
  <c r="S37" i="1" s="1"/>
  <c r="V108" i="6" s="1"/>
  <c r="U92" i="5"/>
  <c r="S92" i="5"/>
  <c r="W36" i="1"/>
  <c r="CT36" i="1"/>
  <c r="S36" i="1" s="1"/>
  <c r="CZ36" i="1" s="1"/>
  <c r="Y36" i="1" s="1"/>
  <c r="G105" i="6"/>
  <c r="G103" i="6"/>
  <c r="S83" i="5"/>
  <c r="H85" i="5"/>
  <c r="R85" i="5" s="1"/>
  <c r="U83" i="5"/>
  <c r="H81" i="5"/>
  <c r="W81" i="5" s="1"/>
  <c r="V34" i="1"/>
  <c r="Z94" i="6" s="1"/>
  <c r="CS33" i="1"/>
  <c r="R33" i="1" s="1"/>
  <c r="H76" i="5"/>
  <c r="CS32" i="1"/>
  <c r="T32" i="1"/>
  <c r="I32" i="1"/>
  <c r="V32" i="1" s="1"/>
  <c r="Z82" i="6" s="1"/>
  <c r="V31" i="1"/>
  <c r="Z80" i="6" s="1"/>
  <c r="GX30" i="1"/>
  <c r="CQ30" i="1"/>
  <c r="P30" i="1" s="1"/>
  <c r="CQ28" i="1"/>
  <c r="P28" i="1" s="1"/>
  <c r="AB28" i="1"/>
  <c r="G60" i="6" s="1"/>
  <c r="CQ26" i="1"/>
  <c r="P26" i="1" s="1"/>
  <c r="U56" i="6" s="1"/>
  <c r="F56" i="6"/>
  <c r="E45" i="5"/>
  <c r="G53" i="6"/>
  <c r="G51" i="6"/>
  <c r="U36" i="5"/>
  <c r="H38" i="5"/>
  <c r="R38" i="5" s="1"/>
  <c r="S36" i="5"/>
  <c r="CX2" i="3"/>
  <c r="F36" i="6"/>
  <c r="C28" i="5"/>
  <c r="E27" i="5"/>
  <c r="U40" i="1"/>
  <c r="Y122" i="6" s="1"/>
  <c r="G22" i="1"/>
  <c r="C127" i="6"/>
  <c r="A105" i="5"/>
  <c r="CT41" i="1"/>
  <c r="V40" i="1"/>
  <c r="Z122" i="6" s="1"/>
  <c r="GX39" i="1"/>
  <c r="W39" i="1"/>
  <c r="CT39" i="1"/>
  <c r="S39" i="1" s="1"/>
  <c r="G117" i="6"/>
  <c r="S95" i="5"/>
  <c r="G119" i="6"/>
  <c r="U95" i="5"/>
  <c r="H97" i="5"/>
  <c r="V37" i="1"/>
  <c r="Z108" i="6" s="1"/>
  <c r="V36" i="1"/>
  <c r="Z98" i="6" s="1"/>
  <c r="AD36" i="1"/>
  <c r="H86" i="5" s="1"/>
  <c r="H87" i="5"/>
  <c r="R87" i="5" s="1"/>
  <c r="CQ35" i="1"/>
  <c r="P35" i="1" s="1"/>
  <c r="U96" i="6" s="1"/>
  <c r="F96" i="6"/>
  <c r="E81" i="5"/>
  <c r="U34" i="1"/>
  <c r="Y94" i="6" s="1"/>
  <c r="CQ34" i="1"/>
  <c r="P34" i="1" s="1"/>
  <c r="U94" i="6" s="1"/>
  <c r="H80" i="5"/>
  <c r="W80" i="5" s="1"/>
  <c r="G91" i="6"/>
  <c r="G89" i="6"/>
  <c r="H73" i="5"/>
  <c r="R73" i="5" s="1"/>
  <c r="U71" i="5"/>
  <c r="S71" i="5"/>
  <c r="H77" i="5" s="1"/>
  <c r="F84" i="6"/>
  <c r="E71" i="5"/>
  <c r="C72" i="5"/>
  <c r="W32" i="1"/>
  <c r="CT32" i="1"/>
  <c r="S32" i="1" s="1"/>
  <c r="V82" i="6" s="1"/>
  <c r="U69" i="5"/>
  <c r="S69" i="5"/>
  <c r="CT31" i="1"/>
  <c r="S31" i="1" s="1"/>
  <c r="V80" i="6" s="1"/>
  <c r="W30" i="1"/>
  <c r="CT30" i="1"/>
  <c r="S30" i="1" s="1"/>
  <c r="CY30" i="1" s="1"/>
  <c r="X30" i="1" s="1"/>
  <c r="G77" i="6"/>
  <c r="G78" i="6"/>
  <c r="U59" i="5"/>
  <c r="S59" i="5"/>
  <c r="H61" i="5"/>
  <c r="CT29" i="1"/>
  <c r="W28" i="1"/>
  <c r="CT28" i="1"/>
  <c r="S28" i="1" s="1"/>
  <c r="CY28" i="1" s="1"/>
  <c r="X28" i="1" s="1"/>
  <c r="G65" i="6"/>
  <c r="G69" i="6"/>
  <c r="G67" i="6"/>
  <c r="U48" i="5"/>
  <c r="S48" i="5"/>
  <c r="H50" i="5"/>
  <c r="R50" i="5" s="1"/>
  <c r="CT27" i="1"/>
  <c r="W26" i="1"/>
  <c r="CT26" i="1"/>
  <c r="S26" i="1" s="1"/>
  <c r="V56" i="6" s="1"/>
  <c r="S45" i="5"/>
  <c r="U45" i="5"/>
  <c r="AD25" i="1"/>
  <c r="H40" i="5"/>
  <c r="R40" i="5" s="1"/>
  <c r="W24" i="1"/>
  <c r="CT24" i="1"/>
  <c r="S24" i="1" s="1"/>
  <c r="CZ24" i="1" s="1"/>
  <c r="Y24" i="1" s="1"/>
  <c r="G43" i="6"/>
  <c r="G41" i="6"/>
  <c r="H29" i="5"/>
  <c r="S27" i="5"/>
  <c r="H32" i="5" s="1"/>
  <c r="U27" i="5"/>
  <c r="H33" i="5" s="1"/>
  <c r="BZ22" i="1"/>
  <c r="CI43" i="1"/>
  <c r="AQ43" i="1"/>
  <c r="CG43" i="1"/>
  <c r="BC43" i="1"/>
  <c r="AD39" i="1"/>
  <c r="CS39" i="1"/>
  <c r="R39" i="1" s="1"/>
  <c r="X112" i="6" s="1"/>
  <c r="CR32" i="1"/>
  <c r="Q32" i="1" s="1"/>
  <c r="AB32" i="1"/>
  <c r="G82" i="6" s="1"/>
  <c r="AB30" i="1"/>
  <c r="G72" i="6" s="1"/>
  <c r="CR30" i="1"/>
  <c r="Q30" i="1" s="1"/>
  <c r="BB43" i="1"/>
  <c r="CQ41" i="1"/>
  <c r="CR35" i="1"/>
  <c r="Q35" i="1" s="1"/>
  <c r="W96" i="6" s="1"/>
  <c r="AB35" i="1"/>
  <c r="G96" i="6" s="1"/>
  <c r="CZ34" i="1"/>
  <c r="Y34" i="1" s="1"/>
  <c r="GK30" i="1"/>
  <c r="CY36" i="1"/>
  <c r="X36" i="1" s="1"/>
  <c r="CR34" i="1"/>
  <c r="Q34" i="1" s="1"/>
  <c r="AB34" i="1"/>
  <c r="G94" i="6" s="1"/>
  <c r="AT43" i="1"/>
  <c r="AO22" i="1"/>
  <c r="AO75" i="1"/>
  <c r="CR37" i="1"/>
  <c r="Q37" i="1" s="1"/>
  <c r="AB37" i="1"/>
  <c r="G108" i="6" s="1"/>
  <c r="AB36" i="1"/>
  <c r="G98" i="6" s="1"/>
  <c r="AU43" i="1"/>
  <c r="AP43" i="1"/>
  <c r="AB40" i="1"/>
  <c r="G122" i="6" s="1"/>
  <c r="I38" i="1"/>
  <c r="S93" i="5" s="1"/>
  <c r="AD29" i="1"/>
  <c r="CR29" i="1" s="1"/>
  <c r="CX18" i="3"/>
  <c r="CX22" i="3"/>
  <c r="CX19" i="3"/>
  <c r="CX16" i="3"/>
  <c r="CX20" i="3"/>
  <c r="CX17" i="3"/>
  <c r="CX21" i="3"/>
  <c r="I29" i="1"/>
  <c r="GX29" i="1" s="1"/>
  <c r="CX46" i="3"/>
  <c r="CX47" i="3"/>
  <c r="CX48" i="3"/>
  <c r="CX45" i="3"/>
  <c r="CS37" i="1"/>
  <c r="R37" i="1" s="1"/>
  <c r="CS35" i="1"/>
  <c r="R35" i="1" s="1"/>
  <c r="CQ33" i="1"/>
  <c r="P33" i="1" s="1"/>
  <c r="CQ31" i="1"/>
  <c r="P31" i="1" s="1"/>
  <c r="AD27" i="1"/>
  <c r="CR27" i="1" s="1"/>
  <c r="CS27" i="1"/>
  <c r="CX38" i="3"/>
  <c r="CX42" i="3"/>
  <c r="CX39" i="3"/>
  <c r="CX43" i="3"/>
  <c r="CX40" i="3"/>
  <c r="CX44" i="3"/>
  <c r="CX41" i="3"/>
  <c r="CP30" i="1"/>
  <c r="O30" i="1" s="1"/>
  <c r="AB27" i="1"/>
  <c r="G58" i="6" s="1"/>
  <c r="I41" i="1"/>
  <c r="H103" i="5" s="1"/>
  <c r="W103" i="5" s="1"/>
  <c r="CX34" i="3"/>
  <c r="CX31" i="3"/>
  <c r="CX35" i="3"/>
  <c r="CX32" i="3"/>
  <c r="CX36" i="3"/>
  <c r="CX33" i="3"/>
  <c r="CX37" i="3"/>
  <c r="CX26" i="3"/>
  <c r="CX30" i="3"/>
  <c r="CX23" i="3"/>
  <c r="CX27" i="3"/>
  <c r="CX24" i="3"/>
  <c r="CX28" i="3"/>
  <c r="CX25" i="3"/>
  <c r="CX29" i="3"/>
  <c r="R29" i="1"/>
  <c r="CR26" i="1"/>
  <c r="Q26" i="1" s="1"/>
  <c r="AB26" i="1"/>
  <c r="G56" i="6" s="1"/>
  <c r="CZ25" i="1"/>
  <c r="Y25" i="1" s="1"/>
  <c r="CY25" i="1"/>
  <c r="X25" i="1" s="1"/>
  <c r="AB25" i="1"/>
  <c r="G46" i="6" s="1"/>
  <c r="CR24" i="1"/>
  <c r="Q24" i="1" s="1"/>
  <c r="AB24" i="1"/>
  <c r="G36" i="6" s="1"/>
  <c r="I27" i="1"/>
  <c r="H46" i="5" s="1"/>
  <c r="W46" i="5" s="1"/>
  <c r="CQ25" i="1"/>
  <c r="P25" i="1" s="1"/>
  <c r="CX13" i="3"/>
  <c r="CX9" i="3"/>
  <c r="CX5" i="3"/>
  <c r="CX1" i="3"/>
  <c r="CX12" i="3"/>
  <c r="CX8" i="3"/>
  <c r="CX4" i="3"/>
  <c r="CX15" i="3"/>
  <c r="CX11" i="3"/>
  <c r="CX7" i="3"/>
  <c r="CX3" i="3"/>
  <c r="CX14" i="3"/>
  <c r="CX10" i="3"/>
  <c r="R41" i="1" l="1"/>
  <c r="CR36" i="1"/>
  <c r="Q36" i="1" s="1"/>
  <c r="H57" i="5"/>
  <c r="W57" i="5" s="1"/>
  <c r="CZ26" i="1"/>
  <c r="Y26" i="1" s="1"/>
  <c r="CY37" i="1"/>
  <c r="X37" i="1" s="1"/>
  <c r="U31" i="1"/>
  <c r="Y80" i="6" s="1"/>
  <c r="R40" i="1"/>
  <c r="CZ40" i="1" s="1"/>
  <c r="Y40" i="1" s="1"/>
  <c r="G107" i="6"/>
  <c r="U68" i="5"/>
  <c r="V35" i="1"/>
  <c r="Z96" i="6" s="1"/>
  <c r="W35" i="1"/>
  <c r="U35" i="1"/>
  <c r="Y96" i="6" s="1"/>
  <c r="V41" i="1"/>
  <c r="Z124" i="6" s="1"/>
  <c r="H65" i="5"/>
  <c r="S102" i="5"/>
  <c r="H102" i="5"/>
  <c r="W102" i="5" s="1"/>
  <c r="H68" i="5"/>
  <c r="W68" i="5" s="1"/>
  <c r="V29" i="1"/>
  <c r="Z70" i="6" s="1"/>
  <c r="S68" i="5"/>
  <c r="H78" i="5"/>
  <c r="H66" i="5"/>
  <c r="H65" i="6"/>
  <c r="AA60" i="6"/>
  <c r="T48" i="5"/>
  <c r="AA108" i="6"/>
  <c r="T92" i="5"/>
  <c r="H77" i="6"/>
  <c r="AA72" i="6"/>
  <c r="T59" i="5"/>
  <c r="CY40" i="1"/>
  <c r="X40" i="1" s="1"/>
  <c r="V122" i="6"/>
  <c r="CP26" i="1"/>
  <c r="O26" i="1" s="1"/>
  <c r="W56" i="6"/>
  <c r="H72" i="6"/>
  <c r="GK35" i="1"/>
  <c r="X96" i="6"/>
  <c r="H105" i="6"/>
  <c r="AB98" i="6"/>
  <c r="V83" i="5"/>
  <c r="AB94" i="6"/>
  <c r="V80" i="5"/>
  <c r="V36" i="6"/>
  <c r="K29" i="5"/>
  <c r="GK33" i="1"/>
  <c r="X84" i="6"/>
  <c r="K75" i="5"/>
  <c r="CR33" i="1"/>
  <c r="Q33" i="1" s="1"/>
  <c r="CP33" i="1" s="1"/>
  <c r="O33" i="1" s="1"/>
  <c r="H74" i="5"/>
  <c r="GX27" i="1"/>
  <c r="F58" i="6"/>
  <c r="E46" i="5"/>
  <c r="H53" i="6"/>
  <c r="AB46" i="6"/>
  <c r="V36" i="5"/>
  <c r="AB56" i="6"/>
  <c r="V45" i="5"/>
  <c r="T27" i="1"/>
  <c r="W82" i="6"/>
  <c r="GK41" i="1"/>
  <c r="X124" i="6"/>
  <c r="CP24" i="1"/>
  <c r="O24" i="1" s="1"/>
  <c r="W36" i="6"/>
  <c r="K30" i="5"/>
  <c r="F124" i="6"/>
  <c r="E103" i="5"/>
  <c r="CY26" i="1"/>
  <c r="X26" i="1" s="1"/>
  <c r="U84" i="6"/>
  <c r="K76" i="5"/>
  <c r="P29" i="1"/>
  <c r="U70" i="6" s="1"/>
  <c r="F70" i="6"/>
  <c r="E57" i="5"/>
  <c r="W98" i="6"/>
  <c r="K86" i="5"/>
  <c r="H103" i="6"/>
  <c r="AA98" i="6"/>
  <c r="T83" i="5"/>
  <c r="CY34" i="1"/>
  <c r="X34" i="1" s="1"/>
  <c r="Q41" i="1"/>
  <c r="W124" i="6" s="1"/>
  <c r="W72" i="6"/>
  <c r="K62" i="5"/>
  <c r="CP36" i="1"/>
  <c r="O36" i="1" s="1"/>
  <c r="GM36" i="1" s="1"/>
  <c r="G45" i="6"/>
  <c r="CR25" i="1"/>
  <c r="Q25" i="1" s="1"/>
  <c r="H39" i="5"/>
  <c r="G79" i="6"/>
  <c r="V112" i="6"/>
  <c r="K97" i="5"/>
  <c r="U60" i="6"/>
  <c r="K53" i="5"/>
  <c r="F82" i="6"/>
  <c r="E69" i="5"/>
  <c r="GX32" i="1"/>
  <c r="AB33" i="1"/>
  <c r="U46" i="5"/>
  <c r="H43" i="5" s="1"/>
  <c r="U32" i="1"/>
  <c r="Y82" i="6" s="1"/>
  <c r="S103" i="5"/>
  <c r="H99" i="5" s="1"/>
  <c r="R31" i="1"/>
  <c r="L105" i="5"/>
  <c r="H43" i="6"/>
  <c r="AB36" i="6"/>
  <c r="V27" i="5"/>
  <c r="K33" i="5" s="1"/>
  <c r="T38" i="1"/>
  <c r="F110" i="6"/>
  <c r="E93" i="5"/>
  <c r="G35" i="5"/>
  <c r="O35" i="5" s="1"/>
  <c r="R29" i="5"/>
  <c r="W35" i="5"/>
  <c r="CZ28" i="1"/>
  <c r="Y28" i="1" s="1"/>
  <c r="V60" i="6"/>
  <c r="K50" i="5"/>
  <c r="U72" i="6"/>
  <c r="K64" i="5"/>
  <c r="H51" i="6"/>
  <c r="AA46" i="6"/>
  <c r="T36" i="5"/>
  <c r="CY24" i="1"/>
  <c r="X24" i="1" s="1"/>
  <c r="W27" i="1"/>
  <c r="Q27" i="1"/>
  <c r="W58" i="6" s="1"/>
  <c r="GK37" i="1"/>
  <c r="X108" i="6"/>
  <c r="GX38" i="1"/>
  <c r="CP35" i="1"/>
  <c r="O35" i="1" s="1"/>
  <c r="W108" i="6"/>
  <c r="CZ37" i="1"/>
  <c r="Y37" i="1" s="1"/>
  <c r="CZ33" i="1"/>
  <c r="Y33" i="1" s="1"/>
  <c r="R97" i="5"/>
  <c r="R32" i="1"/>
  <c r="H89" i="5"/>
  <c r="G94" i="5" s="1"/>
  <c r="O94" i="5" s="1"/>
  <c r="V98" i="6"/>
  <c r="K85" i="5"/>
  <c r="U93" i="5"/>
  <c r="H90" i="5" s="1"/>
  <c r="F122" i="6"/>
  <c r="E102" i="5"/>
  <c r="W40" i="1"/>
  <c r="GK26" i="1"/>
  <c r="X56" i="6"/>
  <c r="U57" i="5"/>
  <c r="H55" i="5" s="1"/>
  <c r="F80" i="6"/>
  <c r="E68" i="5"/>
  <c r="H69" i="5"/>
  <c r="W69" i="5" s="1"/>
  <c r="F108" i="6"/>
  <c r="E92" i="5"/>
  <c r="P37" i="1"/>
  <c r="U108" i="6" s="1"/>
  <c r="GX40" i="1"/>
  <c r="K88" i="5"/>
  <c r="U98" i="6"/>
  <c r="H92" i="5"/>
  <c r="W92" i="5" s="1"/>
  <c r="Q31" i="1"/>
  <c r="W80" i="6" s="1"/>
  <c r="U46" i="6"/>
  <c r="K41" i="5"/>
  <c r="R61" i="5"/>
  <c r="W70" i="5"/>
  <c r="GK24" i="1"/>
  <c r="X36" i="6"/>
  <c r="K31" i="5"/>
  <c r="X72" i="6"/>
  <c r="K63" i="5"/>
  <c r="GK29" i="1"/>
  <c r="X70" i="6"/>
  <c r="U80" i="6"/>
  <c r="CP34" i="1"/>
  <c r="O34" i="1" s="1"/>
  <c r="GM34" i="1" s="1"/>
  <c r="W94" i="6"/>
  <c r="CY33" i="1"/>
  <c r="X33" i="1" s="1"/>
  <c r="CZ30" i="1"/>
  <c r="Y30" i="1" s="1"/>
  <c r="H79" i="6" s="1"/>
  <c r="V72" i="6"/>
  <c r="K61" i="5"/>
  <c r="GK40" i="1"/>
  <c r="X122" i="6"/>
  <c r="G55" i="6"/>
  <c r="U112" i="6"/>
  <c r="K98" i="5"/>
  <c r="S46" i="5"/>
  <c r="H42" i="5" s="1"/>
  <c r="S57" i="5"/>
  <c r="H54" i="5" s="1"/>
  <c r="P32" i="1"/>
  <c r="U82" i="6" s="1"/>
  <c r="H93" i="5"/>
  <c r="W93" i="5" s="1"/>
  <c r="U103" i="5"/>
  <c r="H100" i="5" s="1"/>
  <c r="G104" i="5" s="1"/>
  <c r="O104" i="5" s="1"/>
  <c r="H51" i="5"/>
  <c r="G58" i="5" s="1"/>
  <c r="O58" i="5" s="1"/>
  <c r="CR28" i="1"/>
  <c r="Q28" i="1" s="1"/>
  <c r="T31" i="1"/>
  <c r="T37" i="1"/>
  <c r="T40" i="1"/>
  <c r="P40" i="1"/>
  <c r="U37" i="1"/>
  <c r="Y108" i="6" s="1"/>
  <c r="GM26" i="1"/>
  <c r="GN34" i="1"/>
  <c r="V27" i="1"/>
  <c r="Z58" i="6" s="1"/>
  <c r="Q29" i="1"/>
  <c r="AO18" i="1"/>
  <c r="F79" i="1"/>
  <c r="U27" i="1"/>
  <c r="Y58" i="6" s="1"/>
  <c r="P38" i="1"/>
  <c r="U110" i="6" s="1"/>
  <c r="GN36" i="1"/>
  <c r="AB39" i="1"/>
  <c r="CR39" i="1"/>
  <c r="Q39" i="1" s="1"/>
  <c r="CI22" i="1"/>
  <c r="AZ43" i="1"/>
  <c r="P27" i="1"/>
  <c r="S27" i="1"/>
  <c r="V58" i="6" s="1"/>
  <c r="AP22" i="1"/>
  <c r="AP75" i="1"/>
  <c r="F52" i="1"/>
  <c r="R38" i="1"/>
  <c r="U29" i="1"/>
  <c r="Y70" i="6" s="1"/>
  <c r="BB22" i="1"/>
  <c r="F56" i="1"/>
  <c r="BB75" i="1"/>
  <c r="U38" i="1"/>
  <c r="Y110" i="6" s="1"/>
  <c r="W29" i="1"/>
  <c r="GX41" i="1"/>
  <c r="S41" i="1"/>
  <c r="V124" i="6" s="1"/>
  <c r="S29" i="1"/>
  <c r="V70" i="6" s="1"/>
  <c r="R27" i="1"/>
  <c r="X58" i="6" s="1"/>
  <c r="AB29" i="1"/>
  <c r="G70" i="6" s="1"/>
  <c r="Q38" i="1"/>
  <c r="W110" i="6" s="1"/>
  <c r="AU22" i="1"/>
  <c r="F62" i="1"/>
  <c r="AU75" i="1"/>
  <c r="V38" i="1"/>
  <c r="Z110" i="6" s="1"/>
  <c r="AT22" i="1"/>
  <c r="AT75" i="1"/>
  <c r="F61" i="1"/>
  <c r="W38" i="1"/>
  <c r="U41" i="1"/>
  <c r="Y124" i="6" s="1"/>
  <c r="CZ35" i="1"/>
  <c r="Y35" i="1" s="1"/>
  <c r="S38" i="1"/>
  <c r="V110" i="6" s="1"/>
  <c r="BC22" i="1"/>
  <c r="F59" i="1"/>
  <c r="BC75" i="1"/>
  <c r="CG22" i="1"/>
  <c r="AX43" i="1"/>
  <c r="W41" i="1"/>
  <c r="T29" i="1"/>
  <c r="P41" i="1"/>
  <c r="U124" i="6" s="1"/>
  <c r="CY35" i="1"/>
  <c r="X35" i="1" s="1"/>
  <c r="GM35" i="1" s="1"/>
  <c r="GK39" i="1"/>
  <c r="CZ39" i="1"/>
  <c r="Y39" i="1" s="1"/>
  <c r="CY39" i="1"/>
  <c r="X39" i="1" s="1"/>
  <c r="AQ22" i="1"/>
  <c r="AQ75" i="1"/>
  <c r="F53" i="1"/>
  <c r="T41" i="1"/>
  <c r="AC43" i="1" l="1"/>
  <c r="CF43" i="1" s="1"/>
  <c r="AJ43" i="1"/>
  <c r="GM30" i="1"/>
  <c r="W58" i="5"/>
  <c r="T72" i="6"/>
  <c r="CJ43" i="1"/>
  <c r="GN30" i="1"/>
  <c r="W94" i="5"/>
  <c r="H93" i="6"/>
  <c r="T84" i="6"/>
  <c r="H84" i="6"/>
  <c r="GN33" i="1"/>
  <c r="GM33" i="1"/>
  <c r="W104" i="5"/>
  <c r="G112" i="6"/>
  <c r="G121" i="6"/>
  <c r="H41" i="6"/>
  <c r="AA36" i="6"/>
  <c r="T27" i="5"/>
  <c r="K32" i="5" s="1"/>
  <c r="H67" i="6"/>
  <c r="AB60" i="6"/>
  <c r="V48" i="5"/>
  <c r="W46" i="6"/>
  <c r="K39" i="5"/>
  <c r="AA56" i="6"/>
  <c r="T45" i="5"/>
  <c r="H117" i="6"/>
  <c r="AA112" i="6"/>
  <c r="T95" i="5"/>
  <c r="F16" i="2"/>
  <c r="F18" i="2" s="1"/>
  <c r="I18" i="5"/>
  <c r="G16" i="2"/>
  <c r="G18" i="2" s="1"/>
  <c r="I19" i="5"/>
  <c r="GM24" i="1"/>
  <c r="H119" i="6"/>
  <c r="AB112" i="6"/>
  <c r="V95" i="5"/>
  <c r="AB96" i="6"/>
  <c r="V81" i="5"/>
  <c r="CP39" i="1"/>
  <c r="O39" i="1" s="1"/>
  <c r="W112" i="6"/>
  <c r="CP25" i="1"/>
  <c r="O25" i="1" s="1"/>
  <c r="GN25" i="1" s="1"/>
  <c r="GN26" i="1"/>
  <c r="U122" i="6"/>
  <c r="CP40" i="1"/>
  <c r="O40" i="1" s="1"/>
  <c r="W60" i="6"/>
  <c r="K51" i="5"/>
  <c r="CP28" i="1"/>
  <c r="O28" i="1" s="1"/>
  <c r="H89" i="6"/>
  <c r="AA84" i="6"/>
  <c r="T71" i="5"/>
  <c r="CP31" i="1"/>
  <c r="O31" i="1" s="1"/>
  <c r="G70" i="5"/>
  <c r="O70" i="5" s="1"/>
  <c r="AB108" i="6"/>
  <c r="V92" i="5"/>
  <c r="GK31" i="1"/>
  <c r="X80" i="6"/>
  <c r="CY31" i="1"/>
  <c r="X31" i="1" s="1"/>
  <c r="CZ31" i="1"/>
  <c r="Y31" i="1" s="1"/>
  <c r="G47" i="5"/>
  <c r="O47" i="5" s="1"/>
  <c r="W47" i="5"/>
  <c r="H98" i="6"/>
  <c r="H107" i="6"/>
  <c r="T98" i="6"/>
  <c r="T80" i="5"/>
  <c r="AA94" i="6"/>
  <c r="T56" i="6"/>
  <c r="H56" i="6"/>
  <c r="K45" i="5"/>
  <c r="CP27" i="1"/>
  <c r="O27" i="1" s="1"/>
  <c r="U58" i="6"/>
  <c r="CP29" i="1"/>
  <c r="O29" i="1" s="1"/>
  <c r="W70" i="6"/>
  <c r="G84" i="6"/>
  <c r="G93" i="6"/>
  <c r="G82" i="5"/>
  <c r="O82" i="5" s="1"/>
  <c r="W82" i="5"/>
  <c r="GN35" i="1"/>
  <c r="AA96" i="6"/>
  <c r="T81" i="5"/>
  <c r="GK38" i="1"/>
  <c r="X110" i="6"/>
  <c r="GN24" i="1"/>
  <c r="T94" i="6"/>
  <c r="K80" i="5"/>
  <c r="H94" i="6"/>
  <c r="GK32" i="1"/>
  <c r="X82" i="6"/>
  <c r="CZ32" i="1"/>
  <c r="Y32" i="1" s="1"/>
  <c r="CP37" i="1"/>
  <c r="O37" i="1" s="1"/>
  <c r="CY32" i="1"/>
  <c r="X32" i="1" s="1"/>
  <c r="H36" i="6"/>
  <c r="H45" i="6"/>
  <c r="T36" i="6"/>
  <c r="W84" i="6"/>
  <c r="K74" i="5"/>
  <c r="AB122" i="6"/>
  <c r="V102" i="5"/>
  <c r="AG43" i="1"/>
  <c r="T43" i="1" s="1"/>
  <c r="H78" i="6"/>
  <c r="AB72" i="6"/>
  <c r="V59" i="5"/>
  <c r="H91" i="6"/>
  <c r="AB84" i="6"/>
  <c r="V71" i="5"/>
  <c r="T96" i="6"/>
  <c r="H96" i="6"/>
  <c r="K81" i="5"/>
  <c r="G22" i="5"/>
  <c r="CP32" i="1"/>
  <c r="O32" i="1" s="1"/>
  <c r="J35" i="5"/>
  <c r="P35" i="5" s="1"/>
  <c r="AA122" i="6"/>
  <c r="T102" i="5"/>
  <c r="AJ22" i="1"/>
  <c r="W43" i="1"/>
  <c r="AC22" i="1"/>
  <c r="P43" i="1"/>
  <c r="CE43" i="1"/>
  <c r="CH43" i="1"/>
  <c r="AX22" i="1"/>
  <c r="F50" i="1"/>
  <c r="AX75" i="1"/>
  <c r="CZ41" i="1"/>
  <c r="Y41" i="1" s="1"/>
  <c r="CY41" i="1"/>
  <c r="X41" i="1" s="1"/>
  <c r="BB18" i="1"/>
  <c r="F88" i="1"/>
  <c r="AI43" i="1"/>
  <c r="GM25" i="1"/>
  <c r="CJ22" i="1"/>
  <c r="BA43" i="1"/>
  <c r="CP41" i="1"/>
  <c r="O41" i="1" s="1"/>
  <c r="CZ38" i="1"/>
  <c r="Y38" i="1" s="1"/>
  <c r="CY38" i="1"/>
  <c r="X38" i="1" s="1"/>
  <c r="AU18" i="1"/>
  <c r="F94" i="1"/>
  <c r="CY27" i="1"/>
  <c r="X27" i="1" s="1"/>
  <c r="CZ27" i="1"/>
  <c r="Y27" i="1" s="1"/>
  <c r="AF43" i="1"/>
  <c r="AD43" i="1"/>
  <c r="BC18" i="1"/>
  <c r="F91" i="1"/>
  <c r="AT18" i="1"/>
  <c r="F93" i="1"/>
  <c r="GK27" i="1"/>
  <c r="AE43" i="1"/>
  <c r="AP18" i="1"/>
  <c r="F84" i="1"/>
  <c r="AZ22" i="1"/>
  <c r="F54" i="1"/>
  <c r="AZ75" i="1"/>
  <c r="GN39" i="1"/>
  <c r="GM39" i="1"/>
  <c r="CP38" i="1"/>
  <c r="O38" i="1" s="1"/>
  <c r="AQ18" i="1"/>
  <c r="F85" i="1"/>
  <c r="CY29" i="1"/>
  <c r="X29" i="1" s="1"/>
  <c r="CZ29" i="1"/>
  <c r="Y29" i="1" s="1"/>
  <c r="AH43" i="1"/>
  <c r="AG22" i="1" l="1"/>
  <c r="K78" i="5"/>
  <c r="G17" i="5"/>
  <c r="H110" i="6"/>
  <c r="K93" i="5"/>
  <c r="T110" i="6"/>
  <c r="AA110" i="6"/>
  <c r="T93" i="5"/>
  <c r="K89" i="5" s="1"/>
  <c r="AA82" i="6"/>
  <c r="T69" i="5"/>
  <c r="AA124" i="6"/>
  <c r="T103" i="5"/>
  <c r="K99" i="5" s="1"/>
  <c r="AB124" i="6"/>
  <c r="V103" i="5"/>
  <c r="K100" i="5" s="1"/>
  <c r="AB82" i="6"/>
  <c r="V69" i="5"/>
  <c r="AA80" i="6"/>
  <c r="T68" i="5"/>
  <c r="K65" i="5" s="1"/>
  <c r="H46" i="6"/>
  <c r="H55" i="6"/>
  <c r="T46" i="6"/>
  <c r="AB70" i="6"/>
  <c r="V57" i="5"/>
  <c r="AL43" i="1"/>
  <c r="AB58" i="6"/>
  <c r="V46" i="5"/>
  <c r="K43" i="5" s="1"/>
  <c r="H122" i="6"/>
  <c r="T122" i="6"/>
  <c r="K102" i="5"/>
  <c r="GN40" i="1"/>
  <c r="GM40" i="1"/>
  <c r="GM29" i="1"/>
  <c r="AA70" i="6"/>
  <c r="T57" i="5"/>
  <c r="K54" i="5" s="1"/>
  <c r="AA58" i="6"/>
  <c r="T46" i="5"/>
  <c r="K42" i="5" s="1"/>
  <c r="AB110" i="6"/>
  <c r="V93" i="5"/>
  <c r="K90" i="5" s="1"/>
  <c r="G16" i="5"/>
  <c r="G105" i="5"/>
  <c r="H80" i="6"/>
  <c r="T80" i="6"/>
  <c r="K68" i="5"/>
  <c r="GM31" i="1"/>
  <c r="GN31" i="1"/>
  <c r="H69" i="6"/>
  <c r="T60" i="6"/>
  <c r="H60" i="6"/>
  <c r="GN28" i="1"/>
  <c r="GM28" i="1"/>
  <c r="H121" i="6"/>
  <c r="T112" i="6"/>
  <c r="H112" i="6"/>
  <c r="K55" i="5"/>
  <c r="H70" i="6"/>
  <c r="T70" i="6"/>
  <c r="K57" i="5"/>
  <c r="T124" i="6"/>
  <c r="H124" i="6"/>
  <c r="K103" i="5"/>
  <c r="AB43" i="1"/>
  <c r="O43" i="1" s="1"/>
  <c r="T82" i="6"/>
  <c r="H82" i="6"/>
  <c r="K69" i="5"/>
  <c r="GM32" i="1"/>
  <c r="GN32" i="1"/>
  <c r="T108" i="6"/>
  <c r="H108" i="6"/>
  <c r="K92" i="5"/>
  <c r="GM37" i="1"/>
  <c r="GN37" i="1"/>
  <c r="H58" i="6"/>
  <c r="T58" i="6"/>
  <c r="H127" i="6" s="1"/>
  <c r="K46" i="5"/>
  <c r="AB80" i="6"/>
  <c r="V68" i="5"/>
  <c r="K66" i="5" s="1"/>
  <c r="K77" i="5"/>
  <c r="J82" i="5" s="1"/>
  <c r="P82" i="5" s="1"/>
  <c r="AF22" i="1"/>
  <c r="S43" i="1"/>
  <c r="AX18" i="1"/>
  <c r="F82" i="1"/>
  <c r="CE22" i="1"/>
  <c r="AV43" i="1"/>
  <c r="T22" i="1"/>
  <c r="F64" i="1"/>
  <c r="T75" i="1"/>
  <c r="GN29" i="1"/>
  <c r="AL22" i="1"/>
  <c r="Y43" i="1"/>
  <c r="BA22" i="1"/>
  <c r="BA75" i="1"/>
  <c r="F63" i="1"/>
  <c r="AI22" i="1"/>
  <c r="V43" i="1"/>
  <c r="CF22" i="1"/>
  <c r="AW43" i="1"/>
  <c r="W22" i="1"/>
  <c r="W75" i="1"/>
  <c r="F67" i="1"/>
  <c r="AH22" i="1"/>
  <c r="U43" i="1"/>
  <c r="AZ18" i="1"/>
  <c r="F86" i="1"/>
  <c r="AK43" i="1"/>
  <c r="GM27" i="1"/>
  <c r="P22" i="1"/>
  <c r="F46" i="1"/>
  <c r="P75" i="1"/>
  <c r="AB22" i="1"/>
  <c r="GM38" i="1"/>
  <c r="GN38" i="1"/>
  <c r="AE22" i="1"/>
  <c r="R43" i="1"/>
  <c r="AD22" i="1"/>
  <c r="Q43" i="1"/>
  <c r="GN41" i="1"/>
  <c r="GM41" i="1"/>
  <c r="GN27" i="1"/>
  <c r="CH22" i="1"/>
  <c r="AY43" i="1"/>
  <c r="CA43" i="1" l="1"/>
  <c r="J70" i="5"/>
  <c r="P70" i="5" s="1"/>
  <c r="J47" i="5"/>
  <c r="P47" i="5" s="1"/>
  <c r="J104" i="5"/>
  <c r="P104" i="5" s="1"/>
  <c r="H16" i="2"/>
  <c r="H18" i="2" s="1"/>
  <c r="I20" i="5"/>
  <c r="J58" i="5"/>
  <c r="P58" i="5" s="1"/>
  <c r="CB43" i="1"/>
  <c r="AS43" i="1" s="1"/>
  <c r="J94" i="5"/>
  <c r="P94" i="5" s="1"/>
  <c r="CA22" i="1"/>
  <c r="AR43" i="1"/>
  <c r="U22" i="1"/>
  <c r="F65" i="1"/>
  <c r="U75" i="1"/>
  <c r="Q22" i="1"/>
  <c r="Q75" i="1"/>
  <c r="F55" i="1"/>
  <c r="P18" i="1"/>
  <c r="F78" i="1"/>
  <c r="AK22" i="1"/>
  <c r="X43" i="1"/>
  <c r="AW22" i="1"/>
  <c r="AW75" i="1"/>
  <c r="F49" i="1"/>
  <c r="CB22" i="1"/>
  <c r="BA18" i="1"/>
  <c r="F95" i="1"/>
  <c r="AV22" i="1"/>
  <c r="AV75" i="1"/>
  <c r="F48" i="1"/>
  <c r="S22" i="1"/>
  <c r="F58" i="1"/>
  <c r="S75" i="1"/>
  <c r="R22" i="1"/>
  <c r="R75" i="1"/>
  <c r="F57" i="1"/>
  <c r="O22" i="1"/>
  <c r="O75" i="1"/>
  <c r="F45" i="1"/>
  <c r="W18" i="1"/>
  <c r="F99" i="1"/>
  <c r="V22" i="1"/>
  <c r="F66" i="1"/>
  <c r="V75" i="1"/>
  <c r="T18" i="1"/>
  <c r="F96" i="1"/>
  <c r="AY22" i="1"/>
  <c r="AY75" i="1"/>
  <c r="F51" i="1"/>
  <c r="Y22" i="1"/>
  <c r="F69" i="1"/>
  <c r="Y75" i="1"/>
  <c r="I21" i="5" l="1"/>
  <c r="G21" i="5" s="1"/>
  <c r="J105" i="5"/>
  <c r="J16" i="2"/>
  <c r="J18" i="2" s="1"/>
  <c r="I22" i="5"/>
  <c r="R18" i="1"/>
  <c r="F89" i="1"/>
  <c r="O18" i="1"/>
  <c r="F77" i="1"/>
  <c r="AW18" i="1"/>
  <c r="F81" i="1"/>
  <c r="AR22" i="1"/>
  <c r="F70" i="1"/>
  <c r="F71" i="1" s="1"/>
  <c r="AR75" i="1"/>
  <c r="S18" i="1"/>
  <c r="F90" i="1"/>
  <c r="AV18" i="1"/>
  <c r="F80" i="1"/>
  <c r="AS22" i="1"/>
  <c r="AS75" i="1"/>
  <c r="F60" i="1"/>
  <c r="U18" i="1"/>
  <c r="F97" i="1"/>
  <c r="Y18" i="1"/>
  <c r="F101" i="1"/>
  <c r="AY18" i="1"/>
  <c r="F83" i="1"/>
  <c r="V18" i="1"/>
  <c r="F98" i="1"/>
  <c r="X22" i="1"/>
  <c r="X75" i="1"/>
  <c r="F68" i="1"/>
  <c r="Q18" i="1"/>
  <c r="F87" i="1"/>
  <c r="E16" i="2" l="1"/>
  <c r="I17" i="5"/>
  <c r="G130" i="6"/>
  <c r="J106" i="5"/>
  <c r="AS18" i="1"/>
  <c r="F92" i="1"/>
  <c r="X18" i="1"/>
  <c r="F100" i="1"/>
  <c r="AR18" i="1"/>
  <c r="F102" i="1"/>
  <c r="E18" i="2"/>
  <c r="I16" i="2"/>
  <c r="I18" i="2" s="1"/>
  <c r="F72" i="1"/>
  <c r="F73" i="1" l="1"/>
  <c r="G131" i="6"/>
  <c r="J107" i="5"/>
  <c r="G132" i="6" l="1"/>
  <c r="J108" i="5"/>
  <c r="I16" i="5"/>
  <c r="F31" i="6"/>
</calcChain>
</file>

<file path=xl/sharedStrings.xml><?xml version="1.0" encoding="utf-8"?>
<sst xmlns="http://schemas.openxmlformats.org/spreadsheetml/2006/main" count="2066" uniqueCount="404">
  <si>
    <t>Smeta.RU  (495) 974-1589</t>
  </si>
  <si>
    <t>_PS_</t>
  </si>
  <si>
    <t>Smeta.RU</t>
  </si>
  <si>
    <t/>
  </si>
  <si>
    <t>Новый объект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</si>
  <si>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</si>
  <si>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</si>
  <si>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</si>
  <si>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</si>
  <si>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</si>
  <si>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</si>
  <si>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</si>
  <si>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</si>
  <si>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</si>
  <si>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</si>
  <si>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</si>
  <si>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</si>
  <si>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</si>
  <si>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</si>
  <si>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</si>
  <si>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</si>
  <si>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</si>
  <si>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</si>
  <si>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</si>
  <si>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</si>
  <si>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</si>
  <si>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</si>
  <si>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</si>
  <si>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</si>
  <si>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</si>
  <si>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</si>
  <si>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Средняя коммерческая цена</t>
  </si>
  <si>
    <t>Оконный блок из ПВХ 2500х2100мм</t>
  </si>
  <si>
    <t>м2</t>
  </si>
  <si>
    <t>[4 715 / 1,18 /  6,61]</t>
  </si>
  <si>
    <t>2,2</t>
  </si>
  <si>
    <t>11.3.02.03</t>
  </si>
  <si>
    <t>Блоки оконные пластиковые</t>
  </si>
  <si>
    <t>занесена вручную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</si>
  <si>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</si>
  <si>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</si>
  <si>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</si>
  <si>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</si>
  <si>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</si>
  <si>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</si>
  <si>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Подоконная доска из ПВХ шириной 600мм</t>
  </si>
  <si>
    <t>м</t>
  </si>
  <si>
    <t>[2 485,33 / 1,18 /  6,61]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</si>
  <si>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</si>
  <si>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</si>
  <si>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</si>
  <si>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</si>
  <si>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</si>
  <si>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</si>
  <si>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</si>
  <si>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</si>
  <si>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Отлив из оцинкованной стали с полимерным покрытием шириной 250мм</t>
  </si>
  <si>
    <t>[302,67 / 1,18 /  6,61]</t>
  </si>
  <si>
    <t>4,2</t>
  </si>
  <si>
    <t>08.3.05.05</t>
  </si>
  <si>
    <t>Сталь листовая оцинкованная</t>
  </si>
  <si>
    <t>т</t>
  </si>
  <si>
    <t>5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</si>
  <si>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</si>
  <si>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</si>
  <si>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</si>
  <si>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Отделочные работы</t>
  </si>
  <si>
    <t>ФЕР-15</t>
  </si>
  <si>
    <t>5,1</t>
  </si>
  <si>
    <t>14.3.01.02-0104</t>
  </si>
  <si>
    <t>Грунтовка колерующая CERESIT CT 16</t>
  </si>
  <si>
    <t>л</t>
  </si>
  <si>
    <t>ФССЦ-2001, 14.3.01.02-0104, приказ Минстроя России №1039/пр от 30.12.2016г.</t>
  </si>
  <si>
    <t>5,2</t>
  </si>
  <si>
    <t>14.4.01.21</t>
  </si>
  <si>
    <t>Грунтовка</t>
  </si>
  <si>
    <t>6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</si>
  <si>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</si>
  <si>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</t>
  </si>
  <si>
    <t>ФЕР-2001, 15-01-050-04, приказ Минстроя России №1039/пр от 30.12.2016г.</t>
  </si>
  <si>
    <t>6,1</t>
  </si>
  <si>
    <t>Сандвич панели толщиной 10мм</t>
  </si>
  <si>
    <t>[689 / 1,18 /  6,61]</t>
  </si>
  <si>
    <t>6,2</t>
  </si>
  <si>
    <t>01.6.01.11</t>
  </si>
  <si>
    <t>Листы облицовочные декоративные</t>
  </si>
  <si>
    <t>7</t>
  </si>
  <si>
    <t>10-01-036-01</t>
  </si>
  <si>
    <t>Установка уголков ПВХ на клее</t>
  </si>
  <si>
    <t>ФЕР-2001, 10-01-036-01, приказ Минстроя России №1039/пр от 30.12.2016г.</t>
  </si>
  <si>
    <t>7,1</t>
  </si>
  <si>
    <t>Защитный пластиковый уголок 40х40мм</t>
  </si>
  <si>
    <t>[60,33 / 1,18 /  6,61]</t>
  </si>
  <si>
    <t>7,2</t>
  </si>
  <si>
    <t>11.3.03.13</t>
  </si>
  <si>
    <t>Уголок ПВХ</t>
  </si>
  <si>
    <t>П.М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</si>
  <si>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</si>
  <si>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</si>
  <si>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</si>
  <si>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</si>
  <si>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</si>
  <si>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</si>
  <si>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</si>
  <si>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</si>
  <si>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</si>
  <si>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</si>
  <si>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</si>
  <si>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</si>
  <si>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</si>
  <si>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</si>
  <si>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</si>
  <si>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</si>
  <si>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</si>
  <si>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</si>
  <si>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</si>
  <si>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</si>
  <si>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</si>
  <si>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</si>
  <si>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</si>
  <si>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</si>
  <si>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</si>
  <si>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</si>
  <si>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</si>
  <si>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</si>
  <si>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</si>
  <si>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</si>
  <si>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</si>
  <si>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</si>
  <si>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</si>
  <si>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</si>
  <si>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</si>
  <si>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</si>
  <si>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</si>
  <si>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</si>
  <si>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</si>
  <si>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</si>
  <si>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</si>
  <si>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</si>
  <si>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</si>
  <si>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</si>
  <si>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</si>
  <si>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</si>
  <si>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</si>
  <si>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</si>
  <si>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</si>
  <si>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</si>
  <si>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</si>
  <si>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</si>
  <si>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</si>
  <si>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</si>
  <si>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</si>
  <si>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</si>
  <si>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</si>
  <si>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</si>
  <si>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</si>
  <si>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</si>
  <si>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</si>
  <si>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</si>
  <si>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</si>
  <si>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</si>
  <si>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</si>
  <si>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</si>
  <si>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</si>
  <si>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</si>
  <si>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</si>
  <si>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</si>
  <si>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</si>
  <si>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</si>
  <si>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</si>
  <si>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</si>
  <si>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</si>
  <si>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</si>
  <si>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</si>
  <si>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</si>
  <si>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</si>
  <si>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</si>
  <si>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</si>
  <si>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</si>
  <si>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</si>
  <si>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</si>
  <si>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</si>
  <si>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</si>
  <si>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</si>
  <si>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</si>
  <si>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</si>
  <si>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</si>
  <si>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</si>
  <si>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</si>
  <si>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</si>
  <si>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</si>
  <si>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</si>
  <si>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</si>
  <si>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</si>
  <si>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</si>
  <si>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</si>
  <si>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</si>
  <si>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</si>
  <si>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</si>
  <si>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</si>
  <si>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</si>
  <si>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</si>
  <si>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</si>
  <si>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</si>
  <si>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</si>
  <si>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</si>
  <si>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</si>
  <si>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</si>
  <si>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</si>
  <si>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</si>
  <si>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</si>
  <si>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</si>
  <si>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</si>
  <si>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</si>
  <si>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</si>
  <si>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</si>
  <si>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</si>
  <si>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</si>
  <si>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</si>
  <si>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</si>
  <si>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</si>
  <si>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</si>
  <si>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</si>
  <si>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</si>
  <si>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</si>
  <si>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</si>
  <si>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</si>
  <si>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</si>
  <si>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</si>
  <si>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</si>
  <si>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</si>
  <si>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</si>
  <si>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</si>
  <si>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</si>
  <si>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</si>
  <si>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</si>
  <si>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</si>
  <si>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</si>
  <si>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</si>
  <si>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</si>
  <si>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</si>
  <si>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</si>
  <si>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</si>
  <si>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</si>
  <si>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</si>
  <si>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</si>
  <si>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</si>
  <si>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</si>
  <si>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</si>
  <si>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</si>
  <si>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</si>
  <si>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</si>
  <si>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</si>
  <si>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</si>
  <si>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</si>
  <si>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</si>
  <si>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</si>
  <si>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</si>
  <si>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</si>
  <si>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</si>
  <si>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</si>
  <si>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</si>
  <si>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1-100-40</t>
  </si>
  <si>
    <t>Рабочий среднего разряда 4</t>
  </si>
  <si>
    <t>01.7.20.08-0051</t>
  </si>
  <si>
    <t>ФССЦ-2001, 01.7.20.08-0051, приказ Минстроя России №1039/пр от 30.12.2016г.</t>
  </si>
  <si>
    <t>Ветошь</t>
  </si>
  <si>
    <t>кг</t>
  </si>
  <si>
    <t>1-100-36</t>
  </si>
  <si>
    <t>Рабочий среднего разряда 3.6</t>
  </si>
  <si>
    <t>14.1.04.02-0011</t>
  </si>
  <si>
    <t>ФССЦ-2001, 14.1.04.02-0011, приказ Минстроя России №1039/пр от 30.12.2016г.</t>
  </si>
  <si>
    <t>Клей резиновый № 88-Н</t>
  </si>
  <si>
    <t>11.3.03.01</t>
  </si>
  <si>
    <t>Доски подоконные ПВХ</t>
  </si>
  <si>
    <t>01.7.07.07</t>
  </si>
  <si>
    <t>Строительный мусор</t>
  </si>
  <si>
    <t>14.1.06.05</t>
  </si>
  <si>
    <t>Клей</t>
  </si>
  <si>
    <t>на капитальный ремонт оконных проёмов с заменой деревянных оконных блоков на оконные блоки в помещениях №1,№2,№22,№24,№25,№26  1 этажа,№10,№11,№13,№14,№15 2 этажа,№3,№4,№5,№6,№7 3 этажа,4 этажа№3,№4,№5,№6,№7 4 этажа в здании учебного корпуса Уральского технологического колледжа -филиала НИЯУ МИФИ (УрТК НИЯУ МИФИ) по адресу: 624250,Свердловская обл.,г.Заречный,ул.Ленина,д.27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</si>
  <si>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</si>
  <si>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"СОГЛАСОВАНО"</t>
  </si>
  <si>
    <t>"УТВЕРЖДАЮ"</t>
  </si>
  <si>
    <t>"_____"________________ 2018 г.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</si>
  <si>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</si>
  <si>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</si>
  <si>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</si>
  <si>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</si>
  <si>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</si>
  <si>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</si>
  <si>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</si>
  <si>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</si>
  <si>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</si>
  <si>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</si>
  <si>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</si>
  <si>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</si>
  <si>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</si>
  <si>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</si>
  <si>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</si>
  <si>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</si>
  <si>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</si>
  <si>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</si>
  <si>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</si>
  <si>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</si>
  <si>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</si>
  <si>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</si>
  <si>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</si>
  <si>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</si>
  <si>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</si>
  <si>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</si>
  <si>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</si>
  <si>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</si>
  <si>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</si>
  <si>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</si>
  <si>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</si>
  <si>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</si>
  <si>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Оконный блок из ПВХ 2500х2100мм</t>
    </r>
    <r>
      <rPr>
        <i/>
        <sz val="10"/>
        <rFont val="Arial"/>
        <family val="2"/>
        <charset val="204"/>
      </rPr>
      <t xml:space="preserve">
Базисная стоимость: 604,50 = [4 715 / 1,18 /  6,61]</t>
    </r>
  </si>
  <si>
    <r>
      <t>Подоконная доска из ПВХ шириной 600мм</t>
    </r>
    <r>
      <rPr>
        <i/>
        <sz val="10"/>
        <rFont val="Arial"/>
        <family val="2"/>
        <charset val="204"/>
      </rPr>
      <t xml:space="preserve">
Базисная стоимость: 318,64 = [2 485,33 / 1,18 /  6,61]</t>
    </r>
  </si>
  <si>
    <r>
      <t>Отлив из оцинкованной стали с полимерным покрытием шириной 250мм</t>
    </r>
    <r>
      <rPr>
        <i/>
        <sz val="10"/>
        <rFont val="Arial"/>
        <family val="2"/>
        <charset val="204"/>
      </rPr>
      <t xml:space="preserve">
Базисная стоимость: 38,80 = [302,67 / 1,18 /  6,61]</t>
    </r>
  </si>
  <si>
    <r>
      <t>Сандвич панели толщиной 10мм</t>
    </r>
    <r>
      <rPr>
        <i/>
        <sz val="10"/>
        <rFont val="Arial"/>
        <family val="2"/>
        <charset val="204"/>
      </rPr>
      <t xml:space="preserve">
Базисная стоимость: 88,34 = [689 / 1,18 /  6,61]</t>
    </r>
  </si>
  <si>
    <r>
      <t>Защитный пластиковый уголок 40х40мм</t>
    </r>
    <r>
      <rPr>
        <i/>
        <sz val="10"/>
        <rFont val="Arial"/>
        <family val="2"/>
        <charset val="204"/>
      </rPr>
      <t xml:space="preserve">
Базисная стоимость: 7,73 = [60,33 / 1,18 /  6,61]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</si>
  <si>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</si>
  <si>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</si>
  <si>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</si>
  <si>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</si>
  <si>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</si>
  <si>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</si>
  <si>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</si>
  <si>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</si>
  <si>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</si>
  <si>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</si>
  <si>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</si>
  <si>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</si>
  <si>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</si>
  <si>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</si>
  <si>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</si>
  <si>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</si>
  <si>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</si>
  <si>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</si>
  <si>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</si>
  <si>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</si>
  <si>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</si>
  <si>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</si>
  <si>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</si>
  <si>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</si>
  <si>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</si>
  <si>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</si>
  <si>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</si>
  <si>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</si>
  <si>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</si>
  <si>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</si>
  <si>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</si>
  <si>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</si>
  <si>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</si>
  <si>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</si>
  <si>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</si>
  <si>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</si>
  <si>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</si>
  <si>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</si>
  <si>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</si>
  <si>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</si>
  <si>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</si>
  <si>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</si>
  <si>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</si>
  <si>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</si>
  <si>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</si>
  <si>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</si>
  <si>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</si>
  <si>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</si>
  <si>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</si>
  <si>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</si>
  <si>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</si>
  <si>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</si>
  <si>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</si>
  <si>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</si>
  <si>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</si>
  <si>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</si>
  <si>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</si>
  <si>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</si>
  <si>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</si>
  <si>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</si>
  <si>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</si>
  <si>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</si>
  <si>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</si>
  <si>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</si>
  <si>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</si>
  <si>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</si>
  <si>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</si>
  <si>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</si>
  <si>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</si>
  <si>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</si>
  <si>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</si>
  <si>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</si>
  <si>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</si>
  <si>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</si>
  <si>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</si>
  <si>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</si>
  <si>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</si>
  <si>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</si>
  <si>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</si>
  <si>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 xml:space="preserve"> СМЕТА</t>
  </si>
  <si>
    <t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t>
  </si>
  <si>
    <t>Директор УрТК НИЯУ МИФИ                              / О.Н. Арефьев</t>
  </si>
  <si>
    <t xml:space="preserve">Главный бухгалтер УрТК НИЯУ МИФИ                              Д.В. Тарасов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</si>
</sst>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0" xfId="0" applyFont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  <xf numFmtId="0" fontId="10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5"/>
  <sheetViews>
    <sheetView tabSelected="1" topLeftCell="A107" zoomScaleNormal="100" workbookViewId="0">
      <selection activeCell="F123" sqref="F123"/>
    </sheetView>
  </sheetViews>
  <sheetFormatPr defaultRowHeight="12.75" x14ac:dyDescent="0.2"/>
  <cols>
    <col min="1" max="1" width="5.7109375" customWidth="1"/>
    <col min="2" max="2" width="22.7109375" customWidth="1"/>
    <col min="3" max="3" width="39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6.5" x14ac:dyDescent="0.25">
      <c r="A3" s="13"/>
      <c r="B3" s="86" t="s">
        <v>281</v>
      </c>
      <c r="C3" s="86"/>
      <c r="D3" s="86"/>
      <c r="E3" s="86"/>
      <c r="F3" s="12"/>
      <c r="G3" s="12"/>
      <c r="H3" s="86" t="s">
        <v>282</v>
      </c>
      <c r="I3" s="86"/>
      <c r="J3" s="86"/>
      <c r="K3" s="86"/>
      <c r="L3" s="86"/>
    </row>
    <row r="4" spans="1:30" ht="14.25" x14ac:dyDescent="0.2">
      <c r="A4" s="12"/>
      <c r="B4" s="72"/>
      <c r="C4" s="72"/>
      <c r="D4" s="72"/>
      <c r="E4" s="72"/>
      <c r="F4" s="12"/>
      <c r="G4" s="12"/>
      <c r="H4" s="72"/>
      <c r="I4" s="72"/>
      <c r="J4" s="72"/>
      <c r="K4" s="72"/>
      <c r="L4" s="72"/>
    </row>
    <row r="5" spans="1:30" ht="14.25" x14ac:dyDescent="0.2">
      <c r="A5" s="14"/>
      <c r="B5" s="14"/>
      <c r="C5" s="15"/>
      <c r="D5" s="15"/>
      <c r="E5" s="15"/>
      <c r="F5" s="12"/>
      <c r="G5" s="12"/>
      <c r="H5" s="16"/>
      <c r="I5" s="15"/>
      <c r="J5" s="15"/>
      <c r="K5" s="15"/>
      <c r="L5" s="16"/>
    </row>
    <row r="6" spans="1:30" ht="14.25" x14ac:dyDescent="0.2">
      <c r="A6" s="16"/>
      <c r="B6" s="72" t="s">
        <v>402</v>
      </c>
      <c r="C6" s="72"/>
      <c r="D6" s="72"/>
      <c r="E6" s="72"/>
      <c r="F6" s="12"/>
      <c r="G6" s="12"/>
      <c r="H6" s="72" t="str">
        <f>CONCATENATE("______________________ ", IF(Source!AH12&lt;&gt;"", Source!AH12, ""))</f>
        <v xml:space="preserve">______________________ </v>
      </c>
      <c r="I6" s="72"/>
      <c r="J6" s="72"/>
      <c r="K6" s="72"/>
      <c r="L6" s="72"/>
    </row>
    <row r="7" spans="1:30" ht="14.25" x14ac:dyDescent="0.2">
      <c r="A7" s="17"/>
      <c r="B7" s="85" t="s">
        <v>283</v>
      </c>
      <c r="C7" s="85"/>
      <c r="D7" s="85"/>
      <c r="E7" s="85"/>
      <c r="F7" s="12"/>
      <c r="G7" s="12"/>
      <c r="H7" s="85" t="s">
        <v>283</v>
      </c>
      <c r="I7" s="85"/>
      <c r="J7" s="85"/>
      <c r="K7" s="85"/>
      <c r="L7" s="85"/>
    </row>
    <row r="10" spans="1:30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30" ht="15.75" x14ac:dyDescent="0.25">
      <c r="A11" s="18"/>
      <c r="B11" s="82" t="s">
        <v>400</v>
      </c>
      <c r="C11" s="82"/>
      <c r="D11" s="82"/>
      <c r="E11" s="82"/>
      <c r="F11" s="82"/>
      <c r="G11" s="82"/>
      <c r="H11" s="82"/>
      <c r="I11" s="82"/>
      <c r="J11" s="82"/>
      <c r="K11" s="82"/>
      <c r="L11" s="18"/>
    </row>
    <row r="12" spans="1:30" ht="18" hidden="1" x14ac:dyDescent="0.25">
      <c r="A12" s="18"/>
      <c r="B12" s="83" t="str">
        <f>IF(Source!G20&lt;&gt;"Новая локальная смета", Source!G20, "")</f>
        <v/>
      </c>
      <c r="C12" s="83"/>
      <c r="D12" s="83"/>
      <c r="E12" s="83"/>
      <c r="F12" s="83"/>
      <c r="G12" s="83"/>
      <c r="H12" s="83"/>
      <c r="I12" s="83"/>
      <c r="J12" s="83"/>
      <c r="K12" s="83"/>
      <c r="L12" s="18"/>
    </row>
    <row r="13" spans="1:30" ht="14.25" hidden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90" x14ac:dyDescent="0.25">
      <c r="A14" s="12"/>
      <c r="B14" s="83" t="str">
        <f>IF(Source!G12&lt;&gt;"Новый объект", Source!G12, "")</f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  <c r="C14" s="83"/>
      <c r="D14" s="83"/>
      <c r="E14" s="83"/>
      <c r="F14" s="83"/>
      <c r="G14" s="83"/>
      <c r="H14" s="83"/>
      <c r="I14" s="83"/>
      <c r="J14" s="83"/>
      <c r="K14" s="83"/>
      <c r="L14" s="19"/>
      <c r="AD14" s="53" t="str">
        <f>IF(Source!G12&lt;&gt;"Новый объект", Source!G12, "")</f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</row>
    <row r="15" spans="1:30" ht="14.25" x14ac:dyDescent="0.2">
      <c r="A15" s="12"/>
      <c r="B15" s="12"/>
      <c r="C15" s="12"/>
      <c r="D15" s="12"/>
      <c r="E15" s="20"/>
      <c r="F15" s="20"/>
      <c r="G15" s="84" t="s">
        <v>284</v>
      </c>
      <c r="H15" s="84"/>
      <c r="I15" s="84" t="s">
        <v>285</v>
      </c>
      <c r="J15" s="84"/>
      <c r="K15" s="12"/>
      <c r="L15" s="12"/>
    </row>
    <row r="16" spans="1:30" ht="15" x14ac:dyDescent="0.25">
      <c r="A16" s="12"/>
      <c r="B16" s="12"/>
      <c r="C16" s="76" t="s">
        <v>286</v>
      </c>
      <c r="D16" s="76"/>
      <c r="E16" s="76"/>
      <c r="F16" s="76"/>
      <c r="G16" s="77">
        <f>SUM(O27:O105)/1000</f>
        <v>268.58411000000007</v>
      </c>
      <c r="H16" s="77"/>
      <c r="I16" s="77">
        <f>(Source!F73/1000)</f>
        <v>2095.3224</v>
      </c>
      <c r="J16" s="77"/>
      <c r="K16" s="78" t="s">
        <v>287</v>
      </c>
      <c r="L16" s="78"/>
    </row>
    <row r="17" spans="1:22" ht="14.25" x14ac:dyDescent="0.2">
      <c r="A17" s="12"/>
      <c r="B17" s="12"/>
      <c r="C17" s="81" t="s">
        <v>288</v>
      </c>
      <c r="D17" s="81"/>
      <c r="E17" s="81"/>
      <c r="F17" s="81"/>
      <c r="G17" s="77">
        <f>SUM(W27:W105)/1000</f>
        <v>268.58410999999995</v>
      </c>
      <c r="H17" s="77"/>
      <c r="I17" s="77">
        <f>(Source!F60)/1000</f>
        <v>1775.69695</v>
      </c>
      <c r="J17" s="77"/>
      <c r="K17" s="78" t="s">
        <v>287</v>
      </c>
      <c r="L17" s="78"/>
    </row>
    <row r="18" spans="1:22" ht="14.25" x14ac:dyDescent="0.2">
      <c r="A18" s="12"/>
      <c r="B18" s="12"/>
      <c r="C18" s="81" t="s">
        <v>289</v>
      </c>
      <c r="D18" s="81"/>
      <c r="E18" s="81"/>
      <c r="F18" s="81"/>
      <c r="G18" s="77">
        <f>SUM(X27:X105)/1000</f>
        <v>0</v>
      </c>
      <c r="H18" s="77"/>
      <c r="I18" s="77">
        <f>(Source!F61)/1000</f>
        <v>0</v>
      </c>
      <c r="J18" s="77"/>
      <c r="K18" s="78" t="s">
        <v>287</v>
      </c>
      <c r="L18" s="78"/>
    </row>
    <row r="19" spans="1:22" ht="14.25" x14ac:dyDescent="0.2">
      <c r="A19" s="12"/>
      <c r="B19" s="12"/>
      <c r="C19" s="81" t="s">
        <v>290</v>
      </c>
      <c r="D19" s="81"/>
      <c r="E19" s="81"/>
      <c r="F19" s="81"/>
      <c r="G19" s="77">
        <f>SUM(Y27:Y105)/1000</f>
        <v>0</v>
      </c>
      <c r="H19" s="77"/>
      <c r="I19" s="77">
        <f>(Source!F52)/1000</f>
        <v>0</v>
      </c>
      <c r="J19" s="77"/>
      <c r="K19" s="78" t="s">
        <v>287</v>
      </c>
      <c r="L19" s="78"/>
    </row>
    <row r="20" spans="1:22" ht="14.25" x14ac:dyDescent="0.2">
      <c r="A20" s="12"/>
      <c r="B20" s="12"/>
      <c r="C20" s="81" t="s">
        <v>291</v>
      </c>
      <c r="D20" s="81"/>
      <c r="E20" s="81"/>
      <c r="F20" s="81"/>
      <c r="G20" s="77">
        <f>SUM(Z27:Z105)/1000</f>
        <v>0</v>
      </c>
      <c r="H20" s="77"/>
      <c r="I20" s="77">
        <f>(Source!F62+Source!F63)/1000</f>
        <v>0</v>
      </c>
      <c r="J20" s="77"/>
      <c r="K20" s="78" t="s">
        <v>287</v>
      </c>
      <c r="L20" s="78"/>
    </row>
    <row r="21" spans="1:22" ht="15" x14ac:dyDescent="0.25">
      <c r="A21" s="12"/>
      <c r="B21" s="12"/>
      <c r="C21" s="76" t="s">
        <v>292</v>
      </c>
      <c r="D21" s="76"/>
      <c r="E21" s="76"/>
      <c r="F21" s="76"/>
      <c r="G21" s="77">
        <f>I21</f>
        <v>1355.2957482499999</v>
      </c>
      <c r="H21" s="77"/>
      <c r="I21" s="77">
        <f>(Source!F65+Source!F66)</f>
        <v>1355.2957482499999</v>
      </c>
      <c r="J21" s="77"/>
      <c r="K21" s="78" t="s">
        <v>293</v>
      </c>
      <c r="L21" s="78"/>
    </row>
    <row r="22" spans="1:22" ht="15" x14ac:dyDescent="0.25">
      <c r="A22" s="12"/>
      <c r="B22" s="12"/>
      <c r="C22" s="76" t="s">
        <v>294</v>
      </c>
      <c r="D22" s="76"/>
      <c r="E22" s="76"/>
      <c r="F22" s="76"/>
      <c r="G22" s="77">
        <f>SUM(R27:R105)/1000</f>
        <v>11.818340000000003</v>
      </c>
      <c r="H22" s="77"/>
      <c r="I22" s="77">
        <f>(Source!F58+ Source!F57)/1000</f>
        <v>78.119199999999992</v>
      </c>
      <c r="J22" s="77"/>
      <c r="K22" s="78" t="s">
        <v>287</v>
      </c>
      <c r="L22" s="78"/>
    </row>
    <row r="23" spans="1:2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2" ht="14.25" x14ac:dyDescent="0.2">
      <c r="A24" s="79" t="s">
        <v>307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</row>
    <row r="25" spans="1:22" ht="57" x14ac:dyDescent="0.2">
      <c r="A25" s="21" t="s">
        <v>295</v>
      </c>
      <c r="B25" s="21" t="s">
        <v>296</v>
      </c>
      <c r="C25" s="21" t="s">
        <v>297</v>
      </c>
      <c r="D25" s="21" t="s">
        <v>298</v>
      </c>
      <c r="E25" s="21" t="s">
        <v>299</v>
      </c>
      <c r="F25" s="21" t="s">
        <v>300</v>
      </c>
      <c r="G25" s="21" t="s">
        <v>301</v>
      </c>
      <c r="H25" s="21" t="s">
        <v>302</v>
      </c>
      <c r="I25" s="21" t="s">
        <v>303</v>
      </c>
      <c r="J25" s="21" t="s">
        <v>304</v>
      </c>
      <c r="K25" s="21" t="s">
        <v>305</v>
      </c>
      <c r="L25" s="21" t="s">
        <v>306</v>
      </c>
    </row>
    <row r="26" spans="1:22" ht="14.25" x14ac:dyDescent="0.2">
      <c r="A26" s="22">
        <v>1</v>
      </c>
      <c r="B26" s="22">
        <v>2</v>
      </c>
      <c r="C26" s="22">
        <v>3</v>
      </c>
      <c r="D26" s="22">
        <v>4</v>
      </c>
      <c r="E26" s="22">
        <v>5</v>
      </c>
      <c r="F26" s="22">
        <v>6</v>
      </c>
      <c r="G26" s="22">
        <v>7</v>
      </c>
      <c r="H26" s="22">
        <v>8</v>
      </c>
      <c r="I26" s="22">
        <v>9</v>
      </c>
      <c r="J26" s="22">
        <v>10</v>
      </c>
      <c r="K26" s="22">
        <v>11</v>
      </c>
      <c r="L26" s="23">
        <v>12</v>
      </c>
    </row>
    <row r="27" spans="1:22" ht="42.75" x14ac:dyDescent="0.2">
      <c r="A27" s="48" t="str">
        <f>Source!E24</f>
        <v>1</v>
      </c>
      <c r="B27" s="49" t="str">
        <f>Source!F24</f>
        <v>46-04-012-01</v>
      </c>
      <c r="C27" s="49" t="str">
        <f>Source!G24</f>
        <v>Разборка деревянных заполнений проемов оконных с подоконными досками</v>
      </c>
      <c r="D27" s="32" t="str">
        <f>Source!H24</f>
        <v>100 м2</v>
      </c>
      <c r="E27" s="11">
        <f>Source!I24</f>
        <v>2.4674999999999998</v>
      </c>
      <c r="F27" s="33">
        <f>Source!AL24+Source!AM24+Source!AO24</f>
        <v>1767.24</v>
      </c>
      <c r="G27" s="34"/>
      <c r="H27" s="33"/>
      <c r="I27" s="34" t="str">
        <f>Source!BO24</f>
        <v/>
      </c>
      <c r="J27" s="34"/>
      <c r="K27" s="33"/>
      <c r="L27" s="35"/>
      <c r="S27">
        <f>ROUND((Source!FX24/100)*((ROUND(Source!AF24*Source!I24, 2)+ROUND(Source!AE24*Source!I24, 2))), 2)</f>
        <v>3981.27</v>
      </c>
      <c r="T27">
        <f>Source!X24</f>
        <v>26316.18</v>
      </c>
      <c r="U27">
        <f>ROUND((Source!FY24/100)*((ROUND(Source!AF24*Source!I24, 2)+ROUND(Source!AE24*Source!I24, 2))), 2)</f>
        <v>2392.7800000000002</v>
      </c>
      <c r="V27">
        <f>Source!Y24</f>
        <v>15949.2</v>
      </c>
    </row>
    <row r="28" spans="1:22" x14ac:dyDescent="0.2">
      <c r="C28" s="25" t="str">
        <f>"Объем: "&amp;Source!I24&amp;"=246,75/"&amp;"100"</f>
        <v>Объем: 2,4675=246,75/100</v>
      </c>
    </row>
    <row r="29" spans="1:22" ht="14.25" x14ac:dyDescent="0.2">
      <c r="A29" s="48"/>
      <c r="B29" s="49"/>
      <c r="C29" s="49" t="s">
        <v>308</v>
      </c>
      <c r="D29" s="32"/>
      <c r="E29" s="11"/>
      <c r="F29" s="33">
        <f>Source!AO24</f>
        <v>1525.29</v>
      </c>
      <c r="G29" s="34" t="str">
        <f>Source!DG24</f>
        <v/>
      </c>
      <c r="H29" s="33">
        <f>ROUND(Source!AF24*Source!I24, 2)</f>
        <v>3763.65</v>
      </c>
      <c r="I29" s="34"/>
      <c r="J29" s="34">
        <f>IF(Source!BA24&lt;&gt; 0, Source!BA24, 1)</f>
        <v>6.61</v>
      </c>
      <c r="K29" s="33">
        <f>Source!S24</f>
        <v>24877.75</v>
      </c>
      <c r="L29" s="35"/>
      <c r="R29">
        <f>H29</f>
        <v>3763.65</v>
      </c>
    </row>
    <row r="30" spans="1:22" ht="14.25" x14ac:dyDescent="0.2">
      <c r="A30" s="48"/>
      <c r="B30" s="49"/>
      <c r="C30" s="49" t="s">
        <v>118</v>
      </c>
      <c r="D30" s="32"/>
      <c r="E30" s="11"/>
      <c r="F30" s="33">
        <f>Source!AM24</f>
        <v>241.95</v>
      </c>
      <c r="G30" s="34" t="str">
        <f>Source!DE24</f>
        <v/>
      </c>
      <c r="H30" s="33">
        <f>ROUND(Source!AD24*Source!I24, 2)</f>
        <v>597.01</v>
      </c>
      <c r="I30" s="34"/>
      <c r="J30" s="34">
        <f>IF(Source!BB24&lt;&gt; 0, Source!BB24, 1)</f>
        <v>6.61</v>
      </c>
      <c r="K30" s="33">
        <f>Source!Q24</f>
        <v>3946.25</v>
      </c>
      <c r="L30" s="35"/>
    </row>
    <row r="31" spans="1:22" ht="14.25" x14ac:dyDescent="0.2">
      <c r="A31" s="48"/>
      <c r="B31" s="49"/>
      <c r="C31" s="49" t="s">
        <v>309</v>
      </c>
      <c r="D31" s="32"/>
      <c r="E31" s="11"/>
      <c r="F31" s="33">
        <f>Source!AN24</f>
        <v>104.49</v>
      </c>
      <c r="G31" s="34" t="str">
        <f>Source!DF24</f>
        <v/>
      </c>
      <c r="H31" s="36">
        <f>ROUND(Source!AE24*Source!I24, 2)</f>
        <v>257.83</v>
      </c>
      <c r="I31" s="34"/>
      <c r="J31" s="34">
        <f>IF(Source!BS24&lt;&gt; 0, Source!BS24, 1)</f>
        <v>6.61</v>
      </c>
      <c r="K31" s="36">
        <f>Source!R24</f>
        <v>1704.25</v>
      </c>
      <c r="L31" s="35"/>
      <c r="R31">
        <f>H31</f>
        <v>257.83</v>
      </c>
    </row>
    <row r="32" spans="1:22" ht="14.25" x14ac:dyDescent="0.2">
      <c r="A32" s="48"/>
      <c r="B32" s="49"/>
      <c r="C32" s="49" t="s">
        <v>310</v>
      </c>
      <c r="D32" s="32" t="s">
        <v>311</v>
      </c>
      <c r="E32" s="11">
        <f>Source!BZ24</f>
        <v>110</v>
      </c>
      <c r="F32" s="72" t="str">
        <f>CONCATENATE(" )", Source!DL24, Source!FT24, "=", Source!FX24)</f>
        <v xml:space="preserve"> )*0,9=99</v>
      </c>
      <c r="G32" s="73"/>
      <c r="H32" s="33">
        <f>SUM(S27:S34)</f>
        <v>3981.27</v>
      </c>
      <c r="I32" s="37"/>
      <c r="J32" s="30">
        <f>Source!AT24</f>
        <v>99</v>
      </c>
      <c r="K32" s="33">
        <f>SUM(T27:T34)</f>
        <v>26316.18</v>
      </c>
      <c r="L32" s="35"/>
    </row>
    <row r="33" spans="1:26" ht="14.25" x14ac:dyDescent="0.2">
      <c r="A33" s="48"/>
      <c r="B33" s="49"/>
      <c r="C33" s="49" t="s">
        <v>312</v>
      </c>
      <c r="D33" s="32" t="s">
        <v>311</v>
      </c>
      <c r="E33" s="11">
        <f>Source!CA24</f>
        <v>70</v>
      </c>
      <c r="F33" s="72" t="str">
        <f>CONCATENATE(" )", Source!DM24, Source!FU24, "=", Source!FY24)</f>
        <v xml:space="preserve"> )*0,85=59,5</v>
      </c>
      <c r="G33" s="73"/>
      <c r="H33" s="33">
        <f>SUM(U27:U34)</f>
        <v>2392.7800000000002</v>
      </c>
      <c r="I33" s="37"/>
      <c r="J33" s="30">
        <f>Source!AU24</f>
        <v>60</v>
      </c>
      <c r="K33" s="33">
        <f>SUM(V27:V34)</f>
        <v>15949.2</v>
      </c>
      <c r="L33" s="35"/>
    </row>
    <row r="34" spans="1:26" ht="14.25" x14ac:dyDescent="0.2">
      <c r="A34" s="50"/>
      <c r="B34" s="51"/>
      <c r="C34" s="51" t="s">
        <v>313</v>
      </c>
      <c r="D34" s="38" t="s">
        <v>314</v>
      </c>
      <c r="E34" s="39">
        <f>Source!AQ24</f>
        <v>188.54</v>
      </c>
      <c r="F34" s="40"/>
      <c r="G34" s="41" t="str">
        <f>Source!DI24</f>
        <v/>
      </c>
      <c r="H34" s="40"/>
      <c r="I34" s="41"/>
      <c r="J34" s="41"/>
      <c r="K34" s="40"/>
      <c r="L34" s="42">
        <f>Source!U24</f>
        <v>465.22244999999992</v>
      </c>
    </row>
    <row r="35" spans="1:26" ht="15" x14ac:dyDescent="0.25">
      <c r="G35" s="71">
        <f>H29+H30+H32+H33</f>
        <v>10734.710000000001</v>
      </c>
      <c r="H35" s="71"/>
      <c r="J35" s="71">
        <f>K29+K30+K32+K33</f>
        <v>71089.38</v>
      </c>
      <c r="K35" s="71"/>
      <c r="L35" s="43">
        <f>Source!U24</f>
        <v>465.22244999999992</v>
      </c>
      <c r="O35" s="26">
        <f>G35</f>
        <v>10734.710000000001</v>
      </c>
      <c r="P35" s="26">
        <f>J35</f>
        <v>71089.38</v>
      </c>
      <c r="Q35" s="26">
        <f>L35</f>
        <v>465.22244999999992</v>
      </c>
      <c r="W35">
        <f>IF(Source!BI24&lt;=1,H29+H30+H32+H33, 0)</f>
        <v>10734.710000000001</v>
      </c>
      <c r="X35">
        <f>IF(Source!BI24=2,H29+H30+H32+H33, 0)</f>
        <v>0</v>
      </c>
      <c r="Y35">
        <f>IF(Source!BI24=3,H29+H30+H32+H33, 0)</f>
        <v>0</v>
      </c>
      <c r="Z35">
        <f>IF(Source!BI24=4,H29+H30+H32+H33, 0)</f>
        <v>0</v>
      </c>
    </row>
    <row r="36" spans="1:26" ht="99.75" x14ac:dyDescent="0.2">
      <c r="A36" s="48" t="str">
        <f>Source!E25</f>
        <v>2</v>
      </c>
      <c r="B36" s="49" t="str">
        <f>Source!F25</f>
        <v>10-01-034-08</v>
      </c>
      <c r="C36" s="49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6" s="32" t="str">
        <f>Source!H25</f>
        <v>100 м2</v>
      </c>
      <c r="E36" s="11">
        <f>Source!I25</f>
        <v>2.4674999999999998</v>
      </c>
      <c r="F36" s="33">
        <f>Source!AL25+Source!AM25+Source!AO25</f>
        <v>10107.89</v>
      </c>
      <c r="G36" s="34"/>
      <c r="H36" s="33"/>
      <c r="I36" s="34" t="str">
        <f>Source!BO25</f>
        <v/>
      </c>
      <c r="J36" s="34"/>
      <c r="K36" s="33"/>
      <c r="L36" s="35"/>
      <c r="S36">
        <f>ROUND((Source!FX25/100)*((ROUND(Source!AF25*Source!I25, 2)+ROUND(Source!AE25*Source!I25, 2))), 2)</f>
        <v>4093.49</v>
      </c>
      <c r="T36">
        <f>Source!X25</f>
        <v>27006.99</v>
      </c>
      <c r="U36">
        <f>ROUND((Source!FY25/100)*((ROUND(Source!AF25*Source!I25, 2)+ROUND(Source!AE25*Source!I25, 2))), 2)</f>
        <v>2064.09</v>
      </c>
      <c r="V36">
        <f>Source!Y25</f>
        <v>13758.28</v>
      </c>
    </row>
    <row r="37" spans="1:26" x14ac:dyDescent="0.2">
      <c r="C37" s="25" t="str">
        <f>"Объем: "&amp;Source!I25&amp;"=246,75/"&amp;"100"</f>
        <v>Объем: 2,4675=246,75/100</v>
      </c>
    </row>
    <row r="38" spans="1:26" ht="14.25" x14ac:dyDescent="0.2">
      <c r="A38" s="48"/>
      <c r="B38" s="49"/>
      <c r="C38" s="49" t="s">
        <v>308</v>
      </c>
      <c r="D38" s="32"/>
      <c r="E38" s="11"/>
      <c r="F38" s="33">
        <f>Source!AO25</f>
        <v>1303.6600000000001</v>
      </c>
      <c r="G38" s="34" t="str">
        <f>Source!DG25</f>
        <v>)*1,15</v>
      </c>
      <c r="H38" s="33">
        <f>ROUND(Source!AF25*Source!I25, 2)</f>
        <v>3699.3</v>
      </c>
      <c r="I38" s="34"/>
      <c r="J38" s="34">
        <f>IF(Source!BA25&lt;&gt; 0, Source!BA25, 1)</f>
        <v>6.61</v>
      </c>
      <c r="K38" s="33">
        <f>Source!S25</f>
        <v>24452.38</v>
      </c>
      <c r="L38" s="35"/>
      <c r="R38">
        <f>H38</f>
        <v>3699.3</v>
      </c>
    </row>
    <row r="39" spans="1:26" ht="14.25" x14ac:dyDescent="0.2">
      <c r="A39" s="48"/>
      <c r="B39" s="49"/>
      <c r="C39" s="49" t="s">
        <v>118</v>
      </c>
      <c r="D39" s="32"/>
      <c r="E39" s="11"/>
      <c r="F39" s="33">
        <f>Source!AM25</f>
        <v>255.21</v>
      </c>
      <c r="G39" s="34" t="str">
        <f>Source!DE25</f>
        <v>)*1,25</v>
      </c>
      <c r="H39" s="33">
        <f>ROUND(Source!AD25*Source!I25, 2)</f>
        <v>787.16</v>
      </c>
      <c r="I39" s="34"/>
      <c r="J39" s="34">
        <f>IF(Source!BB25&lt;&gt; 0, Source!BB25, 1)</f>
        <v>6.61</v>
      </c>
      <c r="K39" s="33">
        <f>Source!Q25</f>
        <v>5203.1099999999997</v>
      </c>
      <c r="L39" s="35"/>
    </row>
    <row r="40" spans="1:26" ht="14.25" x14ac:dyDescent="0.2">
      <c r="A40" s="48"/>
      <c r="B40" s="49"/>
      <c r="C40" s="49" t="s">
        <v>309</v>
      </c>
      <c r="D40" s="32"/>
      <c r="E40" s="11"/>
      <c r="F40" s="33">
        <f>Source!AN25</f>
        <v>50.32</v>
      </c>
      <c r="G40" s="34" t="str">
        <f>Source!DF25</f>
        <v>)*1,25</v>
      </c>
      <c r="H40" s="36">
        <f>ROUND(Source!AE25*Source!I25, 2)</f>
        <v>155.21</v>
      </c>
      <c r="I40" s="34"/>
      <c r="J40" s="34">
        <f>IF(Source!BS25&lt;&gt; 0, Source!BS25, 1)</f>
        <v>6.61</v>
      </c>
      <c r="K40" s="36">
        <f>Source!R25</f>
        <v>1025.9100000000001</v>
      </c>
      <c r="L40" s="35"/>
      <c r="R40">
        <f>H40</f>
        <v>155.21</v>
      </c>
    </row>
    <row r="41" spans="1:26" ht="14.25" x14ac:dyDescent="0.2">
      <c r="A41" s="48"/>
      <c r="B41" s="49"/>
      <c r="C41" s="49" t="s">
        <v>315</v>
      </c>
      <c r="D41" s="32"/>
      <c r="E41" s="11"/>
      <c r="F41" s="33">
        <f>Source!AL25</f>
        <v>8549.02</v>
      </c>
      <c r="G41" s="34" t="str">
        <f>Source!DD25</f>
        <v/>
      </c>
      <c r="H41" s="33">
        <f>ROUND(Source!AC25*Source!I25, 2)</f>
        <v>21094.71</v>
      </c>
      <c r="I41" s="34"/>
      <c r="J41" s="34">
        <f>IF(Source!BC25&lt;&gt; 0, Source!BC25, 1)</f>
        <v>6.61</v>
      </c>
      <c r="K41" s="33">
        <f>Source!P25</f>
        <v>139436.01</v>
      </c>
      <c r="L41" s="35"/>
    </row>
    <row r="42" spans="1:26" ht="14.25" x14ac:dyDescent="0.2">
      <c r="A42" s="48"/>
      <c r="B42" s="49"/>
      <c r="C42" s="49" t="s">
        <v>310</v>
      </c>
      <c r="D42" s="32" t="s">
        <v>311</v>
      </c>
      <c r="E42" s="11">
        <f>Source!BZ25</f>
        <v>118</v>
      </c>
      <c r="F42" s="72" t="str">
        <f>CONCATENATE(" )", Source!DL25, Source!FT25, "=", Source!FX25)</f>
        <v xml:space="preserve"> )*0,9=106,2</v>
      </c>
      <c r="G42" s="73"/>
      <c r="H42" s="33">
        <f>SUM(S36:S46)</f>
        <v>4093.49</v>
      </c>
      <c r="I42" s="37"/>
      <c r="J42" s="30">
        <f>Source!AT25</f>
        <v>106</v>
      </c>
      <c r="K42" s="33">
        <f>SUM(T36:T46)</f>
        <v>27006.99</v>
      </c>
      <c r="L42" s="35"/>
    </row>
    <row r="43" spans="1:26" ht="14.25" x14ac:dyDescent="0.2">
      <c r="A43" s="48"/>
      <c r="B43" s="49"/>
      <c r="C43" s="49" t="s">
        <v>312</v>
      </c>
      <c r="D43" s="32" t="s">
        <v>311</v>
      </c>
      <c r="E43" s="11">
        <f>Source!CA25</f>
        <v>63</v>
      </c>
      <c r="F43" s="72" t="str">
        <f>CONCATENATE(" )", Source!DM25, Source!FU25, "=", Source!FY25)</f>
        <v xml:space="preserve"> )*0,85=53,55</v>
      </c>
      <c r="G43" s="73"/>
      <c r="H43" s="33">
        <f>SUM(U36:U46)</f>
        <v>2064.09</v>
      </c>
      <c r="I43" s="37"/>
      <c r="J43" s="30">
        <f>Source!AU25</f>
        <v>54</v>
      </c>
      <c r="K43" s="33">
        <f>SUM(V36:V46)</f>
        <v>13758.28</v>
      </c>
      <c r="L43" s="35"/>
    </row>
    <row r="44" spans="1:26" ht="14.25" x14ac:dyDescent="0.2">
      <c r="A44" s="48"/>
      <c r="B44" s="49"/>
      <c r="C44" s="49" t="s">
        <v>313</v>
      </c>
      <c r="D44" s="32" t="s">
        <v>314</v>
      </c>
      <c r="E44" s="11">
        <f>Source!AQ25</f>
        <v>149.16</v>
      </c>
      <c r="F44" s="33"/>
      <c r="G44" s="34" t="str">
        <f>Source!DI25</f>
        <v>)*1,15</v>
      </c>
      <c r="H44" s="33"/>
      <c r="I44" s="34"/>
      <c r="J44" s="34"/>
      <c r="K44" s="33"/>
      <c r="L44" s="44">
        <f>Source!U25</f>
        <v>423.26014499999997</v>
      </c>
    </row>
    <row r="45" spans="1:26" ht="39.75" x14ac:dyDescent="0.2">
      <c r="A45" s="48" t="str">
        <f>Source!E26</f>
        <v>2,1</v>
      </c>
      <c r="B45" s="49" t="str">
        <f>Source!F26</f>
        <v>Средняя коммерческая цена</v>
      </c>
      <c r="C45" s="49" t="s">
        <v>316</v>
      </c>
      <c r="D45" s="32" t="str">
        <f>Source!H26</f>
        <v>м2</v>
      </c>
      <c r="E45" s="11">
        <f>Source!I26</f>
        <v>246.75000000000003</v>
      </c>
      <c r="F45" s="33">
        <f>Source!AL26+Source!AM26+Source!AO26</f>
        <v>604.5</v>
      </c>
      <c r="G45" s="45" t="s">
        <v>3</v>
      </c>
      <c r="H45" s="33">
        <f>ROUND(Source!AC26*Source!I26, 2)+ROUND(Source!AD26*Source!I26, 2)+ROUND(Source!AF26*Source!I26, 2)</f>
        <v>149160.38</v>
      </c>
      <c r="I45" s="34"/>
      <c r="J45" s="34">
        <f>IF(Source!BC26&lt;&gt; 0, Source!BC26, 1)</f>
        <v>6.61</v>
      </c>
      <c r="K45" s="33">
        <f>Source!O26</f>
        <v>985950.08</v>
      </c>
      <c r="L45" s="35"/>
      <c r="S45">
        <f>ROUND((Source!FX26/100)*((ROUND(Source!AF26*Source!I26, 2)+ROUND(Source!AE26*Source!I26, 2))), 2)</f>
        <v>0</v>
      </c>
      <c r="T45">
        <f>Source!X26</f>
        <v>0</v>
      </c>
      <c r="U45">
        <f>ROUND((Source!FY26/100)*((ROUND(Source!AF26*Source!I26, 2)+ROUND(Source!AE26*Source!I26, 2))), 2)</f>
        <v>0</v>
      </c>
      <c r="V45">
        <f>Source!Y26</f>
        <v>0</v>
      </c>
      <c r="W45">
        <f>IF(Source!BI26&lt;=1,H45, 0)</f>
        <v>149160.38</v>
      </c>
      <c r="X45">
        <f>IF(Source!BI26=2,H45, 0)</f>
        <v>0</v>
      </c>
      <c r="Y45">
        <f>IF(Source!BI26=3,H45, 0)</f>
        <v>0</v>
      </c>
      <c r="Z45">
        <f>IF(Source!BI26=4,H45, 0)</f>
        <v>0</v>
      </c>
    </row>
    <row r="46" spans="1:26" ht="14.25" x14ac:dyDescent="0.2">
      <c r="A46" s="50" t="str">
        <f>Source!E27</f>
        <v>2,2</v>
      </c>
      <c r="B46" s="51" t="str">
        <f>Source!F27</f>
        <v>11.3.02.03</v>
      </c>
      <c r="C46" s="51" t="str">
        <f>Source!G27</f>
        <v>Блоки оконные пластиковые</v>
      </c>
      <c r="D46" s="38" t="str">
        <f>Source!H27</f>
        <v>м2</v>
      </c>
      <c r="E46" s="39">
        <f>Source!I27</f>
        <v>246.75000000000003</v>
      </c>
      <c r="F46" s="40">
        <f>Source!AL27+Source!AM27+Source!AO27</f>
        <v>0</v>
      </c>
      <c r="G46" s="46" t="s">
        <v>3</v>
      </c>
      <c r="H46" s="40">
        <f>ROUND(Source!AC27*Source!I27, 2)+ROUND(Source!AD27*Source!I27, 2)+ROUND(Source!AF27*Source!I27, 2)</f>
        <v>0</v>
      </c>
      <c r="I46" s="41"/>
      <c r="J46" s="41">
        <f>IF(Source!BC27&lt;&gt; 0, Source!BC27, 1)</f>
        <v>6.61</v>
      </c>
      <c r="K46" s="40">
        <f>Source!O27</f>
        <v>0</v>
      </c>
      <c r="L46" s="47"/>
      <c r="S46">
        <f>ROUND((Source!FX27/100)*((ROUND(Source!AF27*Source!I27, 2)+ROUND(Source!AE27*Source!I27, 2))), 2)</f>
        <v>0</v>
      </c>
      <c r="T46">
        <f>Source!X27</f>
        <v>0</v>
      </c>
      <c r="U46">
        <f>ROUND((Source!FY27/100)*((ROUND(Source!AF27*Source!I27, 2)+ROUND(Source!AE27*Source!I27, 2))), 2)</f>
        <v>0</v>
      </c>
      <c r="V46">
        <f>Source!Y27</f>
        <v>0</v>
      </c>
      <c r="W46">
        <f>IF(Source!BI27&lt;=1,H46, 0)</f>
        <v>0</v>
      </c>
      <c r="X46">
        <f>IF(Source!BI27=2,H46, 0)</f>
        <v>0</v>
      </c>
      <c r="Y46">
        <f>IF(Source!BI27=3,H46, 0)</f>
        <v>0</v>
      </c>
      <c r="Z46">
        <f>IF(Source!BI27=4,H46, 0)</f>
        <v>0</v>
      </c>
    </row>
    <row r="47" spans="1:26" ht="15" x14ac:dyDescent="0.25">
      <c r="G47" s="71">
        <f>H38+H39+H41+H42+H43+SUM(H45:H46)</f>
        <v>180899.13</v>
      </c>
      <c r="H47" s="71"/>
      <c r="J47" s="71">
        <f>K38+K39+K41+K42+K43+SUM(K45:K46)</f>
        <v>1195806.8499999999</v>
      </c>
      <c r="K47" s="71"/>
      <c r="L47" s="43">
        <f>Source!U25</f>
        <v>423.26014499999997</v>
      </c>
      <c r="O47" s="26">
        <f>G47</f>
        <v>180899.13</v>
      </c>
      <c r="P47" s="26">
        <f>J47</f>
        <v>1195806.8499999999</v>
      </c>
      <c r="Q47" s="26">
        <f>L47</f>
        <v>423.26014499999997</v>
      </c>
      <c r="W47">
        <f>IF(Source!BI25&lt;=1,H38+H39+H41+H42+H43, 0)</f>
        <v>31738.749999999996</v>
      </c>
      <c r="X47">
        <f>IF(Source!BI25=2,H38+H39+H41+H42+H43, 0)</f>
        <v>0</v>
      </c>
      <c r="Y47">
        <f>IF(Source!BI25=3,H38+H39+H41+H42+H43, 0)</f>
        <v>0</v>
      </c>
      <c r="Z47">
        <f>IF(Source!BI25=4,H38+H39+H41+H42+H43, 0)</f>
        <v>0</v>
      </c>
    </row>
    <row r="48" spans="1:26" ht="42.75" x14ac:dyDescent="0.2">
      <c r="A48" s="48" t="str">
        <f>Source!E28</f>
        <v>3</v>
      </c>
      <c r="B48" s="49" t="str">
        <f>Source!F28</f>
        <v>10-01-035-03</v>
      </c>
      <c r="C48" s="49" t="str">
        <f>Source!G28</f>
        <v>Установка подоконных досок из ПВХ в каменных стенах толщиной свыше 0,51 м</v>
      </c>
      <c r="D48" s="32" t="str">
        <f>Source!H28</f>
        <v>100 м</v>
      </c>
      <c r="E48" s="11">
        <f>Source!I28</f>
        <v>1.175</v>
      </c>
      <c r="F48" s="33">
        <f>Source!AL28+Source!AM28+Source!AO28</f>
        <v>6481.1699999999992</v>
      </c>
      <c r="G48" s="34"/>
      <c r="H48" s="33"/>
      <c r="I48" s="34" t="str">
        <f>Source!BO28</f>
        <v/>
      </c>
      <c r="J48" s="34"/>
      <c r="K48" s="33"/>
      <c r="L48" s="35"/>
      <c r="S48">
        <f>ROUND((Source!FX28/100)*((ROUND(Source!AF28*Source!I28, 2)+ROUND(Source!AE28*Source!I28, 2))), 2)</f>
        <v>268.62</v>
      </c>
      <c r="T48">
        <f>Source!X28</f>
        <v>1772.27</v>
      </c>
      <c r="U48">
        <f>ROUND((Source!FY28/100)*((ROUND(Source!AF28*Source!I28, 2)+ROUND(Source!AE28*Source!I28, 2))), 2)</f>
        <v>135.44999999999999</v>
      </c>
      <c r="V48">
        <f>Source!Y28</f>
        <v>902.85</v>
      </c>
    </row>
    <row r="49" spans="1:26" x14ac:dyDescent="0.2">
      <c r="C49" s="25" t="str">
        <f>"Объем: "&amp;Source!I28&amp;"=117,5/"&amp;"100"</f>
        <v>Объем: 1,175=117,5/100</v>
      </c>
    </row>
    <row r="50" spans="1:26" ht="14.25" x14ac:dyDescent="0.2">
      <c r="A50" s="48"/>
      <c r="B50" s="49"/>
      <c r="C50" s="49" t="s">
        <v>308</v>
      </c>
      <c r="D50" s="32"/>
      <c r="E50" s="11"/>
      <c r="F50" s="33">
        <f>Source!AO28</f>
        <v>182.37</v>
      </c>
      <c r="G50" s="34" t="str">
        <f>Source!DG28</f>
        <v>)*1,15</v>
      </c>
      <c r="H50" s="33">
        <f>ROUND(Source!AF28*Source!I28, 2)</f>
        <v>246.43</v>
      </c>
      <c r="I50" s="34"/>
      <c r="J50" s="34">
        <f>IF(Source!BA28&lt;&gt; 0, Source!BA28, 1)</f>
        <v>6.61</v>
      </c>
      <c r="K50" s="33">
        <f>Source!S28</f>
        <v>1628.92</v>
      </c>
      <c r="L50" s="35"/>
      <c r="R50">
        <f>H50</f>
        <v>246.43</v>
      </c>
    </row>
    <row r="51" spans="1:26" ht="14.25" x14ac:dyDescent="0.2">
      <c r="A51" s="48"/>
      <c r="B51" s="49"/>
      <c r="C51" s="49" t="s">
        <v>118</v>
      </c>
      <c r="D51" s="32"/>
      <c r="E51" s="11"/>
      <c r="F51" s="33">
        <f>Source!AM28</f>
        <v>21.9</v>
      </c>
      <c r="G51" s="34" t="str">
        <f>Source!DE28</f>
        <v>)*1,25</v>
      </c>
      <c r="H51" s="33">
        <f>ROUND(Source!AD28*Source!I28, 2)</f>
        <v>32.17</v>
      </c>
      <c r="I51" s="34"/>
      <c r="J51" s="34">
        <f>IF(Source!BB28&lt;&gt; 0, Source!BB28, 1)</f>
        <v>6.61</v>
      </c>
      <c r="K51" s="33">
        <f>Source!Q28</f>
        <v>212.65</v>
      </c>
      <c r="L51" s="35"/>
    </row>
    <row r="52" spans="1:26" ht="14.25" x14ac:dyDescent="0.2">
      <c r="A52" s="48"/>
      <c r="B52" s="49"/>
      <c r="C52" s="49" t="s">
        <v>309</v>
      </c>
      <c r="D52" s="32"/>
      <c r="E52" s="11"/>
      <c r="F52" s="33">
        <f>Source!AN28</f>
        <v>4.43</v>
      </c>
      <c r="G52" s="34" t="str">
        <f>Source!DF28</f>
        <v>)*1,25</v>
      </c>
      <c r="H52" s="36">
        <f>ROUND(Source!AE28*Source!I28, 2)</f>
        <v>6.51</v>
      </c>
      <c r="I52" s="34"/>
      <c r="J52" s="34">
        <f>IF(Source!BS28&lt;&gt; 0, Source!BS28, 1)</f>
        <v>6.61</v>
      </c>
      <c r="K52" s="36">
        <f>Source!R28</f>
        <v>43.03</v>
      </c>
      <c r="L52" s="35"/>
      <c r="R52">
        <f>H52</f>
        <v>6.51</v>
      </c>
    </row>
    <row r="53" spans="1:26" ht="14.25" x14ac:dyDescent="0.2">
      <c r="A53" s="48"/>
      <c r="B53" s="49"/>
      <c r="C53" s="49" t="s">
        <v>315</v>
      </c>
      <c r="D53" s="32"/>
      <c r="E53" s="11"/>
      <c r="F53" s="33">
        <f>Source!AL28</f>
        <v>6276.9</v>
      </c>
      <c r="G53" s="34" t="str">
        <f>Source!DD28</f>
        <v/>
      </c>
      <c r="H53" s="33">
        <f>ROUND(Source!AC28*Source!I28, 2)</f>
        <v>7375.36</v>
      </c>
      <c r="I53" s="34"/>
      <c r="J53" s="34">
        <f>IF(Source!BC28&lt;&gt; 0, Source!BC28, 1)</f>
        <v>6.61</v>
      </c>
      <c r="K53" s="33">
        <f>Source!P28</f>
        <v>48751.11</v>
      </c>
      <c r="L53" s="35"/>
    </row>
    <row r="54" spans="1:26" ht="14.25" x14ac:dyDescent="0.2">
      <c r="A54" s="48"/>
      <c r="B54" s="49"/>
      <c r="C54" s="49" t="s">
        <v>310</v>
      </c>
      <c r="D54" s="32" t="s">
        <v>311</v>
      </c>
      <c r="E54" s="11">
        <f>Source!BZ28</f>
        <v>118</v>
      </c>
      <c r="F54" s="72" t="str">
        <f>CONCATENATE(" )", Source!DL28, Source!FT28, "=", Source!FX28)</f>
        <v xml:space="preserve"> )*0,9=106,2</v>
      </c>
      <c r="G54" s="73"/>
      <c r="H54" s="33">
        <f>SUM(S48:S57)</f>
        <v>268.62</v>
      </c>
      <c r="I54" s="37"/>
      <c r="J54" s="30">
        <f>Source!AT28</f>
        <v>106</v>
      </c>
      <c r="K54" s="33">
        <f>SUM(T48:T57)</f>
        <v>1772.27</v>
      </c>
      <c r="L54" s="35"/>
    </row>
    <row r="55" spans="1:26" ht="14.25" x14ac:dyDescent="0.2">
      <c r="A55" s="48"/>
      <c r="B55" s="49"/>
      <c r="C55" s="49" t="s">
        <v>312</v>
      </c>
      <c r="D55" s="32" t="s">
        <v>311</v>
      </c>
      <c r="E55" s="11">
        <f>Source!CA28</f>
        <v>63</v>
      </c>
      <c r="F55" s="72" t="str">
        <f>CONCATENATE(" )", Source!DM28, Source!FU28, "=", Source!FY28)</f>
        <v xml:space="preserve"> )*0,85=53,55</v>
      </c>
      <c r="G55" s="73"/>
      <c r="H55" s="33">
        <f>SUM(U48:U57)</f>
        <v>135.44999999999999</v>
      </c>
      <c r="I55" s="37"/>
      <c r="J55" s="30">
        <f>Source!AU28</f>
        <v>54</v>
      </c>
      <c r="K55" s="33">
        <f>SUM(V48:V57)</f>
        <v>902.85</v>
      </c>
      <c r="L55" s="35"/>
    </row>
    <row r="56" spans="1:26" ht="14.25" x14ac:dyDescent="0.2">
      <c r="A56" s="48"/>
      <c r="B56" s="49"/>
      <c r="C56" s="49" t="s">
        <v>313</v>
      </c>
      <c r="D56" s="32" t="s">
        <v>314</v>
      </c>
      <c r="E56" s="11">
        <f>Source!AQ28</f>
        <v>21.38</v>
      </c>
      <c r="F56" s="33"/>
      <c r="G56" s="34" t="str">
        <f>Source!DI28</f>
        <v>)*1,15</v>
      </c>
      <c r="H56" s="33"/>
      <c r="I56" s="34"/>
      <c r="J56" s="34"/>
      <c r="K56" s="33"/>
      <c r="L56" s="44">
        <f>Source!U28</f>
        <v>28.889724999999995</v>
      </c>
    </row>
    <row r="57" spans="1:26" ht="54" x14ac:dyDescent="0.2">
      <c r="A57" s="50" t="str">
        <f>Source!E29</f>
        <v>3,1</v>
      </c>
      <c r="B57" s="51" t="str">
        <f>Source!F29</f>
        <v>Средняя коммерческая цена</v>
      </c>
      <c r="C57" s="51" t="s">
        <v>317</v>
      </c>
      <c r="D57" s="38" t="str">
        <f>Source!H29</f>
        <v>м</v>
      </c>
      <c r="E57" s="39">
        <f>Source!I29</f>
        <v>117.5</v>
      </c>
      <c r="F57" s="40">
        <f>Source!AL29+Source!AM29+Source!AO29</f>
        <v>318.64</v>
      </c>
      <c r="G57" s="46" t="s">
        <v>3</v>
      </c>
      <c r="H57" s="40">
        <f>ROUND(Source!AC29*Source!I29, 2)+ROUND(Source!AD29*Source!I29, 2)+ROUND(Source!AF29*Source!I29, 2)</f>
        <v>37440.199999999997</v>
      </c>
      <c r="I57" s="41"/>
      <c r="J57" s="41">
        <f>IF(Source!BC29&lt;&gt; 0, Source!BC29, 1)</f>
        <v>6.61</v>
      </c>
      <c r="K57" s="40">
        <f>Source!O29</f>
        <v>247479.72</v>
      </c>
      <c r="L57" s="47"/>
      <c r="S57">
        <f>ROUND((Source!FX29/100)*((ROUND(Source!AF29*Source!I29, 2)+ROUND(Source!AE29*Source!I29, 2))), 2)</f>
        <v>0</v>
      </c>
      <c r="T57">
        <f>Source!X29</f>
        <v>0</v>
      </c>
      <c r="U57">
        <f>ROUND((Source!FY29/100)*((ROUND(Source!AF29*Source!I29, 2)+ROUND(Source!AE29*Source!I29, 2))), 2)</f>
        <v>0</v>
      </c>
      <c r="V57">
        <f>Source!Y29</f>
        <v>0</v>
      </c>
      <c r="W57">
        <f>IF(Source!BI29&lt;=1,H57, 0)</f>
        <v>37440.199999999997</v>
      </c>
      <c r="X57">
        <f>IF(Source!BI29=2,H57, 0)</f>
        <v>0</v>
      </c>
      <c r="Y57">
        <f>IF(Source!BI29=3,H57, 0)</f>
        <v>0</v>
      </c>
      <c r="Z57">
        <f>IF(Source!BI29=4,H57, 0)</f>
        <v>0</v>
      </c>
    </row>
    <row r="58" spans="1:26" ht="15" x14ac:dyDescent="0.25">
      <c r="G58" s="71">
        <f>H50+H51+H53+H54+H55+SUM(H57:H57)</f>
        <v>45498.229999999996</v>
      </c>
      <c r="H58" s="71"/>
      <c r="J58" s="71">
        <f>K50+K51+K53+K54+K55+SUM(K57:K57)</f>
        <v>300747.52000000002</v>
      </c>
      <c r="K58" s="71"/>
      <c r="L58" s="43">
        <f>Source!U28</f>
        <v>28.889724999999995</v>
      </c>
      <c r="O58" s="26">
        <f>G58</f>
        <v>45498.229999999996</v>
      </c>
      <c r="P58" s="26">
        <f>J58</f>
        <v>300747.52000000002</v>
      </c>
      <c r="Q58" s="26">
        <f>L58</f>
        <v>28.889724999999995</v>
      </c>
      <c r="W58">
        <f>IF(Source!BI28&lt;=1,H50+H51+H53+H54+H55, 0)</f>
        <v>8058.03</v>
      </c>
      <c r="X58">
        <f>IF(Source!BI28=2,H50+H51+H53+H54+H55, 0)</f>
        <v>0</v>
      </c>
      <c r="Y58">
        <f>IF(Source!BI28=3,H50+H51+H53+H54+H55, 0)</f>
        <v>0</v>
      </c>
      <c r="Z58">
        <f>IF(Source!BI28=4,H50+H51+H53+H54+H55, 0)</f>
        <v>0</v>
      </c>
    </row>
    <row r="59" spans="1:26" ht="42.75" x14ac:dyDescent="0.2">
      <c r="A59" s="48" t="str">
        <f>Source!E30</f>
        <v>4</v>
      </c>
      <c r="B59" s="49" t="str">
        <f>Source!F30</f>
        <v>58-20-1</v>
      </c>
      <c r="C59" s="49" t="str">
        <f>Source!G30</f>
        <v>Смена обделок из листовой стали (поясков, сандриков, отливов, карнизов) шириной до 0,4 м</v>
      </c>
      <c r="D59" s="32" t="str">
        <f>Source!H30</f>
        <v>100 м</v>
      </c>
      <c r="E59" s="11">
        <f>Source!I30</f>
        <v>1.175</v>
      </c>
      <c r="F59" s="33">
        <f>Source!AL30+Source!AM30+Source!AO30</f>
        <v>454.41</v>
      </c>
      <c r="G59" s="34"/>
      <c r="H59" s="33"/>
      <c r="I59" s="34" t="str">
        <f>Source!BO30</f>
        <v/>
      </c>
      <c r="J59" s="34"/>
      <c r="K59" s="33"/>
      <c r="L59" s="35"/>
      <c r="S59">
        <f>ROUND((Source!FX30/100)*((ROUND(Source!AF30*Source!I30, 2)+ROUND(Source!AE30*Source!I30, 2))), 2)</f>
        <v>345.99</v>
      </c>
      <c r="T59">
        <f>Source!X30</f>
        <v>2286.9899999999998</v>
      </c>
      <c r="U59">
        <f>ROUND((Source!FY30/100)*((ROUND(Source!AF30*Source!I30, 2)+ROUND(Source!AE30*Source!I30, 2))), 2)</f>
        <v>270.95999999999998</v>
      </c>
      <c r="V59">
        <f>Source!Y30</f>
        <v>1791.02</v>
      </c>
    </row>
    <row r="60" spans="1:26" x14ac:dyDescent="0.2">
      <c r="C60" s="25" t="str">
        <f>"Объем: "&amp;Source!I30&amp;"=117,5/"&amp;"100"</f>
        <v>Объем: 1,175=117,5/100</v>
      </c>
    </row>
    <row r="61" spans="1:26" ht="14.25" x14ac:dyDescent="0.2">
      <c r="A61" s="48"/>
      <c r="B61" s="49"/>
      <c r="C61" s="49" t="s">
        <v>308</v>
      </c>
      <c r="D61" s="32"/>
      <c r="E61" s="11"/>
      <c r="F61" s="33">
        <f>Source!AO30</f>
        <v>353.23</v>
      </c>
      <c r="G61" s="34" t="str">
        <f>Source!DG30</f>
        <v/>
      </c>
      <c r="H61" s="33">
        <f>ROUND(Source!AF30*Source!I30, 2)</f>
        <v>415.05</v>
      </c>
      <c r="I61" s="34"/>
      <c r="J61" s="34">
        <f>IF(Source!BA30&lt;&gt; 0, Source!BA30, 1)</f>
        <v>6.61</v>
      </c>
      <c r="K61" s="33">
        <f>Source!S30</f>
        <v>2743.45</v>
      </c>
      <c r="L61" s="35"/>
      <c r="R61">
        <f>H61</f>
        <v>415.05</v>
      </c>
    </row>
    <row r="62" spans="1:26" ht="14.25" x14ac:dyDescent="0.2">
      <c r="A62" s="48"/>
      <c r="B62" s="49"/>
      <c r="C62" s="49" t="s">
        <v>118</v>
      </c>
      <c r="D62" s="32"/>
      <c r="E62" s="11"/>
      <c r="F62" s="33">
        <f>Source!AM30</f>
        <v>5.13</v>
      </c>
      <c r="G62" s="34" t="str">
        <f>Source!DE30</f>
        <v/>
      </c>
      <c r="H62" s="33">
        <f>ROUND(Source!AD30*Source!I30, 2)</f>
        <v>6.03</v>
      </c>
      <c r="I62" s="34"/>
      <c r="J62" s="34">
        <f>IF(Source!BB30&lt;&gt; 0, Source!BB30, 1)</f>
        <v>6.61</v>
      </c>
      <c r="K62" s="33">
        <f>Source!Q30</f>
        <v>39.840000000000003</v>
      </c>
      <c r="L62" s="35"/>
    </row>
    <row r="63" spans="1:26" ht="14.25" x14ac:dyDescent="0.2">
      <c r="A63" s="48"/>
      <c r="B63" s="49"/>
      <c r="C63" s="49" t="s">
        <v>309</v>
      </c>
      <c r="D63" s="32"/>
      <c r="E63" s="11"/>
      <c r="F63" s="33">
        <f>Source!AN30</f>
        <v>1.54</v>
      </c>
      <c r="G63" s="34" t="str">
        <f>Source!DF30</f>
        <v/>
      </c>
      <c r="H63" s="36">
        <f>ROUND(Source!AE30*Source!I30, 2)</f>
        <v>1.81</v>
      </c>
      <c r="I63" s="34"/>
      <c r="J63" s="34">
        <f>IF(Source!BS30&lt;&gt; 0, Source!BS30, 1)</f>
        <v>6.61</v>
      </c>
      <c r="K63" s="36">
        <f>Source!R30</f>
        <v>11.96</v>
      </c>
      <c r="L63" s="35"/>
      <c r="R63">
        <f>H63</f>
        <v>1.81</v>
      </c>
    </row>
    <row r="64" spans="1:26" ht="14.25" x14ac:dyDescent="0.2">
      <c r="A64" s="48"/>
      <c r="B64" s="49"/>
      <c r="C64" s="49" t="s">
        <v>315</v>
      </c>
      <c r="D64" s="32"/>
      <c r="E64" s="11"/>
      <c r="F64" s="33">
        <f>Source!AL30</f>
        <v>96.05</v>
      </c>
      <c r="G64" s="34" t="str">
        <f>Source!DD30</f>
        <v/>
      </c>
      <c r="H64" s="33">
        <f>ROUND(Source!AC30*Source!I30, 2)</f>
        <v>112.86</v>
      </c>
      <c r="I64" s="34"/>
      <c r="J64" s="34">
        <f>IF(Source!BC30&lt;&gt; 0, Source!BC30, 1)</f>
        <v>6.61</v>
      </c>
      <c r="K64" s="33">
        <f>Source!P30</f>
        <v>746</v>
      </c>
      <c r="L64" s="35"/>
    </row>
    <row r="65" spans="1:26" ht="14.25" x14ac:dyDescent="0.2">
      <c r="A65" s="48"/>
      <c r="B65" s="49"/>
      <c r="C65" s="49" t="s">
        <v>310</v>
      </c>
      <c r="D65" s="32" t="s">
        <v>311</v>
      </c>
      <c r="E65" s="11">
        <f>Source!BZ30</f>
        <v>83</v>
      </c>
      <c r="F65" s="52"/>
      <c r="G65" s="34"/>
      <c r="H65" s="33">
        <f>SUM(S59:S69)</f>
        <v>345.99</v>
      </c>
      <c r="I65" s="37"/>
      <c r="J65" s="30">
        <f>Source!AT30</f>
        <v>83</v>
      </c>
      <c r="K65" s="33">
        <f>SUM(T59:T69)</f>
        <v>2286.9899999999998</v>
      </c>
      <c r="L65" s="35"/>
    </row>
    <row r="66" spans="1:26" ht="14.25" x14ac:dyDescent="0.2">
      <c r="A66" s="48"/>
      <c r="B66" s="49"/>
      <c r="C66" s="49" t="s">
        <v>312</v>
      </c>
      <c r="D66" s="32" t="s">
        <v>311</v>
      </c>
      <c r="E66" s="11">
        <f>Source!CA30</f>
        <v>65</v>
      </c>
      <c r="F66" s="52"/>
      <c r="G66" s="34"/>
      <c r="H66" s="33">
        <f>SUM(U59:U69)</f>
        <v>270.95999999999998</v>
      </c>
      <c r="I66" s="37"/>
      <c r="J66" s="30">
        <f>Source!AU30</f>
        <v>65</v>
      </c>
      <c r="K66" s="33">
        <f>SUM(V59:V69)</f>
        <v>1791.02</v>
      </c>
      <c r="L66" s="35"/>
    </row>
    <row r="67" spans="1:26" ht="14.25" x14ac:dyDescent="0.2">
      <c r="A67" s="48"/>
      <c r="B67" s="49"/>
      <c r="C67" s="49" t="s">
        <v>313</v>
      </c>
      <c r="D67" s="32" t="s">
        <v>314</v>
      </c>
      <c r="E67" s="11">
        <f>Source!AQ30</f>
        <v>41.41</v>
      </c>
      <c r="F67" s="33"/>
      <c r="G67" s="34" t="str">
        <f>Source!DI30</f>
        <v/>
      </c>
      <c r="H67" s="33"/>
      <c r="I67" s="34"/>
      <c r="J67" s="34"/>
      <c r="K67" s="33"/>
      <c r="L67" s="44">
        <f>Source!U30</f>
        <v>48.656749999999995</v>
      </c>
    </row>
    <row r="68" spans="1:26" ht="68.25" x14ac:dyDescent="0.2">
      <c r="A68" s="48" t="str">
        <f>Source!E31</f>
        <v>4,1</v>
      </c>
      <c r="B68" s="49" t="str">
        <f>Source!F31</f>
        <v>Средняя коммерческая цена</v>
      </c>
      <c r="C68" s="49" t="s">
        <v>318</v>
      </c>
      <c r="D68" s="32" t="str">
        <f>Source!H31</f>
        <v>м</v>
      </c>
      <c r="E68" s="11">
        <f>Source!I31</f>
        <v>117.5</v>
      </c>
      <c r="F68" s="33">
        <f>Source!AL31+Source!AM31+Source!AO31</f>
        <v>38.799999999999997</v>
      </c>
      <c r="G68" s="45" t="s">
        <v>3</v>
      </c>
      <c r="H68" s="33">
        <f>ROUND(Source!AC31*Source!I31, 2)+ROUND(Source!AD31*Source!I31, 2)+ROUND(Source!AF31*Source!I31, 2)</f>
        <v>4559</v>
      </c>
      <c r="I68" s="34"/>
      <c r="J68" s="34">
        <f>IF(Source!BC31&lt;&gt; 0, Source!BC31, 1)</f>
        <v>6.61</v>
      </c>
      <c r="K68" s="33">
        <f>Source!O31</f>
        <v>30134.99</v>
      </c>
      <c r="L68" s="35"/>
      <c r="S68">
        <f>ROUND((Source!FX31/100)*((ROUND(Source!AF31*Source!I31, 2)+ROUND(Source!AE31*Source!I31, 2))), 2)</f>
        <v>0</v>
      </c>
      <c r="T68">
        <f>Source!X31</f>
        <v>0</v>
      </c>
      <c r="U68">
        <f>ROUND((Source!FY31/100)*((ROUND(Source!AF31*Source!I31, 2)+ROUND(Source!AE31*Source!I31, 2))), 2)</f>
        <v>0</v>
      </c>
      <c r="V68">
        <f>Source!Y31</f>
        <v>0</v>
      </c>
      <c r="W68">
        <f>IF(Source!BI31&lt;=1,H68, 0)</f>
        <v>4559</v>
      </c>
      <c r="X68">
        <f>IF(Source!BI31=2,H68, 0)</f>
        <v>0</v>
      </c>
      <c r="Y68">
        <f>IF(Source!BI31=3,H68, 0)</f>
        <v>0</v>
      </c>
      <c r="Z68">
        <f>IF(Source!BI31=4,H68, 0)</f>
        <v>0</v>
      </c>
    </row>
    <row r="69" spans="1:26" ht="14.25" x14ac:dyDescent="0.2">
      <c r="A69" s="50" t="str">
        <f>Source!E32</f>
        <v>4,2</v>
      </c>
      <c r="B69" s="51" t="str">
        <f>Source!F32</f>
        <v>08.3.05.05</v>
      </c>
      <c r="C69" s="51" t="str">
        <f>Source!G32</f>
        <v>Сталь листовая оцинкованная</v>
      </c>
      <c r="D69" s="38" t="str">
        <f>Source!H32</f>
        <v>т</v>
      </c>
      <c r="E69" s="39">
        <f>Source!I32</f>
        <v>0.2162</v>
      </c>
      <c r="F69" s="40">
        <f>Source!AL32+Source!AM32+Source!AO32</f>
        <v>0</v>
      </c>
      <c r="G69" s="46" t="s">
        <v>3</v>
      </c>
      <c r="H69" s="40">
        <f>ROUND(Source!AC32*Source!I32, 2)+ROUND(Source!AD32*Source!I32, 2)+ROUND(Source!AF32*Source!I32, 2)</f>
        <v>0</v>
      </c>
      <c r="I69" s="41"/>
      <c r="J69" s="41">
        <f>IF(Source!BC32&lt;&gt; 0, Source!BC32, 1)</f>
        <v>6.61</v>
      </c>
      <c r="K69" s="40">
        <f>Source!O32</f>
        <v>0</v>
      </c>
      <c r="L69" s="47"/>
      <c r="S69">
        <f>ROUND((Source!FX32/100)*((ROUND(Source!AF32*Source!I32, 2)+ROUND(Source!AE32*Source!I32, 2))), 2)</f>
        <v>0</v>
      </c>
      <c r="T69">
        <f>Source!X32</f>
        <v>0</v>
      </c>
      <c r="U69">
        <f>ROUND((Source!FY32/100)*((ROUND(Source!AF32*Source!I32, 2)+ROUND(Source!AE32*Source!I32, 2))), 2)</f>
        <v>0</v>
      </c>
      <c r="V69">
        <f>Source!Y32</f>
        <v>0</v>
      </c>
      <c r="W69">
        <f>IF(Source!BI32&lt;=1,H69, 0)</f>
        <v>0</v>
      </c>
      <c r="X69">
        <f>IF(Source!BI32=2,H69, 0)</f>
        <v>0</v>
      </c>
      <c r="Y69">
        <f>IF(Source!BI32=3,H69, 0)</f>
        <v>0</v>
      </c>
      <c r="Z69">
        <f>IF(Source!BI32=4,H69, 0)</f>
        <v>0</v>
      </c>
    </row>
    <row r="70" spans="1:26" ht="15" x14ac:dyDescent="0.25">
      <c r="G70" s="71">
        <f>H61+H62+H64+H65+H66+SUM(H68:H69)</f>
        <v>5709.8899999999994</v>
      </c>
      <c r="H70" s="71"/>
      <c r="J70" s="71">
        <f>K61+K62+K64+K65+K66+SUM(K68:K69)</f>
        <v>37742.29</v>
      </c>
      <c r="K70" s="71"/>
      <c r="L70" s="43">
        <f>Source!U30</f>
        <v>48.656749999999995</v>
      </c>
      <c r="O70" s="26">
        <f>G70</f>
        <v>5709.8899999999994</v>
      </c>
      <c r="P70" s="26">
        <f>J70</f>
        <v>37742.29</v>
      </c>
      <c r="Q70" s="26">
        <f>L70</f>
        <v>48.656749999999995</v>
      </c>
      <c r="W70">
        <f>IF(Source!BI30&lt;=1,H61+H62+H64+H65+H66, 0)</f>
        <v>1150.8899999999999</v>
      </c>
      <c r="X70">
        <f>IF(Source!BI30=2,H61+H62+H64+H65+H66, 0)</f>
        <v>0</v>
      </c>
      <c r="Y70">
        <f>IF(Source!BI30=3,H61+H62+H64+H65+H66, 0)</f>
        <v>0</v>
      </c>
      <c r="Z70">
        <f>IF(Source!BI30=4,H61+H62+H64+H65+H66, 0)</f>
        <v>0</v>
      </c>
    </row>
    <row r="71" spans="1:26" ht="42.75" x14ac:dyDescent="0.2">
      <c r="A71" s="48" t="str">
        <f>Source!E33</f>
        <v>5</v>
      </c>
      <c r="B71" s="49" t="str">
        <f>Source!F33</f>
        <v>15-04-006-04</v>
      </c>
      <c r="C71" s="49" t="str">
        <f>Source!G33</f>
        <v>Покрытие поверхностей грунтовкой глубокого проникновения за 2 раза стен</v>
      </c>
      <c r="D71" s="32" t="str">
        <f>Source!H33</f>
        <v>100 м2</v>
      </c>
      <c r="E71" s="11">
        <f>Source!I33</f>
        <v>1.5745</v>
      </c>
      <c r="F71" s="33">
        <f>Source!AL33+Source!AM33+Source!AO33</f>
        <v>158.97999999999999</v>
      </c>
      <c r="G71" s="34"/>
      <c r="H71" s="33"/>
      <c r="I71" s="34" t="str">
        <f>Source!BO33</f>
        <v/>
      </c>
      <c r="J71" s="34"/>
      <c r="K71" s="33"/>
      <c r="L71" s="35"/>
      <c r="S71">
        <f>ROUND((Source!FX33/100)*((ROUND(Source!AF33*Source!I33, 2)+ROUND(Source!AE33*Source!I33, 2))), 2)</f>
        <v>269.33</v>
      </c>
      <c r="T71">
        <f>Source!X33</f>
        <v>1789.66</v>
      </c>
      <c r="U71">
        <f>ROUND((Source!FY33/100)*((ROUND(Source!AF33*Source!I33, 2)+ROUND(Source!AE33*Source!I33, 2))), 2)</f>
        <v>133.24</v>
      </c>
      <c r="V71">
        <f>Source!Y33</f>
        <v>885.41</v>
      </c>
    </row>
    <row r="72" spans="1:26" x14ac:dyDescent="0.2">
      <c r="C72" s="25" t="str">
        <f>"Объем: "&amp;Source!I33&amp;"=157,45/"&amp;"100"</f>
        <v>Объем: 1,5745=157,45/100</v>
      </c>
    </row>
    <row r="73" spans="1:26" ht="14.25" x14ac:dyDescent="0.2">
      <c r="A73" s="48"/>
      <c r="B73" s="49"/>
      <c r="C73" s="49" t="s">
        <v>308</v>
      </c>
      <c r="D73" s="32"/>
      <c r="E73" s="11"/>
      <c r="F73" s="33">
        <f>Source!AO33</f>
        <v>157</v>
      </c>
      <c r="G73" s="34" t="str">
        <f>Source!DG33</f>
        <v>)*1,15</v>
      </c>
      <c r="H73" s="33">
        <f>ROUND(Source!AF33*Source!I33, 2)</f>
        <v>284.27999999999997</v>
      </c>
      <c r="I73" s="34"/>
      <c r="J73" s="34">
        <f>IF(Source!BA33&lt;&gt; 0, Source!BA33, 1)</f>
        <v>6.61</v>
      </c>
      <c r="K73" s="33">
        <f>Source!S33</f>
        <v>1879.06</v>
      </c>
      <c r="L73" s="35"/>
      <c r="R73">
        <f>H73</f>
        <v>284.27999999999997</v>
      </c>
    </row>
    <row r="74" spans="1:26" ht="14.25" x14ac:dyDescent="0.2">
      <c r="A74" s="48"/>
      <c r="B74" s="49"/>
      <c r="C74" s="49" t="s">
        <v>118</v>
      </c>
      <c r="D74" s="32"/>
      <c r="E74" s="11"/>
      <c r="F74" s="33">
        <f>Source!AM33</f>
        <v>1.62</v>
      </c>
      <c r="G74" s="34" t="str">
        <f>Source!DE33</f>
        <v>)*1,25</v>
      </c>
      <c r="H74" s="33">
        <f>ROUND(Source!AD33*Source!I33, 2)</f>
        <v>3.18</v>
      </c>
      <c r="I74" s="34"/>
      <c r="J74" s="34">
        <f>IF(Source!BB33&lt;&gt; 0, Source!BB33, 1)</f>
        <v>6.61</v>
      </c>
      <c r="K74" s="33">
        <f>Source!Q33</f>
        <v>21.02</v>
      </c>
      <c r="L74" s="35"/>
    </row>
    <row r="75" spans="1:26" ht="14.25" x14ac:dyDescent="0.2">
      <c r="A75" s="48"/>
      <c r="B75" s="49"/>
      <c r="C75" s="49" t="s">
        <v>309</v>
      </c>
      <c r="D75" s="32"/>
      <c r="E75" s="11"/>
      <c r="F75" s="33">
        <f>Source!AN33</f>
        <v>0.37</v>
      </c>
      <c r="G75" s="34" t="str">
        <f>Source!DF33</f>
        <v>)*1,25</v>
      </c>
      <c r="H75" s="36">
        <f>ROUND(Source!AE33*Source!I33, 2)</f>
        <v>0.72</v>
      </c>
      <c r="I75" s="34"/>
      <c r="J75" s="34">
        <f>IF(Source!BS33&lt;&gt; 0, Source!BS33, 1)</f>
        <v>6.61</v>
      </c>
      <c r="K75" s="36">
        <f>Source!R33</f>
        <v>4.79</v>
      </c>
      <c r="L75" s="35"/>
      <c r="R75">
        <f>H75</f>
        <v>0.72</v>
      </c>
    </row>
    <row r="76" spans="1:26" ht="14.25" x14ac:dyDescent="0.2">
      <c r="A76" s="48"/>
      <c r="B76" s="49"/>
      <c r="C76" s="49" t="s">
        <v>315</v>
      </c>
      <c r="D76" s="32"/>
      <c r="E76" s="11"/>
      <c r="F76" s="33">
        <f>Source!AL33</f>
        <v>0.36</v>
      </c>
      <c r="G76" s="34" t="str">
        <f>Source!DD33</f>
        <v/>
      </c>
      <c r="H76" s="33">
        <f>ROUND(Source!AC33*Source!I33, 2)</f>
        <v>0.56999999999999995</v>
      </c>
      <c r="I76" s="34"/>
      <c r="J76" s="34">
        <f>IF(Source!BC33&lt;&gt; 0, Source!BC33, 1)</f>
        <v>6.61</v>
      </c>
      <c r="K76" s="33">
        <f>Source!P33</f>
        <v>3.75</v>
      </c>
      <c r="L76" s="35"/>
    </row>
    <row r="77" spans="1:26" ht="14.25" x14ac:dyDescent="0.2">
      <c r="A77" s="48"/>
      <c r="B77" s="49"/>
      <c r="C77" s="49" t="s">
        <v>310</v>
      </c>
      <c r="D77" s="32" t="s">
        <v>311</v>
      </c>
      <c r="E77" s="11">
        <f>Source!BZ33</f>
        <v>105</v>
      </c>
      <c r="F77" s="72" t="str">
        <f>CONCATENATE(" )", Source!DL33, Source!FT33, "=", Source!FX33)</f>
        <v xml:space="preserve"> )*0,9=94,5</v>
      </c>
      <c r="G77" s="73"/>
      <c r="H77" s="33">
        <f>SUM(S71:S81)</f>
        <v>269.33</v>
      </c>
      <c r="I77" s="37"/>
      <c r="J77" s="30">
        <f>Source!AT33</f>
        <v>95</v>
      </c>
      <c r="K77" s="33">
        <f>SUM(T71:T81)</f>
        <v>1789.66</v>
      </c>
      <c r="L77" s="35"/>
    </row>
    <row r="78" spans="1:26" ht="14.25" x14ac:dyDescent="0.2">
      <c r="A78" s="48"/>
      <c r="B78" s="49"/>
      <c r="C78" s="49" t="s">
        <v>312</v>
      </c>
      <c r="D78" s="32" t="s">
        <v>311</v>
      </c>
      <c r="E78" s="11">
        <f>Source!CA33</f>
        <v>55</v>
      </c>
      <c r="F78" s="72" t="str">
        <f>CONCATENATE(" )", Source!DM33, Source!FU33, "=", Source!FY33)</f>
        <v xml:space="preserve"> )*0,85=46,75</v>
      </c>
      <c r="G78" s="73"/>
      <c r="H78" s="33">
        <f>SUM(U71:U81)</f>
        <v>133.24</v>
      </c>
      <c r="I78" s="37"/>
      <c r="J78" s="30">
        <f>Source!AU33</f>
        <v>47</v>
      </c>
      <c r="K78" s="33">
        <f>SUM(V71:V81)</f>
        <v>885.41</v>
      </c>
      <c r="L78" s="35"/>
    </row>
    <row r="79" spans="1:26" ht="14.25" x14ac:dyDescent="0.2">
      <c r="A79" s="48"/>
      <c r="B79" s="49"/>
      <c r="C79" s="49" t="s">
        <v>313</v>
      </c>
      <c r="D79" s="32" t="s">
        <v>314</v>
      </c>
      <c r="E79" s="11">
        <f>Source!AQ33</f>
        <v>16.32</v>
      </c>
      <c r="F79" s="33"/>
      <c r="G79" s="34" t="str">
        <f>Source!DI33</f>
        <v>)*1,15</v>
      </c>
      <c r="H79" s="33"/>
      <c r="I79" s="34"/>
      <c r="J79" s="34"/>
      <c r="K79" s="33"/>
      <c r="L79" s="44">
        <f>Source!U33</f>
        <v>29.550215999999995</v>
      </c>
    </row>
    <row r="80" spans="1:26" ht="28.5" x14ac:dyDescent="0.2">
      <c r="A80" s="48" t="str">
        <f>Source!E34</f>
        <v>5,1</v>
      </c>
      <c r="B80" s="49" t="str">
        <f>Source!F34</f>
        <v>14.3.01.02-0104</v>
      </c>
      <c r="C80" s="49" t="str">
        <f>Source!G34</f>
        <v>Грунтовка колерующая CERESIT CT 16</v>
      </c>
      <c r="D80" s="32" t="str">
        <f>Source!H34</f>
        <v>л</v>
      </c>
      <c r="E80" s="11">
        <f>Source!I34</f>
        <v>31.490000000000002</v>
      </c>
      <c r="F80" s="33">
        <f>Source!AL34+Source!AM34+Source!AO34</f>
        <v>18.96</v>
      </c>
      <c r="G80" s="45" t="s">
        <v>3</v>
      </c>
      <c r="H80" s="33">
        <f>ROUND(Source!AC34*Source!I34, 2)+ROUND(Source!AD34*Source!I34, 2)+ROUND(Source!AF34*Source!I34, 2)</f>
        <v>597.04999999999995</v>
      </c>
      <c r="I80" s="34"/>
      <c r="J80" s="34">
        <f>IF(Source!BC34&lt;&gt; 0, Source!BC34, 1)</f>
        <v>6.61</v>
      </c>
      <c r="K80" s="33">
        <f>Source!O34</f>
        <v>3946.5</v>
      </c>
      <c r="L80" s="35"/>
      <c r="S80">
        <f>ROUND((Source!FX34/100)*((ROUND(Source!AF34*Source!I34, 2)+ROUND(Source!AE34*Source!I34, 2))), 2)</f>
        <v>0</v>
      </c>
      <c r="T80">
        <f>Source!X34</f>
        <v>0</v>
      </c>
      <c r="U80">
        <f>ROUND((Source!FY34/100)*((ROUND(Source!AF34*Source!I34, 2)+ROUND(Source!AE34*Source!I34, 2))), 2)</f>
        <v>0</v>
      </c>
      <c r="V80">
        <f>Source!Y34</f>
        <v>0</v>
      </c>
      <c r="W80">
        <f>IF(Source!BI34&lt;=1,H80, 0)</f>
        <v>597.04999999999995</v>
      </c>
      <c r="X80">
        <f>IF(Source!BI34=2,H80, 0)</f>
        <v>0</v>
      </c>
      <c r="Y80">
        <f>IF(Source!BI34=3,H80, 0)</f>
        <v>0</v>
      </c>
      <c r="Z80">
        <f>IF(Source!BI34=4,H80, 0)</f>
        <v>0</v>
      </c>
    </row>
    <row r="81" spans="1:26" ht="14.25" x14ac:dyDescent="0.2">
      <c r="A81" s="50" t="str">
        <f>Source!E35</f>
        <v>5,2</v>
      </c>
      <c r="B81" s="51" t="str">
        <f>Source!F35</f>
        <v>14.4.01.21</v>
      </c>
      <c r="C81" s="51" t="str">
        <f>Source!G35</f>
        <v>Грунтовка</v>
      </c>
      <c r="D81" s="38" t="str">
        <f>Source!H35</f>
        <v>т</v>
      </c>
      <c r="E81" s="39">
        <f>Source!I35</f>
        <v>3.1489999999999997E-2</v>
      </c>
      <c r="F81" s="40">
        <f>Source!AL35+Source!AM35+Source!AO35</f>
        <v>0</v>
      </c>
      <c r="G81" s="46" t="s">
        <v>3</v>
      </c>
      <c r="H81" s="40">
        <f>ROUND(Source!AC35*Source!I35, 2)+ROUND(Source!AD35*Source!I35, 2)+ROUND(Source!AF35*Source!I35, 2)</f>
        <v>0</v>
      </c>
      <c r="I81" s="41"/>
      <c r="J81" s="41">
        <f>IF(Source!BC35&lt;&gt; 0, Source!BC35, 1)</f>
        <v>6.61</v>
      </c>
      <c r="K81" s="40">
        <f>Source!O35</f>
        <v>0</v>
      </c>
      <c r="L81" s="47"/>
      <c r="S81">
        <f>ROUND((Source!FX35/100)*((ROUND(Source!AF35*Source!I35, 2)+ROUND(Source!AE35*Source!I35, 2))), 2)</f>
        <v>0</v>
      </c>
      <c r="T81">
        <f>Source!X35</f>
        <v>0</v>
      </c>
      <c r="U81">
        <f>ROUND((Source!FY35/100)*((ROUND(Source!AF35*Source!I35, 2)+ROUND(Source!AE35*Source!I35, 2))), 2)</f>
        <v>0</v>
      </c>
      <c r="V81">
        <f>Source!Y35</f>
        <v>0</v>
      </c>
      <c r="W81">
        <f>IF(Source!BI35&lt;=1,H81, 0)</f>
        <v>0</v>
      </c>
      <c r="X81">
        <f>IF(Source!BI35=2,H81, 0)</f>
        <v>0</v>
      </c>
      <c r="Y81">
        <f>IF(Source!BI35=3,H81, 0)</f>
        <v>0</v>
      </c>
      <c r="Z81">
        <f>IF(Source!BI35=4,H81, 0)</f>
        <v>0</v>
      </c>
    </row>
    <row r="82" spans="1:26" ht="15" x14ac:dyDescent="0.25">
      <c r="G82" s="71">
        <f>H73+H74+H76+H77+H78+SUM(H80:H81)</f>
        <v>1287.6499999999999</v>
      </c>
      <c r="H82" s="71"/>
      <c r="J82" s="71">
        <f>K73+K74+K76+K77+K78+SUM(K80:K81)</f>
        <v>8525.4</v>
      </c>
      <c r="K82" s="71"/>
      <c r="L82" s="43">
        <f>Source!U33</f>
        <v>29.550215999999995</v>
      </c>
      <c r="O82" s="26">
        <f>G82</f>
        <v>1287.6499999999999</v>
      </c>
      <c r="P82" s="26">
        <f>J82</f>
        <v>8525.4</v>
      </c>
      <c r="Q82" s="26">
        <f>L82</f>
        <v>29.550215999999995</v>
      </c>
      <c r="W82">
        <f>IF(Source!BI33&lt;=1,H73+H74+H76+H77+H78, 0)</f>
        <v>690.59999999999991</v>
      </c>
      <c r="X82">
        <f>IF(Source!BI33=2,H73+H74+H76+H77+H78, 0)</f>
        <v>0</v>
      </c>
      <c r="Y82">
        <f>IF(Source!BI33=3,H73+H74+H76+H77+H78, 0)</f>
        <v>0</v>
      </c>
      <c r="Z82">
        <f>IF(Source!BI33=4,H73+H74+H76+H77+H78, 0)</f>
        <v>0</v>
      </c>
    </row>
    <row r="83" spans="1:26" ht="57" x14ac:dyDescent="0.2">
      <c r="A83" s="48" t="str">
        <f>Source!E36</f>
        <v>6</v>
      </c>
      <c r="B83" s="49" t="str">
        <f>Source!F36</f>
        <v>15-01-050-04</v>
      </c>
      <c r="C83" s="49" t="str">
        <f>Source!G36</f>
        <v>Облицовка оконных и дверных откосов декоративным бумажно-слоистым пластиком или листами из синтетических материалов</v>
      </c>
      <c r="D83" s="32" t="str">
        <f>Source!H36</f>
        <v>100 м2</v>
      </c>
      <c r="E83" s="11">
        <f>Source!I36</f>
        <v>1.5745</v>
      </c>
      <c r="F83" s="33">
        <f>Source!AL36+Source!AM36+Source!AO36</f>
        <v>1563.91</v>
      </c>
      <c r="G83" s="34"/>
      <c r="H83" s="33"/>
      <c r="I83" s="34" t="str">
        <f>Source!BO36</f>
        <v/>
      </c>
      <c r="J83" s="34"/>
      <c r="K83" s="33"/>
      <c r="L83" s="35"/>
      <c r="S83">
        <f>ROUND((Source!FX36/100)*((ROUND(Source!AF36*Source!I36, 2)+ROUND(Source!AE36*Source!I36, 2))), 2)</f>
        <v>2627.67</v>
      </c>
      <c r="T83">
        <f>Source!X36</f>
        <v>17460.759999999998</v>
      </c>
      <c r="U83">
        <f>ROUND((Source!FY36/100)*((ROUND(Source!AF36*Source!I36, 2)+ROUND(Source!AE36*Source!I36, 2))), 2)</f>
        <v>1299.93</v>
      </c>
      <c r="V83">
        <f>Source!Y36</f>
        <v>8638.48</v>
      </c>
    </row>
    <row r="84" spans="1:26" x14ac:dyDescent="0.2">
      <c r="C84" s="25" t="str">
        <f>"Объем: "&amp;Source!I36&amp;"=157,45/"&amp;"100"</f>
        <v>Объем: 1,5745=157,45/100</v>
      </c>
    </row>
    <row r="85" spans="1:26" ht="14.25" x14ac:dyDescent="0.2">
      <c r="A85" s="48"/>
      <c r="B85" s="49"/>
      <c r="C85" s="49" t="s">
        <v>308</v>
      </c>
      <c r="D85" s="32"/>
      <c r="E85" s="11"/>
      <c r="F85" s="33">
        <f>Source!AO36</f>
        <v>1528.19</v>
      </c>
      <c r="G85" s="34" t="str">
        <f>Source!DG36</f>
        <v>)*1,15</v>
      </c>
      <c r="H85" s="33">
        <f>ROUND(Source!AF36*Source!I36, 2)</f>
        <v>2767.06</v>
      </c>
      <c r="I85" s="34"/>
      <c r="J85" s="34">
        <f>IF(Source!BA36&lt;&gt; 0, Source!BA36, 1)</f>
        <v>6.61</v>
      </c>
      <c r="K85" s="33">
        <f>Source!S36</f>
        <v>18290.25</v>
      </c>
      <c r="L85" s="35"/>
      <c r="R85">
        <f>H85</f>
        <v>2767.06</v>
      </c>
    </row>
    <row r="86" spans="1:26" ht="14.25" x14ac:dyDescent="0.2">
      <c r="A86" s="48"/>
      <c r="B86" s="49"/>
      <c r="C86" s="49" t="s">
        <v>118</v>
      </c>
      <c r="D86" s="32"/>
      <c r="E86" s="11"/>
      <c r="F86" s="33">
        <f>Source!AM36</f>
        <v>35.36</v>
      </c>
      <c r="G86" s="34" t="str">
        <f>Source!DE36</f>
        <v>)*1,25</v>
      </c>
      <c r="H86" s="33">
        <f>ROUND(Source!AD36*Source!I36, 2)</f>
        <v>69.59</v>
      </c>
      <c r="I86" s="34"/>
      <c r="J86" s="34">
        <f>IF(Source!BB36&lt;&gt; 0, Source!BB36, 1)</f>
        <v>6.61</v>
      </c>
      <c r="K86" s="33">
        <f>Source!Q36</f>
        <v>460.01</v>
      </c>
      <c r="L86" s="35"/>
    </row>
    <row r="87" spans="1:26" ht="14.25" x14ac:dyDescent="0.2">
      <c r="A87" s="48"/>
      <c r="B87" s="49"/>
      <c r="C87" s="49" t="s">
        <v>309</v>
      </c>
      <c r="D87" s="32"/>
      <c r="E87" s="11"/>
      <c r="F87" s="33">
        <f>Source!AN36</f>
        <v>6.88</v>
      </c>
      <c r="G87" s="34" t="str">
        <f>Source!DF36</f>
        <v>)*1,25</v>
      </c>
      <c r="H87" s="36">
        <f>ROUND(Source!AE36*Source!I36, 2)</f>
        <v>13.54</v>
      </c>
      <c r="I87" s="34"/>
      <c r="J87" s="34">
        <f>IF(Source!BS36&lt;&gt; 0, Source!BS36, 1)</f>
        <v>6.61</v>
      </c>
      <c r="K87" s="36">
        <f>Source!R36</f>
        <v>89.5</v>
      </c>
      <c r="L87" s="35"/>
      <c r="R87">
        <f>H87</f>
        <v>13.54</v>
      </c>
    </row>
    <row r="88" spans="1:26" ht="14.25" x14ac:dyDescent="0.2">
      <c r="A88" s="48"/>
      <c r="B88" s="49"/>
      <c r="C88" s="49" t="s">
        <v>315</v>
      </c>
      <c r="D88" s="32"/>
      <c r="E88" s="11"/>
      <c r="F88" s="33">
        <f>Source!AL36</f>
        <v>0.36</v>
      </c>
      <c r="G88" s="34" t="str">
        <f>Source!DD36</f>
        <v/>
      </c>
      <c r="H88" s="33">
        <f>ROUND(Source!AC36*Source!I36, 2)</f>
        <v>0.56999999999999995</v>
      </c>
      <c r="I88" s="34"/>
      <c r="J88" s="34">
        <f>IF(Source!BC36&lt;&gt; 0, Source!BC36, 1)</f>
        <v>6.61</v>
      </c>
      <c r="K88" s="33">
        <f>Source!P36</f>
        <v>3.75</v>
      </c>
      <c r="L88" s="35"/>
    </row>
    <row r="89" spans="1:26" ht="14.25" x14ac:dyDescent="0.2">
      <c r="A89" s="48"/>
      <c r="B89" s="49"/>
      <c r="C89" s="49" t="s">
        <v>310</v>
      </c>
      <c r="D89" s="32" t="s">
        <v>311</v>
      </c>
      <c r="E89" s="11">
        <f>Source!BZ36</f>
        <v>105</v>
      </c>
      <c r="F89" s="72" t="str">
        <f>CONCATENATE(" )", Source!DL36, Source!FT36, "=", Source!FX36)</f>
        <v xml:space="preserve"> )*0,9=94,5</v>
      </c>
      <c r="G89" s="73"/>
      <c r="H89" s="33">
        <f>SUM(S83:S93)</f>
        <v>2627.67</v>
      </c>
      <c r="I89" s="37"/>
      <c r="J89" s="30">
        <f>Source!AT36</f>
        <v>95</v>
      </c>
      <c r="K89" s="33">
        <f>SUM(T83:T93)</f>
        <v>17460.759999999998</v>
      </c>
      <c r="L89" s="35"/>
    </row>
    <row r="90" spans="1:26" ht="14.25" x14ac:dyDescent="0.2">
      <c r="A90" s="48"/>
      <c r="B90" s="49"/>
      <c r="C90" s="49" t="s">
        <v>312</v>
      </c>
      <c r="D90" s="32" t="s">
        <v>311</v>
      </c>
      <c r="E90" s="11">
        <f>Source!CA36</f>
        <v>55</v>
      </c>
      <c r="F90" s="72" t="str">
        <f>CONCATENATE(" )", Source!DM36, Source!FU36, "=", Source!FY36)</f>
        <v xml:space="preserve"> )*0,85=46,75</v>
      </c>
      <c r="G90" s="73"/>
      <c r="H90" s="33">
        <f>SUM(U83:U93)</f>
        <v>1299.93</v>
      </c>
      <c r="I90" s="37"/>
      <c r="J90" s="30">
        <f>Source!AU36</f>
        <v>47</v>
      </c>
      <c r="K90" s="33">
        <f>SUM(V83:V93)</f>
        <v>8638.48</v>
      </c>
      <c r="L90" s="35"/>
    </row>
    <row r="91" spans="1:26" ht="14.25" x14ac:dyDescent="0.2">
      <c r="A91" s="48"/>
      <c r="B91" s="49"/>
      <c r="C91" s="49" t="s">
        <v>313</v>
      </c>
      <c r="D91" s="32" t="s">
        <v>314</v>
      </c>
      <c r="E91" s="11">
        <f>Source!AQ36</f>
        <v>166.47</v>
      </c>
      <c r="F91" s="33"/>
      <c r="G91" s="34" t="str">
        <f>Source!DI36</f>
        <v>)*1,15</v>
      </c>
      <c r="H91" s="33"/>
      <c r="I91" s="34"/>
      <c r="J91" s="34"/>
      <c r="K91" s="33"/>
      <c r="L91" s="44">
        <f>Source!U36</f>
        <v>301.42306724999997</v>
      </c>
    </row>
    <row r="92" spans="1:26" ht="39.75" x14ac:dyDescent="0.2">
      <c r="A92" s="48" t="str">
        <f>Source!E37</f>
        <v>6,1</v>
      </c>
      <c r="B92" s="49" t="str">
        <f>Source!F37</f>
        <v>Средняя коммерческая цена</v>
      </c>
      <c r="C92" s="49" t="s">
        <v>319</v>
      </c>
      <c r="D92" s="32" t="str">
        <f>Source!H37</f>
        <v>м2</v>
      </c>
      <c r="E92" s="11">
        <f>Source!I37</f>
        <v>165.32249999999999</v>
      </c>
      <c r="F92" s="33">
        <f>Source!AL37+Source!AM37+Source!AO37</f>
        <v>88.34</v>
      </c>
      <c r="G92" s="45" t="s">
        <v>3</v>
      </c>
      <c r="H92" s="33">
        <f>ROUND(Source!AC37*Source!I37, 2)+ROUND(Source!AD37*Source!I37, 2)+ROUND(Source!AF37*Source!I37, 2)</f>
        <v>14604.59</v>
      </c>
      <c r="I92" s="34"/>
      <c r="J92" s="34">
        <f>IF(Source!BC37&lt;&gt; 0, Source!BC37, 1)</f>
        <v>6.61</v>
      </c>
      <c r="K92" s="33">
        <f>Source!O37</f>
        <v>96536.34</v>
      </c>
      <c r="L92" s="35"/>
      <c r="S92">
        <f>ROUND((Source!FX37/100)*((ROUND(Source!AF37*Source!I37, 2)+ROUND(Source!AE37*Source!I37, 2))), 2)</f>
        <v>0</v>
      </c>
      <c r="T92">
        <f>Source!X37</f>
        <v>0</v>
      </c>
      <c r="U92">
        <f>ROUND((Source!FY37/100)*((ROUND(Source!AF37*Source!I37, 2)+ROUND(Source!AE37*Source!I37, 2))), 2)</f>
        <v>0</v>
      </c>
      <c r="V92">
        <f>Source!Y37</f>
        <v>0</v>
      </c>
      <c r="W92">
        <f>IF(Source!BI37&lt;=1,H92, 0)</f>
        <v>14604.59</v>
      </c>
      <c r="X92">
        <f>IF(Source!BI37=2,H92, 0)</f>
        <v>0</v>
      </c>
      <c r="Y92">
        <f>IF(Source!BI37=3,H92, 0)</f>
        <v>0</v>
      </c>
      <c r="Z92">
        <f>IF(Source!BI37=4,H92, 0)</f>
        <v>0</v>
      </c>
    </row>
    <row r="93" spans="1:26" ht="14.25" x14ac:dyDescent="0.2">
      <c r="A93" s="50" t="str">
        <f>Source!E38</f>
        <v>6,2</v>
      </c>
      <c r="B93" s="51" t="str">
        <f>Source!F38</f>
        <v>01.6.01.11</v>
      </c>
      <c r="C93" s="51" t="str">
        <f>Source!G38</f>
        <v>Листы облицовочные декоративные</v>
      </c>
      <c r="D93" s="38" t="str">
        <f>Source!H38</f>
        <v>м2</v>
      </c>
      <c r="E93" s="39">
        <f>Source!I38</f>
        <v>165.32249999999999</v>
      </c>
      <c r="F93" s="40">
        <f>Source!AL38+Source!AM38+Source!AO38</f>
        <v>0</v>
      </c>
      <c r="G93" s="46" t="s">
        <v>3</v>
      </c>
      <c r="H93" s="40">
        <f>ROUND(Source!AC38*Source!I38, 2)+ROUND(Source!AD38*Source!I38, 2)+ROUND(Source!AF38*Source!I38, 2)</f>
        <v>0</v>
      </c>
      <c r="I93" s="41"/>
      <c r="J93" s="41">
        <f>IF(Source!BC38&lt;&gt; 0, Source!BC38, 1)</f>
        <v>6.61</v>
      </c>
      <c r="K93" s="40">
        <f>Source!O38</f>
        <v>0</v>
      </c>
      <c r="L93" s="47"/>
      <c r="S93">
        <f>ROUND((Source!FX38/100)*((ROUND(Source!AF38*Source!I38, 2)+ROUND(Source!AE38*Source!I38, 2))), 2)</f>
        <v>0</v>
      </c>
      <c r="T93">
        <f>Source!X38</f>
        <v>0</v>
      </c>
      <c r="U93">
        <f>ROUND((Source!FY38/100)*((ROUND(Source!AF38*Source!I38, 2)+ROUND(Source!AE38*Source!I38, 2))), 2)</f>
        <v>0</v>
      </c>
      <c r="V93">
        <f>Source!Y38</f>
        <v>0</v>
      </c>
      <c r="W93">
        <f>IF(Source!BI38&lt;=1,H93, 0)</f>
        <v>0</v>
      </c>
      <c r="X93">
        <f>IF(Source!BI38=2,H93, 0)</f>
        <v>0</v>
      </c>
      <c r="Y93">
        <f>IF(Source!BI38=3,H93, 0)</f>
        <v>0</v>
      </c>
      <c r="Z93">
        <f>IF(Source!BI38=4,H93, 0)</f>
        <v>0</v>
      </c>
    </row>
    <row r="94" spans="1:26" ht="15" x14ac:dyDescent="0.25">
      <c r="G94" s="71">
        <f>H85+H86+H88+H89+H90+SUM(H92:H93)</f>
        <v>21369.41</v>
      </c>
      <c r="H94" s="71"/>
      <c r="J94" s="71">
        <f>K85+K86+K88+K89+K90+SUM(K92:K93)</f>
        <v>141389.59</v>
      </c>
      <c r="K94" s="71"/>
      <c r="L94" s="43">
        <f>Source!U36</f>
        <v>301.42306724999997</v>
      </c>
      <c r="O94" s="26">
        <f>G94</f>
        <v>21369.41</v>
      </c>
      <c r="P94" s="26">
        <f>J94</f>
        <v>141389.59</v>
      </c>
      <c r="Q94" s="26">
        <f>L94</f>
        <v>301.42306724999997</v>
      </c>
      <c r="W94">
        <f>IF(Source!BI36&lt;=1,H85+H86+H88+H89+H90, 0)</f>
        <v>6764.8200000000006</v>
      </c>
      <c r="X94">
        <f>IF(Source!BI36=2,H85+H86+H88+H89+H90, 0)</f>
        <v>0</v>
      </c>
      <c r="Y94">
        <f>IF(Source!BI36=3,H85+H86+H88+H89+H90, 0)</f>
        <v>0</v>
      </c>
      <c r="Z94">
        <f>IF(Source!BI36=4,H85+H86+H88+H89+H90, 0)</f>
        <v>0</v>
      </c>
    </row>
    <row r="95" spans="1:26" ht="14.25" x14ac:dyDescent="0.2">
      <c r="A95" s="48" t="str">
        <f>Source!E39</f>
        <v>7</v>
      </c>
      <c r="B95" s="49" t="str">
        <f>Source!F39</f>
        <v>10-01-036-01</v>
      </c>
      <c r="C95" s="49" t="str">
        <f>Source!G39</f>
        <v>Установка уголков ПВХ на клее</v>
      </c>
      <c r="D95" s="32" t="str">
        <f>Source!H39</f>
        <v>100 м</v>
      </c>
      <c r="E95" s="11">
        <f>Source!I39</f>
        <v>3.149</v>
      </c>
      <c r="F95" s="33">
        <f>Source!AL39+Source!AM39+Source!AO39</f>
        <v>93.15</v>
      </c>
      <c r="G95" s="34"/>
      <c r="H95" s="33"/>
      <c r="I95" s="34" t="str">
        <f>Source!BO39</f>
        <v/>
      </c>
      <c r="J95" s="34"/>
      <c r="K95" s="33"/>
      <c r="L95" s="35"/>
      <c r="S95">
        <f>ROUND((Source!FX39/100)*((ROUND(Source!AF39*Source!I39, 2)+ROUND(Source!AE39*Source!I39, 2))), 2)</f>
        <v>219.78</v>
      </c>
      <c r="T95">
        <f>Source!X39</f>
        <v>1450.03</v>
      </c>
      <c r="U95">
        <f>ROUND((Source!FY39/100)*((ROUND(Source!AF39*Source!I39, 2)+ROUND(Source!AE39*Source!I39, 2))), 2)</f>
        <v>110.82</v>
      </c>
      <c r="V95">
        <f>Source!Y39</f>
        <v>738.69</v>
      </c>
    </row>
    <row r="96" spans="1:26" x14ac:dyDescent="0.2">
      <c r="C96" s="25" t="str">
        <f>"Объем: "&amp;Source!I39&amp;"=314,9/"&amp;"100"</f>
        <v>Объем: 3,149=314,9/100</v>
      </c>
    </row>
    <row r="97" spans="1:26" ht="14.25" x14ac:dyDescent="0.2">
      <c r="A97" s="48"/>
      <c r="B97" s="49"/>
      <c r="C97" s="49" t="s">
        <v>308</v>
      </c>
      <c r="D97" s="32"/>
      <c r="E97" s="11"/>
      <c r="F97" s="33">
        <f>Source!AO39</f>
        <v>57.15</v>
      </c>
      <c r="G97" s="34" t="str">
        <f>Source!DG39</f>
        <v>)*1,15</v>
      </c>
      <c r="H97" s="33">
        <f>ROUND(Source!AF39*Source!I39, 2)</f>
        <v>206.95</v>
      </c>
      <c r="I97" s="34"/>
      <c r="J97" s="34">
        <f>IF(Source!BA39&lt;&gt; 0, Source!BA39, 1)</f>
        <v>6.61</v>
      </c>
      <c r="K97" s="33">
        <f>Source!S39</f>
        <v>1367.95</v>
      </c>
      <c r="L97" s="35"/>
      <c r="R97">
        <f>H97</f>
        <v>206.95</v>
      </c>
    </row>
    <row r="98" spans="1:26" ht="14.25" x14ac:dyDescent="0.2">
      <c r="A98" s="48"/>
      <c r="B98" s="49"/>
      <c r="C98" s="49" t="s">
        <v>315</v>
      </c>
      <c r="D98" s="32"/>
      <c r="E98" s="11"/>
      <c r="F98" s="33">
        <f>Source!AL39</f>
        <v>36</v>
      </c>
      <c r="G98" s="34" t="str">
        <f>Source!DD39</f>
        <v/>
      </c>
      <c r="H98" s="33">
        <f>ROUND(Source!AC39*Source!I39, 2)</f>
        <v>113.36</v>
      </c>
      <c r="I98" s="34"/>
      <c r="J98" s="34">
        <f>IF(Source!BC39&lt;&gt; 0, Source!BC39, 1)</f>
        <v>6.61</v>
      </c>
      <c r="K98" s="33">
        <f>Source!P39</f>
        <v>749.34</v>
      </c>
      <c r="L98" s="35"/>
    </row>
    <row r="99" spans="1:26" ht="14.25" x14ac:dyDescent="0.2">
      <c r="A99" s="48"/>
      <c r="B99" s="49"/>
      <c r="C99" s="49" t="s">
        <v>310</v>
      </c>
      <c r="D99" s="32" t="s">
        <v>311</v>
      </c>
      <c r="E99" s="11">
        <f>Source!BZ39</f>
        <v>118</v>
      </c>
      <c r="F99" s="72" t="str">
        <f>CONCATENATE(" )", Source!DL39, Source!FT39, "=", Source!FX39)</f>
        <v xml:space="preserve"> )*0,9=106,2</v>
      </c>
      <c r="G99" s="73"/>
      <c r="H99" s="33">
        <f>SUM(S95:S103)</f>
        <v>219.78</v>
      </c>
      <c r="I99" s="37"/>
      <c r="J99" s="30">
        <f>Source!AT39</f>
        <v>106</v>
      </c>
      <c r="K99" s="33">
        <f>SUM(T95:T103)</f>
        <v>1450.03</v>
      </c>
      <c r="L99" s="35"/>
    </row>
    <row r="100" spans="1:26" ht="14.25" x14ac:dyDescent="0.2">
      <c r="A100" s="48"/>
      <c r="B100" s="49"/>
      <c r="C100" s="49" t="s">
        <v>312</v>
      </c>
      <c r="D100" s="32" t="s">
        <v>311</v>
      </c>
      <c r="E100" s="11">
        <f>Source!CA39</f>
        <v>63</v>
      </c>
      <c r="F100" s="72" t="str">
        <f>CONCATENATE(" )", Source!DM39, Source!FU39, "=", Source!FY39)</f>
        <v xml:space="preserve"> )*0,85=53,55</v>
      </c>
      <c r="G100" s="73"/>
      <c r="H100" s="33">
        <f>SUM(U95:U103)</f>
        <v>110.82</v>
      </c>
      <c r="I100" s="37"/>
      <c r="J100" s="30">
        <f>Source!AU39</f>
        <v>54</v>
      </c>
      <c r="K100" s="33">
        <f>SUM(V95:V103)</f>
        <v>738.69</v>
      </c>
      <c r="L100" s="35"/>
    </row>
    <row r="101" spans="1:26" ht="14.25" x14ac:dyDescent="0.2">
      <c r="A101" s="48"/>
      <c r="B101" s="49"/>
      <c r="C101" s="49" t="s">
        <v>313</v>
      </c>
      <c r="D101" s="32" t="s">
        <v>314</v>
      </c>
      <c r="E101" s="11">
        <f>Source!AQ39</f>
        <v>6.7</v>
      </c>
      <c r="F101" s="33"/>
      <c r="G101" s="34" t="str">
        <f>Source!DI39</f>
        <v>)*1,15</v>
      </c>
      <c r="H101" s="33"/>
      <c r="I101" s="34"/>
      <c r="J101" s="34"/>
      <c r="K101" s="33"/>
      <c r="L101" s="44">
        <f>Source!U39</f>
        <v>24.263044999999998</v>
      </c>
    </row>
    <row r="102" spans="1:26" ht="54" x14ac:dyDescent="0.2">
      <c r="A102" s="48" t="str">
        <f>Source!E40</f>
        <v>7,1</v>
      </c>
      <c r="B102" s="49" t="str">
        <f>Source!F40</f>
        <v>Средняя коммерческая цена</v>
      </c>
      <c r="C102" s="49" t="s">
        <v>320</v>
      </c>
      <c r="D102" s="32" t="str">
        <f>Source!H40</f>
        <v>м</v>
      </c>
      <c r="E102" s="11">
        <f>Source!I40</f>
        <v>314.89999999999998</v>
      </c>
      <c r="F102" s="33">
        <f>Source!AL40+Source!AM40+Source!AO40</f>
        <v>7.73</v>
      </c>
      <c r="G102" s="45" t="s">
        <v>3</v>
      </c>
      <c r="H102" s="33">
        <f>ROUND(Source!AC40*Source!I40, 2)+ROUND(Source!AD40*Source!I40, 2)+ROUND(Source!AF40*Source!I40, 2)</f>
        <v>2434.1799999999998</v>
      </c>
      <c r="I102" s="34"/>
      <c r="J102" s="34">
        <f>IF(Source!BC40&lt;&gt; 0, Source!BC40, 1)</f>
        <v>6.61</v>
      </c>
      <c r="K102" s="33">
        <f>Source!O40</f>
        <v>16089.91</v>
      </c>
      <c r="L102" s="35"/>
      <c r="S102">
        <f>ROUND((Source!FX40/100)*((ROUND(Source!AF40*Source!I40, 2)+ROUND(Source!AE40*Source!I40, 2))), 2)</f>
        <v>0</v>
      </c>
      <c r="T102">
        <f>Source!X40</f>
        <v>0</v>
      </c>
      <c r="U102">
        <f>ROUND((Source!FY40/100)*((ROUND(Source!AF40*Source!I40, 2)+ROUND(Source!AE40*Source!I40, 2))), 2)</f>
        <v>0</v>
      </c>
      <c r="V102">
        <f>Source!Y40</f>
        <v>0</v>
      </c>
      <c r="W102">
        <f>IF(Source!BI40&lt;=1,H102, 0)</f>
        <v>2434.1799999999998</v>
      </c>
      <c r="X102">
        <f>IF(Source!BI40=2,H102, 0)</f>
        <v>0</v>
      </c>
      <c r="Y102">
        <f>IF(Source!BI40=3,H102, 0)</f>
        <v>0</v>
      </c>
      <c r="Z102">
        <f>IF(Source!BI40=4,H102, 0)</f>
        <v>0</v>
      </c>
    </row>
    <row r="103" spans="1:26" ht="14.25" x14ac:dyDescent="0.2">
      <c r="A103" s="50" t="str">
        <f>Source!E41</f>
        <v>7,2</v>
      </c>
      <c r="B103" s="51" t="str">
        <f>Source!F41</f>
        <v>11.3.03.13</v>
      </c>
      <c r="C103" s="51" t="str">
        <f>Source!G41</f>
        <v>Уголок ПВХ</v>
      </c>
      <c r="D103" s="38" t="str">
        <f>Source!H41</f>
        <v>П.М</v>
      </c>
      <c r="E103" s="39">
        <f>Source!I41</f>
        <v>314.89999999999998</v>
      </c>
      <c r="F103" s="40">
        <f>Source!AL41+Source!AM41+Source!AO41</f>
        <v>0</v>
      </c>
      <c r="G103" s="46" t="s">
        <v>3</v>
      </c>
      <c r="H103" s="40">
        <f>ROUND(Source!AC41*Source!I41, 2)+ROUND(Source!AD41*Source!I41, 2)+ROUND(Source!AF41*Source!I41, 2)</f>
        <v>0</v>
      </c>
      <c r="I103" s="41"/>
      <c r="J103" s="41">
        <f>IF(Source!BC41&lt;&gt; 0, Source!BC41, 1)</f>
        <v>6.61</v>
      </c>
      <c r="K103" s="40">
        <f>Source!O41</f>
        <v>0</v>
      </c>
      <c r="L103" s="47"/>
      <c r="S103">
        <f>ROUND((Source!FX41/100)*((ROUND(Source!AF41*Source!I41, 2)+ROUND(Source!AE41*Source!I41, 2))), 2)</f>
        <v>0</v>
      </c>
      <c r="T103">
        <f>Source!X41</f>
        <v>0</v>
      </c>
      <c r="U103">
        <f>ROUND((Source!FY41/100)*((ROUND(Source!AF41*Source!I41, 2)+ROUND(Source!AE41*Source!I41, 2))), 2)</f>
        <v>0</v>
      </c>
      <c r="V103">
        <f>Source!Y41</f>
        <v>0</v>
      </c>
      <c r="W103">
        <f>IF(Source!BI41&lt;=1,H103, 0)</f>
        <v>0</v>
      </c>
      <c r="X103">
        <f>IF(Source!BI41=2,H103, 0)</f>
        <v>0</v>
      </c>
      <c r="Y103">
        <f>IF(Source!BI41=3,H103, 0)</f>
        <v>0</v>
      </c>
      <c r="Z103">
        <f>IF(Source!BI41=4,H103, 0)</f>
        <v>0</v>
      </c>
    </row>
    <row r="104" spans="1:26" ht="15" x14ac:dyDescent="0.25">
      <c r="G104" s="71">
        <f>H97+H98+H99+H100+SUM(H102:H103)</f>
        <v>3085.09</v>
      </c>
      <c r="H104" s="71"/>
      <c r="J104" s="71">
        <f>K97+K98+K99+K100+SUM(K102:K103)</f>
        <v>20395.919999999998</v>
      </c>
      <c r="K104" s="71"/>
      <c r="L104" s="43">
        <f>Source!U39</f>
        <v>24.263044999999998</v>
      </c>
      <c r="O104" s="26">
        <f>G104</f>
        <v>3085.09</v>
      </c>
      <c r="P104" s="26">
        <f>J104</f>
        <v>20395.919999999998</v>
      </c>
      <c r="Q104" s="26">
        <f>L104</f>
        <v>24.263044999999998</v>
      </c>
      <c r="W104">
        <f>IF(Source!BI39&lt;=1,H97+H98+H99+H100, 0)</f>
        <v>650.91000000000008</v>
      </c>
      <c r="X104">
        <f>IF(Source!BI39=2,H97+H98+H99+H100, 0)</f>
        <v>0</v>
      </c>
      <c r="Y104">
        <f>IF(Source!BI39=3,H97+H98+H99+H100, 0)</f>
        <v>0</v>
      </c>
      <c r="Z104">
        <f>IF(Source!BI39=4,H97+H98+H99+H100, 0)</f>
        <v>0</v>
      </c>
    </row>
    <row r="105" spans="1:26" ht="15" x14ac:dyDescent="0.25">
      <c r="A105" s="75" t="str">
        <f>CONCATENATE("Итого по локальной смете: ",IF(Source!G43&lt;&gt;"Новая локальная смета", Source!G43, ""))</f>
        <v xml:space="preserve">Итого по локальной смете: </v>
      </c>
      <c r="B105" s="75"/>
      <c r="C105" s="75"/>
      <c r="D105" s="75"/>
      <c r="E105" s="75"/>
      <c r="F105" s="75"/>
      <c r="G105" s="74">
        <f>SUM(O27:O104)</f>
        <v>268584.11000000004</v>
      </c>
      <c r="H105" s="74"/>
      <c r="I105" s="29"/>
      <c r="J105" s="74">
        <f>SUM(P27:P104)</f>
        <v>1775696.95</v>
      </c>
      <c r="K105" s="74"/>
      <c r="L105" s="43">
        <f>SUM(Q27:Q104)</f>
        <v>1321.2653982499999</v>
      </c>
    </row>
    <row r="106" spans="1:26" ht="15" x14ac:dyDescent="0.25">
      <c r="C106" s="75" t="str">
        <f>Source!H71</f>
        <v>Итого</v>
      </c>
      <c r="D106" s="75"/>
      <c r="E106" s="75"/>
      <c r="F106" s="75"/>
      <c r="G106" s="75"/>
      <c r="H106" s="75"/>
      <c r="I106" s="75"/>
      <c r="J106" s="74">
        <f>IF(Source!F71=0, "", Source!F71)</f>
        <v>1775696.95</v>
      </c>
      <c r="K106" s="74"/>
    </row>
    <row r="107" spans="1:26" ht="14.25" x14ac:dyDescent="0.2">
      <c r="C107" s="80" t="str">
        <f>Source!H72</f>
        <v>НДС 18%</v>
      </c>
      <c r="D107" s="80"/>
      <c r="E107" s="80"/>
      <c r="F107" s="80"/>
      <c r="G107" s="80"/>
      <c r="H107" s="80"/>
      <c r="I107" s="80"/>
      <c r="J107" s="77">
        <f>IF(Source!F72=0, "", Source!F72)</f>
        <v>319625.45</v>
      </c>
      <c r="K107" s="77"/>
    </row>
    <row r="108" spans="1:26" ht="15" x14ac:dyDescent="0.25">
      <c r="C108" s="75" t="str">
        <f>Source!H73</f>
        <v>Всего</v>
      </c>
      <c r="D108" s="75"/>
      <c r="E108" s="75"/>
      <c r="F108" s="75"/>
      <c r="G108" s="75"/>
      <c r="H108" s="75"/>
      <c r="I108" s="75"/>
      <c r="J108" s="74">
        <f>IF(Source!F73=0, "", Source!F73)</f>
        <v>2095322.4</v>
      </c>
      <c r="K108" s="74"/>
    </row>
    <row r="111" spans="1:26" ht="14.25" x14ac:dyDescent="0.2">
      <c r="A111" s="28" t="s">
        <v>321</v>
      </c>
      <c r="B111" s="28"/>
      <c r="C111" s="11" t="s">
        <v>322</v>
      </c>
      <c r="D111" s="79" t="s">
        <v>403</v>
      </c>
      <c r="E111" s="79"/>
      <c r="F111" s="79"/>
      <c r="G111" s="79"/>
      <c r="H111" s="79"/>
      <c r="I111" s="79"/>
      <c r="J111" s="12"/>
      <c r="K111" s="12"/>
      <c r="L111" s="12"/>
    </row>
    <row r="112" spans="1:26" ht="14.25" x14ac:dyDescent="0.2">
      <c r="A112" s="12"/>
      <c r="B112" s="12"/>
      <c r="C112" s="11"/>
      <c r="D112" s="158" t="s">
        <v>323</v>
      </c>
      <c r="E112" s="158"/>
      <c r="F112" s="158"/>
      <c r="G112" s="158"/>
      <c r="H112" s="158"/>
      <c r="I112" s="12"/>
      <c r="J112" s="12"/>
      <c r="K112" s="12"/>
      <c r="L112" s="12"/>
    </row>
    <row r="113" spans="1:12" ht="14.25" x14ac:dyDescent="0.2">
      <c r="A113" s="12"/>
      <c r="B113" s="12"/>
      <c r="C113" s="11"/>
      <c r="D113" s="12"/>
      <c r="E113" s="12"/>
      <c r="F113" s="12"/>
      <c r="G113" s="12"/>
      <c r="H113" s="12"/>
      <c r="I113" s="12"/>
      <c r="J113" s="12"/>
      <c r="K113" s="12"/>
      <c r="L113" s="12"/>
    </row>
    <row r="114" spans="1:12" ht="14.25" x14ac:dyDescent="0.2">
      <c r="A114" s="28" t="s">
        <v>321</v>
      </c>
      <c r="B114" s="28"/>
      <c r="C114" s="11" t="s">
        <v>324</v>
      </c>
      <c r="D114" s="79" t="str">
        <f>IF(Source!AE12&lt;&gt;"", Source!AE12," ")</f>
        <v xml:space="preserve"> </v>
      </c>
      <c r="E114" s="79"/>
      <c r="F114" s="79"/>
      <c r="G114" s="79"/>
      <c r="H114" s="79"/>
      <c r="I114" s="79"/>
      <c r="J114" s="12"/>
      <c r="K114" s="12"/>
      <c r="L114" s="12"/>
    </row>
    <row r="115" spans="1:12" ht="14.25" x14ac:dyDescent="0.2">
      <c r="A115" s="12"/>
      <c r="B115" s="12"/>
      <c r="C115" s="12"/>
      <c r="D115" s="158" t="s">
        <v>323</v>
      </c>
      <c r="E115" s="158"/>
      <c r="F115" s="158"/>
      <c r="G115" s="158"/>
      <c r="H115" s="158"/>
      <c r="I115" s="12"/>
      <c r="J115" s="12"/>
      <c r="K115" s="12"/>
      <c r="L115" s="12"/>
    </row>
  </sheetData>
  <mergeCells count="81">
    <mergeCell ref="D111:I111"/>
    <mergeCell ref="D114:I114"/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2:K12"/>
    <mergeCell ref="B14:K14"/>
    <mergeCell ref="G15:H15"/>
    <mergeCell ref="I15:J15"/>
    <mergeCell ref="C16:F16"/>
    <mergeCell ref="G16:H16"/>
    <mergeCell ref="I16:J16"/>
    <mergeCell ref="K16:L16"/>
    <mergeCell ref="C17:F17"/>
    <mergeCell ref="G17:H17"/>
    <mergeCell ref="I17:J17"/>
    <mergeCell ref="K17:L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D115:H115"/>
    <mergeCell ref="C22:F22"/>
    <mergeCell ref="G22:H22"/>
    <mergeCell ref="I22:J22"/>
    <mergeCell ref="K22:L22"/>
    <mergeCell ref="A24:L24"/>
    <mergeCell ref="C106:I106"/>
    <mergeCell ref="J106:K106"/>
    <mergeCell ref="G104:H104"/>
    <mergeCell ref="F100:G100"/>
    <mergeCell ref="F99:G99"/>
    <mergeCell ref="C107:I107"/>
    <mergeCell ref="J107:K107"/>
    <mergeCell ref="C108:I108"/>
    <mergeCell ref="J108:K108"/>
    <mergeCell ref="D112:H112"/>
    <mergeCell ref="J70:K70"/>
    <mergeCell ref="G70:H70"/>
    <mergeCell ref="J58:K58"/>
    <mergeCell ref="G58:H58"/>
    <mergeCell ref="J94:K94"/>
    <mergeCell ref="G94:H94"/>
    <mergeCell ref="F90:G90"/>
    <mergeCell ref="F89:G89"/>
    <mergeCell ref="J82:K82"/>
    <mergeCell ref="G82:H82"/>
    <mergeCell ref="J35:K35"/>
    <mergeCell ref="G35:H35"/>
    <mergeCell ref="F33:G33"/>
    <mergeCell ref="F32:G32"/>
    <mergeCell ref="G105:H105"/>
    <mergeCell ref="J105:K105"/>
    <mergeCell ref="A105:F105"/>
    <mergeCell ref="J104:K104"/>
    <mergeCell ref="F55:G55"/>
    <mergeCell ref="F54:G54"/>
    <mergeCell ref="J47:K47"/>
    <mergeCell ref="G47:H47"/>
    <mergeCell ref="F43:G43"/>
    <mergeCell ref="F42:G42"/>
    <mergeCell ref="F78:G78"/>
    <mergeCell ref="F77:G77"/>
  </mergeCells>
  <pageMargins left="0.4" right="0.2" top="0.2" bottom="0.4" header="0.2" footer="0.2"/>
  <pageSetup paperSize="256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3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9"/>
      <c r="B2" s="29"/>
      <c r="C2" s="29"/>
      <c r="D2" s="29"/>
      <c r="E2" s="111" t="s">
        <v>325</v>
      </c>
      <c r="F2" s="111"/>
      <c r="G2" s="111"/>
      <c r="H2" s="111"/>
    </row>
    <row r="3" spans="1:31" ht="14.25" x14ac:dyDescent="0.2">
      <c r="A3" s="12"/>
      <c r="B3" s="12"/>
      <c r="C3" s="12"/>
      <c r="D3" s="12"/>
      <c r="E3" s="111" t="s">
        <v>326</v>
      </c>
      <c r="F3" s="111"/>
      <c r="G3" s="111"/>
      <c r="H3" s="111"/>
    </row>
    <row r="4" spans="1:31" ht="14.25" x14ac:dyDescent="0.2">
      <c r="A4" s="12"/>
      <c r="B4" s="12"/>
      <c r="C4" s="12"/>
      <c r="D4" s="12"/>
      <c r="E4" s="111" t="s">
        <v>327</v>
      </c>
      <c r="F4" s="111"/>
      <c r="G4" s="111"/>
      <c r="H4" s="111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95" t="s">
        <v>328</v>
      </c>
      <c r="H6" s="96"/>
    </row>
    <row r="7" spans="1:31" ht="14.25" x14ac:dyDescent="0.2">
      <c r="A7" s="12"/>
      <c r="B7" s="12"/>
      <c r="C7" s="12"/>
      <c r="D7" s="12"/>
      <c r="E7" s="12"/>
      <c r="F7" s="11" t="s">
        <v>329</v>
      </c>
      <c r="G7" s="112" t="s">
        <v>330</v>
      </c>
      <c r="H7" s="96"/>
    </row>
    <row r="8" spans="1:31" ht="14.25" x14ac:dyDescent="0.2">
      <c r="A8" s="12"/>
      <c r="B8" s="12"/>
      <c r="C8" s="12"/>
      <c r="D8" s="12"/>
      <c r="E8" s="12"/>
      <c r="F8" s="12"/>
      <c r="G8" s="95" t="str">
        <f>IF(Source!AT15 &lt;&gt; "", Source!AT15, "")</f>
        <v/>
      </c>
      <c r="H8" s="96"/>
    </row>
    <row r="9" spans="1:31" ht="14.25" x14ac:dyDescent="0.2">
      <c r="A9" s="12" t="s">
        <v>331</v>
      </c>
      <c r="B9" s="12"/>
      <c r="C9" s="108" t="str">
        <f>IF(Source!BA15 &lt;&gt; "", Source!BA15, IF(Source!AU15 &lt;&gt; "", Source!AU15, ""))</f>
        <v/>
      </c>
      <c r="D9" s="108"/>
      <c r="E9" s="108"/>
      <c r="F9" s="11" t="s">
        <v>332</v>
      </c>
      <c r="G9" s="106"/>
      <c r="H9" s="107"/>
    </row>
    <row r="10" spans="1:31" ht="14.25" x14ac:dyDescent="0.2">
      <c r="A10" s="12"/>
      <c r="B10" s="12"/>
      <c r="C10" s="93" t="s">
        <v>333</v>
      </c>
      <c r="D10" s="93"/>
      <c r="E10" s="93"/>
      <c r="F10" s="12"/>
      <c r="G10" s="95" t="str">
        <f>IF(Source!AK15 &lt;&gt; "", Source!AK15, "")</f>
        <v/>
      </c>
      <c r="H10" s="96"/>
    </row>
    <row r="11" spans="1:31" ht="14.25" x14ac:dyDescent="0.2">
      <c r="A11" s="12" t="s">
        <v>334</v>
      </c>
      <c r="B11" s="12"/>
      <c r="C11" s="108" t="str">
        <f>IF(Source!AX12&lt;&gt; "", Source!AX12, IF(Source!AJ12 &lt;&gt; "", Source!AJ12, ""))</f>
        <v/>
      </c>
      <c r="D11" s="108"/>
      <c r="E11" s="108"/>
      <c r="F11" s="11" t="s">
        <v>332</v>
      </c>
      <c r="G11" s="106"/>
      <c r="H11" s="107"/>
    </row>
    <row r="12" spans="1:31" ht="14.25" x14ac:dyDescent="0.2">
      <c r="A12" s="12"/>
      <c r="B12" s="12"/>
      <c r="C12" s="93" t="s">
        <v>333</v>
      </c>
      <c r="D12" s="93"/>
      <c r="E12" s="93"/>
      <c r="F12" s="12"/>
      <c r="G12" s="95" t="str">
        <f>IF(Source!AO15 &lt;&gt; "", Source!AO15, "")</f>
        <v/>
      </c>
      <c r="H12" s="96"/>
    </row>
    <row r="13" spans="1:31" ht="14.25" x14ac:dyDescent="0.2">
      <c r="A13" s="12" t="s">
        <v>335</v>
      </c>
      <c r="B13" s="12"/>
      <c r="C13" s="108" t="str">
        <f>IF(Source!AY12&lt;&gt; "", Source!AY12, IF(Source!AN12 &lt;&gt; "", Source!AN12, ""))</f>
        <v/>
      </c>
      <c r="D13" s="108"/>
      <c r="E13" s="108"/>
      <c r="F13" s="11" t="s">
        <v>332</v>
      </c>
      <c r="G13" s="106"/>
      <c r="H13" s="107"/>
    </row>
    <row r="14" spans="1:31" ht="14.25" x14ac:dyDescent="0.2">
      <c r="A14" s="12"/>
      <c r="B14" s="12"/>
      <c r="C14" s="93" t="s">
        <v>333</v>
      </c>
      <c r="D14" s="93"/>
      <c r="E14" s="93"/>
      <c r="F14" s="12"/>
      <c r="G14" s="95" t="str">
        <f>IF(Source!CO15 &lt;&gt; "", Source!CO15, "")</f>
        <v/>
      </c>
      <c r="H14" s="96"/>
    </row>
    <row r="15" spans="1:31" ht="114" x14ac:dyDescent="0.2">
      <c r="A15" s="12" t="s">
        <v>336</v>
      </c>
      <c r="B15" s="12"/>
      <c r="C15" s="108" t="s">
        <v>279</v>
      </c>
      <c r="D15" s="108"/>
      <c r="E15" s="108"/>
      <c r="F15" s="12"/>
      <c r="G15" s="106"/>
      <c r="H15" s="107"/>
      <c r="AE15" s="31" t="s">
        <v>279</v>
      </c>
    </row>
    <row r="16" spans="1:31" ht="14.25" x14ac:dyDescent="0.2">
      <c r="A16" s="12"/>
      <c r="B16" s="12"/>
      <c r="C16" s="93" t="s">
        <v>337</v>
      </c>
      <c r="D16" s="93"/>
      <c r="E16" s="93"/>
      <c r="F16" s="12"/>
      <c r="G16" s="95" t="str">
        <f>IF(Source!CP15 &lt;&gt; "", Source!CP15, "")</f>
        <v/>
      </c>
      <c r="H16" s="96"/>
    </row>
    <row r="17" spans="1:31" ht="114" x14ac:dyDescent="0.2">
      <c r="A17" s="12" t="s">
        <v>338</v>
      </c>
      <c r="B17" s="12"/>
      <c r="C17" s="108" t="str">
        <f>IF(Source!G12&lt;&gt;"Новый объект", Source!G12, "")</f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  <c r="D17" s="108"/>
      <c r="E17" s="108"/>
      <c r="F17" s="12"/>
      <c r="G17" s="109"/>
      <c r="H17" s="110"/>
      <c r="AE17" s="31" t="str">
        <f>IF(Source!G12&lt;&gt;"Новый объект", Source!G12, "")</f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</row>
    <row r="18" spans="1:31" ht="14.25" x14ac:dyDescent="0.2">
      <c r="A18" s="12"/>
      <c r="B18" s="12"/>
      <c r="C18" s="93" t="s">
        <v>339</v>
      </c>
      <c r="D18" s="93"/>
      <c r="E18" s="93"/>
      <c r="F18" s="12"/>
      <c r="G18" s="12"/>
      <c r="H18" s="12"/>
    </row>
    <row r="19" spans="1:31" ht="14.25" x14ac:dyDescent="0.2">
      <c r="A19" s="12"/>
      <c r="B19" s="12"/>
      <c r="C19" s="12"/>
      <c r="D19" s="81" t="s">
        <v>340</v>
      </c>
      <c r="E19" s="81"/>
      <c r="F19" s="94"/>
      <c r="G19" s="95" t="str">
        <f>IF(Source!CQ15 &lt;&gt; "", Source!CQ15, "")</f>
        <v/>
      </c>
      <c r="H19" s="96"/>
    </row>
    <row r="20" spans="1:31" ht="14.25" x14ac:dyDescent="0.2">
      <c r="A20" s="12"/>
      <c r="B20" s="12"/>
      <c r="C20" s="12"/>
      <c r="D20" s="81" t="s">
        <v>341</v>
      </c>
      <c r="E20" s="94"/>
      <c r="F20" s="54" t="s">
        <v>342</v>
      </c>
      <c r="G20" s="95" t="str">
        <f>IF(Source!CR15 &lt;&gt; "", Source!CR15, "")</f>
        <v/>
      </c>
      <c r="H20" s="96"/>
    </row>
    <row r="21" spans="1:31" ht="14.25" x14ac:dyDescent="0.2">
      <c r="A21" s="12"/>
      <c r="B21" s="12"/>
      <c r="C21" s="12"/>
      <c r="D21" s="12"/>
      <c r="E21" s="12"/>
      <c r="F21" s="22" t="s">
        <v>343</v>
      </c>
      <c r="G21" s="97" t="str">
        <f>IF(Source!CS15 &lt;&gt; 0, Source!CS15, "")</f>
        <v/>
      </c>
      <c r="H21" s="98"/>
    </row>
    <row r="22" spans="1:31" ht="14.25" x14ac:dyDescent="0.2">
      <c r="A22" s="12"/>
      <c r="B22" s="12"/>
      <c r="C22" s="12"/>
      <c r="D22" s="12"/>
      <c r="E22" s="12"/>
      <c r="F22" s="11" t="s">
        <v>344</v>
      </c>
      <c r="G22" s="99" t="str">
        <f>IF(Source!CT15 &lt;&gt; "", Source!CT15, "")</f>
        <v/>
      </c>
      <c r="H22" s="100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101" t="s">
        <v>345</v>
      </c>
      <c r="E24" s="103" t="s">
        <v>346</v>
      </c>
      <c r="F24" s="103" t="s">
        <v>347</v>
      </c>
      <c r="G24" s="105"/>
      <c r="H24" s="12"/>
    </row>
    <row r="25" spans="1:31" ht="14.25" x14ac:dyDescent="0.2">
      <c r="A25" s="12"/>
      <c r="B25" s="12"/>
      <c r="C25" s="12"/>
      <c r="D25" s="102"/>
      <c r="E25" s="104"/>
      <c r="F25" s="55" t="s">
        <v>348</v>
      </c>
      <c r="G25" s="56" t="s">
        <v>349</v>
      </c>
      <c r="H25" s="12"/>
    </row>
    <row r="26" spans="1:31" ht="14.25" x14ac:dyDescent="0.2">
      <c r="A26" s="12"/>
      <c r="B26" s="12"/>
      <c r="C26" s="12"/>
      <c r="D26" s="57" t="str">
        <f>IF(Source!CN15 &lt;&gt; "", Source!CN15, "")</f>
        <v/>
      </c>
      <c r="E26" s="58">
        <v>43195.696504629632</v>
      </c>
      <c r="F26" s="57"/>
      <c r="G26" s="59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2" t="s">
        <v>350</v>
      </c>
      <c r="B28" s="92"/>
      <c r="C28" s="92"/>
      <c r="D28" s="92"/>
      <c r="E28" s="92"/>
      <c r="F28" s="92"/>
      <c r="G28" s="92"/>
      <c r="H28" s="92"/>
    </row>
    <row r="29" spans="1:31" ht="18" x14ac:dyDescent="0.25">
      <c r="A29" s="92" t="s">
        <v>351</v>
      </c>
      <c r="B29" s="92"/>
      <c r="C29" s="92"/>
      <c r="D29" s="92"/>
      <c r="E29" s="92"/>
      <c r="F29" s="92"/>
      <c r="G29" s="92"/>
      <c r="H29" s="92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352</v>
      </c>
      <c r="B31" s="12"/>
      <c r="C31" s="12"/>
      <c r="D31" s="12"/>
      <c r="E31" s="12"/>
      <c r="F31" s="90">
        <f>(Source!F73/1000)</f>
        <v>2095.3224</v>
      </c>
      <c r="G31" s="90"/>
      <c r="H31" s="12" t="s">
        <v>353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1" t="s">
        <v>354</v>
      </c>
      <c r="B33" s="91"/>
      <c r="C33" s="91" t="s">
        <v>355</v>
      </c>
      <c r="D33" s="91" t="s">
        <v>356</v>
      </c>
      <c r="E33" s="91" t="s">
        <v>357</v>
      </c>
      <c r="F33" s="91" t="s">
        <v>358</v>
      </c>
      <c r="G33" s="91"/>
      <c r="H33" s="91"/>
    </row>
    <row r="34" spans="1:28" ht="57" x14ac:dyDescent="0.2">
      <c r="A34" s="21" t="s">
        <v>359</v>
      </c>
      <c r="B34" s="21" t="s">
        <v>360</v>
      </c>
      <c r="C34" s="91"/>
      <c r="D34" s="91"/>
      <c r="E34" s="91"/>
      <c r="F34" s="21" t="s">
        <v>361</v>
      </c>
      <c r="G34" s="21" t="s">
        <v>362</v>
      </c>
      <c r="H34" s="21" t="s">
        <v>363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6" spans="1:28" ht="42.75" x14ac:dyDescent="0.2">
      <c r="A36" s="49">
        <v>1</v>
      </c>
      <c r="B36" s="49" t="str">
        <f>Source!E24</f>
        <v>1</v>
      </c>
      <c r="C36" s="49" t="str">
        <f>Source!G24</f>
        <v>Разборка деревянных заполнений проемов оконных с подоконными досками</v>
      </c>
      <c r="D36" s="49" t="str">
        <f>Source!F24</f>
        <v>46-04-012-01</v>
      </c>
      <c r="E36" s="34" t="str">
        <f>Source!H24</f>
        <v>100 м2</v>
      </c>
      <c r="F36" s="12">
        <f>Source!I24</f>
        <v>2.4674999999999998</v>
      </c>
      <c r="G36" s="24">
        <f>Source!AB24</f>
        <v>1767.24</v>
      </c>
      <c r="H36" s="24">
        <f>Source!O24</f>
        <v>28824</v>
      </c>
      <c r="T36">
        <f>Source!O24+Source!X24+Source!Y24</f>
        <v>71089.38</v>
      </c>
      <c r="U36">
        <f>Source!P24</f>
        <v>0</v>
      </c>
      <c r="V36">
        <f>Source!S24</f>
        <v>24877.75</v>
      </c>
      <c r="W36">
        <f>Source!Q24</f>
        <v>3946.25</v>
      </c>
      <c r="X36">
        <f>Source!R24</f>
        <v>1704.25</v>
      </c>
      <c r="Y36">
        <f>Source!U24</f>
        <v>465.22244999999992</v>
      </c>
      <c r="Z36">
        <f>Source!V24</f>
        <v>19.09845</v>
      </c>
      <c r="AA36">
        <f>Source!X24</f>
        <v>26316.18</v>
      </c>
      <c r="AB36">
        <f>Source!Y24</f>
        <v>15949.2</v>
      </c>
    </row>
    <row r="37" spans="1:28" ht="14.25" x14ac:dyDescent="0.2">
      <c r="C37" s="25" t="s">
        <v>364</v>
      </c>
      <c r="D37" s="25">
        <f>Source!BA24</f>
        <v>6.61</v>
      </c>
      <c r="F37" s="12"/>
      <c r="G37" s="12"/>
      <c r="H37" s="12"/>
    </row>
    <row r="38" spans="1:28" x14ac:dyDescent="0.2">
      <c r="C38" s="25" t="s">
        <v>365</v>
      </c>
      <c r="D38" s="25">
        <f>Source!BB24</f>
        <v>6.61</v>
      </c>
    </row>
    <row r="39" spans="1:28" x14ac:dyDescent="0.2">
      <c r="C39" s="25" t="s">
        <v>366</v>
      </c>
      <c r="D39" s="25">
        <f>Source!BC24</f>
        <v>6.61</v>
      </c>
    </row>
    <row r="40" spans="1:28" x14ac:dyDescent="0.2">
      <c r="C40" s="25" t="s">
        <v>367</v>
      </c>
      <c r="D40" s="25">
        <f>Source!BS24</f>
        <v>6.61</v>
      </c>
    </row>
    <row r="41" spans="1:28" x14ac:dyDescent="0.2">
      <c r="C41" s="9" t="s">
        <v>368</v>
      </c>
      <c r="D41" s="37"/>
      <c r="E41" s="37"/>
      <c r="F41" s="37">
        <f>Source!BZ24</f>
        <v>110</v>
      </c>
      <c r="G41" s="60">
        <f>(Source!AF24+Source!AE24)*Source!FX24/100</f>
        <v>1613.4821999999999</v>
      </c>
      <c r="H41" s="60">
        <f>Source!X24</f>
        <v>26316.18</v>
      </c>
    </row>
    <row r="42" spans="1:28" x14ac:dyDescent="0.2">
      <c r="C42" s="9" t="s">
        <v>369</v>
      </c>
      <c r="D42" s="37"/>
      <c r="E42" s="37"/>
      <c r="F42" s="37"/>
      <c r="G42" s="37" t="str">
        <f>CONCATENATE(Source!DL24,Source!FT24, "=", Source!FX24, "%")</f>
        <v>*0,9=99%</v>
      </c>
      <c r="H42" s="37" t="str">
        <f>CONCATENATE(Source!AT24)</f>
        <v>99</v>
      </c>
    </row>
    <row r="43" spans="1:28" x14ac:dyDescent="0.2">
      <c r="C43" s="9" t="s">
        <v>370</v>
      </c>
      <c r="D43" s="37"/>
      <c r="E43" s="37"/>
      <c r="F43" s="37">
        <f>Source!CA24</f>
        <v>70</v>
      </c>
      <c r="G43" s="60">
        <f>(Source!AF24+Source!AE24)*Source!FY24/100</f>
        <v>969.71910000000003</v>
      </c>
      <c r="H43" s="60">
        <f>Source!Y24</f>
        <v>15949.2</v>
      </c>
    </row>
    <row r="44" spans="1:28" x14ac:dyDescent="0.2">
      <c r="C44" s="9" t="s">
        <v>371</v>
      </c>
      <c r="D44" s="37"/>
      <c r="E44" s="37"/>
      <c r="F44" s="37"/>
      <c r="G44" s="37" t="str">
        <f>CONCATENATE(Source!DM24,Source!FU24, "=", Source!FY24, "%")</f>
        <v>*0,85=59,5%</v>
      </c>
      <c r="H44" s="37" t="str">
        <f>CONCATENATE(Source!AU24)</f>
        <v>60</v>
      </c>
    </row>
    <row r="45" spans="1:28" x14ac:dyDescent="0.2">
      <c r="C45" s="9" t="s">
        <v>372</v>
      </c>
      <c r="D45" s="37"/>
      <c r="E45" s="37"/>
      <c r="F45" s="37"/>
      <c r="G45" s="60">
        <f>((Source!AF24+Source!AE24)*Source!FX24/100)+((Source!AF24+Source!AE24)*Source!FY24/100)+Source!AB24</f>
        <v>4350.4412999999995</v>
      </c>
      <c r="H45" s="60">
        <f>Source!O24+Source!X24+Source!Y24</f>
        <v>71089.38</v>
      </c>
    </row>
    <row r="46" spans="1:28" ht="99.75" x14ac:dyDescent="0.2">
      <c r="A46" s="49">
        <v>2</v>
      </c>
      <c r="B46" s="49" t="str">
        <f>Source!E25</f>
        <v>2</v>
      </c>
      <c r="C46" s="49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6" s="49" t="str">
        <f>Source!F25</f>
        <v>10-01-034-08</v>
      </c>
      <c r="E46" s="34" t="str">
        <f>Source!H25</f>
        <v>100 м2</v>
      </c>
      <c r="F46" s="12">
        <f>Source!I25</f>
        <v>2.4674999999999998</v>
      </c>
      <c r="G46" s="24">
        <f>Source!AB25</f>
        <v>10367.24</v>
      </c>
      <c r="H46" s="24">
        <f>Source!O25</f>
        <v>169091.5</v>
      </c>
      <c r="T46">
        <f>Source!O25+Source!X25+Source!Y25</f>
        <v>209856.77</v>
      </c>
      <c r="U46">
        <f>Source!P25</f>
        <v>139436.01</v>
      </c>
      <c r="V46">
        <f>Source!S25</f>
        <v>24452.38</v>
      </c>
      <c r="W46">
        <f>Source!Q25</f>
        <v>5203.1099999999997</v>
      </c>
      <c r="X46">
        <f>Source!R25</f>
        <v>1025.9100000000001</v>
      </c>
      <c r="Y46">
        <f>Source!U25</f>
        <v>423.26014499999997</v>
      </c>
      <c r="Z46">
        <f>Source!V25</f>
        <v>13.046906250000001</v>
      </c>
      <c r="AA46">
        <f>Source!X25</f>
        <v>27006.99</v>
      </c>
      <c r="AB46">
        <f>Source!Y25</f>
        <v>13758.28</v>
      </c>
    </row>
    <row r="47" spans="1:28" ht="14.25" x14ac:dyDescent="0.2">
      <c r="C47" s="25" t="s">
        <v>364</v>
      </c>
      <c r="D47" s="25">
        <f>Source!BA25</f>
        <v>6.61</v>
      </c>
      <c r="F47" s="12"/>
      <c r="G47" s="12"/>
      <c r="H47" s="12"/>
    </row>
    <row r="48" spans="1:28" x14ac:dyDescent="0.2">
      <c r="C48" s="25" t="s">
        <v>365</v>
      </c>
      <c r="D48" s="25">
        <f>Source!BB25</f>
        <v>6.61</v>
      </c>
    </row>
    <row r="49" spans="1:28" x14ac:dyDescent="0.2">
      <c r="C49" s="25" t="s">
        <v>366</v>
      </c>
      <c r="D49" s="25">
        <f>Source!BC25</f>
        <v>6.61</v>
      </c>
    </row>
    <row r="50" spans="1:28" x14ac:dyDescent="0.2">
      <c r="C50" s="25" t="s">
        <v>367</v>
      </c>
      <c r="D50" s="25">
        <f>Source!BS25</f>
        <v>6.61</v>
      </c>
    </row>
    <row r="51" spans="1:28" x14ac:dyDescent="0.2">
      <c r="C51" s="9" t="s">
        <v>368</v>
      </c>
      <c r="D51" s="37"/>
      <c r="E51" s="37"/>
      <c r="F51" s="37">
        <f>Source!BZ25</f>
        <v>118</v>
      </c>
      <c r="G51" s="60">
        <f>(Source!AF25+Source!AE25)*Source!FX25/100</f>
        <v>1658.9608200000002</v>
      </c>
      <c r="H51" s="60">
        <f>Source!X25</f>
        <v>27006.99</v>
      </c>
    </row>
    <row r="52" spans="1:28" x14ac:dyDescent="0.2">
      <c r="C52" s="9" t="s">
        <v>369</v>
      </c>
      <c r="D52" s="37"/>
      <c r="E52" s="37"/>
      <c r="F52" s="37"/>
      <c r="G52" s="37" t="str">
        <f>CONCATENATE(Source!DL25,Source!FT25, "=", Source!FX25, "%")</f>
        <v>*0,9=106,2%</v>
      </c>
      <c r="H52" s="37" t="str">
        <f>CONCATENATE(Source!AT25)</f>
        <v>106</v>
      </c>
    </row>
    <row r="53" spans="1:28" x14ac:dyDescent="0.2">
      <c r="C53" s="9" t="s">
        <v>370</v>
      </c>
      <c r="D53" s="37"/>
      <c r="E53" s="37"/>
      <c r="F53" s="37">
        <f>Source!CA25</f>
        <v>63</v>
      </c>
      <c r="G53" s="60">
        <f>(Source!AF25+Source!AE25)*Source!FY25/100</f>
        <v>836.509905</v>
      </c>
      <c r="H53" s="60">
        <f>Source!Y25</f>
        <v>13758.28</v>
      </c>
    </row>
    <row r="54" spans="1:28" x14ac:dyDescent="0.2">
      <c r="C54" s="9" t="s">
        <v>371</v>
      </c>
      <c r="D54" s="37"/>
      <c r="E54" s="37"/>
      <c r="F54" s="37"/>
      <c r="G54" s="37" t="str">
        <f>CONCATENATE(Source!DM25,Source!FU25, "=", Source!FY25, "%")</f>
        <v>*0,85=53,55%</v>
      </c>
      <c r="H54" s="37" t="str">
        <f>CONCATENATE(Source!AU25)</f>
        <v>54</v>
      </c>
    </row>
    <row r="55" spans="1:28" x14ac:dyDescent="0.2">
      <c r="C55" s="9" t="s">
        <v>372</v>
      </c>
      <c r="D55" s="37"/>
      <c r="E55" s="37"/>
      <c r="F55" s="37"/>
      <c r="G55" s="60">
        <f>((Source!AF25+Source!AE25)*Source!FX25/100)+((Source!AF25+Source!AE25)*Source!FY25/100)+Source!AB25</f>
        <v>12862.710725000001</v>
      </c>
      <c r="H55" s="60">
        <f>Source!O25+Source!X25+Source!Y25</f>
        <v>209856.77</v>
      </c>
    </row>
    <row r="56" spans="1:28" ht="42.75" x14ac:dyDescent="0.2">
      <c r="A56" s="49">
        <v>3</v>
      </c>
      <c r="B56" s="49" t="str">
        <f>Source!E26</f>
        <v>2,1</v>
      </c>
      <c r="C56" s="49" t="s">
        <v>316</v>
      </c>
      <c r="D56" s="49" t="str">
        <f>Source!F26</f>
        <v>Средняя коммерческая цена</v>
      </c>
      <c r="E56" s="34" t="str">
        <f>Source!H26</f>
        <v>м2</v>
      </c>
      <c r="F56" s="12">
        <f>Source!I26</f>
        <v>246.75000000000003</v>
      </c>
      <c r="G56" s="24">
        <f>Source!AB26</f>
        <v>604.5</v>
      </c>
      <c r="H56" s="24">
        <f>Source!O26</f>
        <v>985950.08</v>
      </c>
      <c r="T56">
        <f>Source!O26+Source!X26+Source!Y26</f>
        <v>985950.08</v>
      </c>
      <c r="U56">
        <f>Source!P26</f>
        <v>985950.08</v>
      </c>
      <c r="V56">
        <f>Source!S26</f>
        <v>0</v>
      </c>
      <c r="W56">
        <f>Source!Q26</f>
        <v>0</v>
      </c>
      <c r="X56">
        <f>Source!R26</f>
        <v>0</v>
      </c>
      <c r="Y56">
        <f>Source!U26</f>
        <v>0</v>
      </c>
      <c r="Z56">
        <f>Source!V26</f>
        <v>0</v>
      </c>
      <c r="AA56">
        <f>Source!X26</f>
        <v>0</v>
      </c>
      <c r="AB56">
        <f>Source!Y26</f>
        <v>0</v>
      </c>
    </row>
    <row r="57" spans="1:28" ht="14.25" x14ac:dyDescent="0.2">
      <c r="C57" s="25" t="s">
        <v>366</v>
      </c>
      <c r="D57" s="25">
        <f>Source!BC26</f>
        <v>6.61</v>
      </c>
      <c r="F57" s="12"/>
      <c r="G57" s="12"/>
      <c r="H57" s="12"/>
    </row>
    <row r="58" spans="1:28" ht="14.25" x14ac:dyDescent="0.2">
      <c r="A58" s="49">
        <v>4</v>
      </c>
      <c r="B58" s="49" t="str">
        <f>Source!E27</f>
        <v>2,2</v>
      </c>
      <c r="C58" s="49" t="str">
        <f>Source!G27</f>
        <v>Блоки оконные пластиковые</v>
      </c>
      <c r="D58" s="49" t="str">
        <f>Source!F27</f>
        <v>11.3.02.03</v>
      </c>
      <c r="E58" s="34" t="str">
        <f>Source!H27</f>
        <v>м2</v>
      </c>
      <c r="F58" s="12">
        <f>Source!I27</f>
        <v>246.75000000000003</v>
      </c>
      <c r="G58" s="24">
        <f>Source!AB27</f>
        <v>0</v>
      </c>
      <c r="H58" s="24">
        <f>Source!O27</f>
        <v>0</v>
      </c>
      <c r="T58">
        <f>Source!O27+Source!X27+Source!Y27</f>
        <v>0</v>
      </c>
      <c r="U58">
        <f>Source!P27</f>
        <v>0</v>
      </c>
      <c r="V58">
        <f>Source!S27</f>
        <v>0</v>
      </c>
      <c r="W58">
        <f>Source!Q27</f>
        <v>0</v>
      </c>
      <c r="X58">
        <f>Source!R27</f>
        <v>0</v>
      </c>
      <c r="Y58">
        <f>Source!U27</f>
        <v>0</v>
      </c>
      <c r="Z58">
        <f>Source!V27</f>
        <v>0</v>
      </c>
      <c r="AA58">
        <f>Source!X27</f>
        <v>0</v>
      </c>
      <c r="AB58">
        <f>Source!Y27</f>
        <v>0</v>
      </c>
    </row>
    <row r="59" spans="1:28" ht="14.25" x14ac:dyDescent="0.2">
      <c r="C59" s="25" t="s">
        <v>366</v>
      </c>
      <c r="D59" s="25">
        <f>Source!BC27</f>
        <v>6.61</v>
      </c>
      <c r="F59" s="12"/>
      <c r="G59" s="12"/>
      <c r="H59" s="12"/>
    </row>
    <row r="60" spans="1:28" ht="42.75" x14ac:dyDescent="0.2">
      <c r="A60" s="49">
        <v>5</v>
      </c>
      <c r="B60" s="49" t="str">
        <f>Source!E28</f>
        <v>3</v>
      </c>
      <c r="C60" s="49" t="str">
        <f>Source!G28</f>
        <v>Установка подоконных досок из ПВХ в каменных стенах толщиной свыше 0,51 м</v>
      </c>
      <c r="D60" s="49" t="str">
        <f>Source!F28</f>
        <v>10-01-035-03</v>
      </c>
      <c r="E60" s="34" t="str">
        <f>Source!H28</f>
        <v>100 м</v>
      </c>
      <c r="F60" s="12">
        <f>Source!I28</f>
        <v>1.175</v>
      </c>
      <c r="G60" s="24">
        <f>Source!AB28</f>
        <v>6514.01</v>
      </c>
      <c r="H60" s="24">
        <f>Source!O28</f>
        <v>50592.68</v>
      </c>
      <c r="T60">
        <f>Source!O28+Source!X28+Source!Y28</f>
        <v>53267.799999999996</v>
      </c>
      <c r="U60">
        <f>Source!P28</f>
        <v>48751.11</v>
      </c>
      <c r="V60">
        <f>Source!S28</f>
        <v>1628.92</v>
      </c>
      <c r="W60">
        <f>Source!Q28</f>
        <v>212.65</v>
      </c>
      <c r="X60">
        <f>Source!R28</f>
        <v>43.03</v>
      </c>
      <c r="Y60">
        <f>Source!U28</f>
        <v>28.889724999999995</v>
      </c>
      <c r="Z60">
        <f>Source!V28</f>
        <v>0.54343750000000002</v>
      </c>
      <c r="AA60">
        <f>Source!X28</f>
        <v>1772.27</v>
      </c>
      <c r="AB60">
        <f>Source!Y28</f>
        <v>902.85</v>
      </c>
    </row>
    <row r="61" spans="1:28" ht="14.25" x14ac:dyDescent="0.2">
      <c r="C61" s="25" t="s">
        <v>364</v>
      </c>
      <c r="D61" s="25">
        <f>Source!BA28</f>
        <v>6.61</v>
      </c>
      <c r="F61" s="12"/>
      <c r="G61" s="12"/>
      <c r="H61" s="12"/>
    </row>
    <row r="62" spans="1:28" x14ac:dyDescent="0.2">
      <c r="C62" s="25" t="s">
        <v>365</v>
      </c>
      <c r="D62" s="25">
        <f>Source!BB28</f>
        <v>6.61</v>
      </c>
    </row>
    <row r="63" spans="1:28" x14ac:dyDescent="0.2">
      <c r="C63" s="25" t="s">
        <v>366</v>
      </c>
      <c r="D63" s="25">
        <f>Source!BC28</f>
        <v>6.61</v>
      </c>
    </row>
    <row r="64" spans="1:28" x14ac:dyDescent="0.2">
      <c r="C64" s="25" t="s">
        <v>367</v>
      </c>
      <c r="D64" s="25">
        <f>Source!BS28</f>
        <v>6.61</v>
      </c>
    </row>
    <row r="65" spans="1:28" x14ac:dyDescent="0.2">
      <c r="C65" s="9" t="s">
        <v>368</v>
      </c>
      <c r="D65" s="37"/>
      <c r="E65" s="37"/>
      <c r="F65" s="37">
        <f>Source!BZ28</f>
        <v>118</v>
      </c>
      <c r="G65" s="60">
        <f>(Source!AF28+Source!AE28)*Source!FX28/100</f>
        <v>228.61673999999999</v>
      </c>
      <c r="H65" s="60">
        <f>Source!X28</f>
        <v>1772.27</v>
      </c>
    </row>
    <row r="66" spans="1:28" x14ac:dyDescent="0.2">
      <c r="C66" s="9" t="s">
        <v>369</v>
      </c>
      <c r="D66" s="37"/>
      <c r="E66" s="37"/>
      <c r="F66" s="37"/>
      <c r="G66" s="37" t="str">
        <f>CONCATENATE(Source!DL28,Source!FT28, "=", Source!FX28, "%")</f>
        <v>*0,9=106,2%</v>
      </c>
      <c r="H66" s="37" t="str">
        <f>CONCATENATE(Source!AT28)</f>
        <v>106</v>
      </c>
    </row>
    <row r="67" spans="1:28" x14ac:dyDescent="0.2">
      <c r="C67" s="9" t="s">
        <v>370</v>
      </c>
      <c r="D67" s="37"/>
      <c r="E67" s="37"/>
      <c r="F67" s="37">
        <f>Source!CA28</f>
        <v>63</v>
      </c>
      <c r="G67" s="60">
        <f>(Source!AF28+Source!AE28)*Source!FY28/100</f>
        <v>115.27708499999999</v>
      </c>
      <c r="H67" s="60">
        <f>Source!Y28</f>
        <v>902.85</v>
      </c>
    </row>
    <row r="68" spans="1:28" x14ac:dyDescent="0.2">
      <c r="C68" s="9" t="s">
        <v>371</v>
      </c>
      <c r="D68" s="37"/>
      <c r="E68" s="37"/>
      <c r="F68" s="37"/>
      <c r="G68" s="37" t="str">
        <f>CONCATENATE(Source!DM28,Source!FU28, "=", Source!FY28, "%")</f>
        <v>*0,85=53,55%</v>
      </c>
      <c r="H68" s="37" t="str">
        <f>CONCATENATE(Source!AU28)</f>
        <v>54</v>
      </c>
    </row>
    <row r="69" spans="1:28" x14ac:dyDescent="0.2">
      <c r="C69" s="9" t="s">
        <v>372</v>
      </c>
      <c r="D69" s="37"/>
      <c r="E69" s="37"/>
      <c r="F69" s="37"/>
      <c r="G69" s="60">
        <f>((Source!AF28+Source!AE28)*Source!FX28/100)+((Source!AF28+Source!AE28)*Source!FY28/100)+Source!AB28</f>
        <v>6857.9038250000003</v>
      </c>
      <c r="H69" s="60">
        <f>Source!O28+Source!X28+Source!Y28</f>
        <v>53267.799999999996</v>
      </c>
    </row>
    <row r="70" spans="1:28" ht="54" x14ac:dyDescent="0.2">
      <c r="A70" s="49">
        <v>6</v>
      </c>
      <c r="B70" s="49" t="str">
        <f>Source!E29</f>
        <v>3,1</v>
      </c>
      <c r="C70" s="49" t="s">
        <v>317</v>
      </c>
      <c r="D70" s="49" t="str">
        <f>Source!F29</f>
        <v>Средняя коммерческая цена</v>
      </c>
      <c r="E70" s="34" t="str">
        <f>Source!H29</f>
        <v>м</v>
      </c>
      <c r="F70" s="12">
        <f>Source!I29</f>
        <v>117.5</v>
      </c>
      <c r="G70" s="24">
        <f>Source!AB29</f>
        <v>318.64</v>
      </c>
      <c r="H70" s="24">
        <f>Source!O29</f>
        <v>247479.72</v>
      </c>
      <c r="T70">
        <f>Source!O29+Source!X29+Source!Y29</f>
        <v>247479.72</v>
      </c>
      <c r="U70">
        <f>Source!P29</f>
        <v>247479.72</v>
      </c>
      <c r="V70">
        <f>Source!S29</f>
        <v>0</v>
      </c>
      <c r="W70">
        <f>Source!Q29</f>
        <v>0</v>
      </c>
      <c r="X70">
        <f>Source!R29</f>
        <v>0</v>
      </c>
      <c r="Y70">
        <f>Source!U29</f>
        <v>0</v>
      </c>
      <c r="Z70">
        <f>Source!V29</f>
        <v>0</v>
      </c>
      <c r="AA70">
        <f>Source!X29</f>
        <v>0</v>
      </c>
      <c r="AB70">
        <f>Source!Y29</f>
        <v>0</v>
      </c>
    </row>
    <row r="71" spans="1:28" ht="14.25" x14ac:dyDescent="0.2">
      <c r="C71" s="25" t="s">
        <v>366</v>
      </c>
      <c r="D71" s="25">
        <f>Source!BC29</f>
        <v>6.61</v>
      </c>
      <c r="F71" s="12"/>
      <c r="G71" s="12"/>
      <c r="H71" s="12"/>
    </row>
    <row r="72" spans="1:28" ht="42.75" x14ac:dyDescent="0.2">
      <c r="A72" s="49">
        <v>7</v>
      </c>
      <c r="B72" s="49" t="str">
        <f>Source!E30</f>
        <v>4</v>
      </c>
      <c r="C72" s="49" t="str">
        <f>Source!G30</f>
        <v>Смена обделок из листовой стали (поясков, сандриков, отливов, карнизов) шириной до 0,4 м</v>
      </c>
      <c r="D72" s="49" t="str">
        <f>Source!F30</f>
        <v>58-20-1</v>
      </c>
      <c r="E72" s="34" t="str">
        <f>Source!H30</f>
        <v>100 м</v>
      </c>
      <c r="F72" s="12">
        <f>Source!I30</f>
        <v>1.175</v>
      </c>
      <c r="G72" s="24">
        <f>Source!AB30</f>
        <v>454.41</v>
      </c>
      <c r="H72" s="24">
        <f>Source!O30</f>
        <v>3529.29</v>
      </c>
      <c r="T72">
        <f>Source!O30+Source!X30+Source!Y30</f>
        <v>7607.2999999999993</v>
      </c>
      <c r="U72">
        <f>Source!P30</f>
        <v>746</v>
      </c>
      <c r="V72">
        <f>Source!S30</f>
        <v>2743.45</v>
      </c>
      <c r="W72">
        <f>Source!Q30</f>
        <v>39.840000000000003</v>
      </c>
      <c r="X72">
        <f>Source!R30</f>
        <v>11.96</v>
      </c>
      <c r="Y72">
        <f>Source!U30</f>
        <v>48.656749999999995</v>
      </c>
      <c r="Z72">
        <f>Source!V30</f>
        <v>0.14099999999999999</v>
      </c>
      <c r="AA72">
        <f>Source!X30</f>
        <v>2286.9899999999998</v>
      </c>
      <c r="AB72">
        <f>Source!Y30</f>
        <v>1791.02</v>
      </c>
    </row>
    <row r="73" spans="1:28" ht="14.25" x14ac:dyDescent="0.2">
      <c r="C73" s="25" t="s">
        <v>364</v>
      </c>
      <c r="D73" s="25">
        <f>Source!BA30</f>
        <v>6.61</v>
      </c>
      <c r="F73" s="12"/>
      <c r="G73" s="12"/>
      <c r="H73" s="12"/>
    </row>
    <row r="74" spans="1:28" x14ac:dyDescent="0.2">
      <c r="C74" s="25" t="s">
        <v>365</v>
      </c>
      <c r="D74" s="25">
        <f>Source!BB30</f>
        <v>6.61</v>
      </c>
    </row>
    <row r="75" spans="1:28" x14ac:dyDescent="0.2">
      <c r="C75" s="25" t="s">
        <v>366</v>
      </c>
      <c r="D75" s="25">
        <f>Source!BC30</f>
        <v>6.61</v>
      </c>
    </row>
    <row r="76" spans="1:28" x14ac:dyDescent="0.2">
      <c r="C76" s="25" t="s">
        <v>367</v>
      </c>
      <c r="D76" s="25">
        <f>Source!BS30</f>
        <v>6.61</v>
      </c>
    </row>
    <row r="77" spans="1:28" x14ac:dyDescent="0.2">
      <c r="C77" s="9" t="s">
        <v>368</v>
      </c>
      <c r="D77" s="37"/>
      <c r="E77" s="37"/>
      <c r="F77" s="37">
        <f>Source!BZ30</f>
        <v>83</v>
      </c>
      <c r="G77" s="60">
        <f>(Source!AF30+Source!AE30)*Source!FX30/100</f>
        <v>294.45910000000003</v>
      </c>
      <c r="H77" s="60">
        <f>Source!X30</f>
        <v>2286.9899999999998</v>
      </c>
    </row>
    <row r="78" spans="1:28" x14ac:dyDescent="0.2">
      <c r="C78" s="9" t="s">
        <v>370</v>
      </c>
      <c r="D78" s="37"/>
      <c r="E78" s="37"/>
      <c r="F78" s="37">
        <f>Source!CA30</f>
        <v>65</v>
      </c>
      <c r="G78" s="60">
        <f>(Source!AF30+Source!AE30)*Source!FY30/100</f>
        <v>230.60050000000004</v>
      </c>
      <c r="H78" s="60">
        <f>Source!Y30</f>
        <v>1791.02</v>
      </c>
    </row>
    <row r="79" spans="1:28" x14ac:dyDescent="0.2">
      <c r="C79" s="9" t="s">
        <v>372</v>
      </c>
      <c r="D79" s="37"/>
      <c r="E79" s="37"/>
      <c r="F79" s="37"/>
      <c r="G79" s="60">
        <f>((Source!AF30+Source!AE30)*Source!FX30/100)+((Source!AF30+Source!AE30)*Source!FY30/100)+Source!AB30</f>
        <v>979.46960000000013</v>
      </c>
      <c r="H79" s="60">
        <f>Source!O30+Source!X30+Source!Y30</f>
        <v>7607.2999999999993</v>
      </c>
    </row>
    <row r="80" spans="1:28" ht="68.25" x14ac:dyDescent="0.2">
      <c r="A80" s="49">
        <v>8</v>
      </c>
      <c r="B80" s="49" t="str">
        <f>Source!E31</f>
        <v>4,1</v>
      </c>
      <c r="C80" s="49" t="s">
        <v>318</v>
      </c>
      <c r="D80" s="49" t="str">
        <f>Source!F31</f>
        <v>Средняя коммерческая цена</v>
      </c>
      <c r="E80" s="34" t="str">
        <f>Source!H31</f>
        <v>м</v>
      </c>
      <c r="F80" s="12">
        <f>Source!I31</f>
        <v>117.5</v>
      </c>
      <c r="G80" s="24">
        <f>Source!AB31</f>
        <v>38.799999999999997</v>
      </c>
      <c r="H80" s="24">
        <f>Source!O31</f>
        <v>30134.99</v>
      </c>
      <c r="T80">
        <f>Source!O31+Source!X31+Source!Y31</f>
        <v>30134.99</v>
      </c>
      <c r="U80">
        <f>Source!P31</f>
        <v>30134.99</v>
      </c>
      <c r="V80">
        <f>Source!S31</f>
        <v>0</v>
      </c>
      <c r="W80">
        <f>Source!Q31</f>
        <v>0</v>
      </c>
      <c r="X80">
        <f>Source!R31</f>
        <v>0</v>
      </c>
      <c r="Y80">
        <f>Source!U31</f>
        <v>0</v>
      </c>
      <c r="Z80">
        <f>Source!V31</f>
        <v>0</v>
      </c>
      <c r="AA80">
        <f>Source!X31</f>
        <v>0</v>
      </c>
      <c r="AB80">
        <f>Source!Y31</f>
        <v>0</v>
      </c>
    </row>
    <row r="81" spans="1:28" ht="14.25" x14ac:dyDescent="0.2">
      <c r="C81" s="25" t="s">
        <v>366</v>
      </c>
      <c r="D81" s="25">
        <f>Source!BC31</f>
        <v>6.61</v>
      </c>
      <c r="F81" s="12"/>
      <c r="G81" s="12"/>
      <c r="H81" s="12"/>
    </row>
    <row r="82" spans="1:28" ht="14.25" x14ac:dyDescent="0.2">
      <c r="A82" s="49">
        <v>9</v>
      </c>
      <c r="B82" s="49" t="str">
        <f>Source!E32</f>
        <v>4,2</v>
      </c>
      <c r="C82" s="49" t="str">
        <f>Source!G32</f>
        <v>Сталь листовая оцинкованная</v>
      </c>
      <c r="D82" s="49" t="str">
        <f>Source!F32</f>
        <v>08.3.05.05</v>
      </c>
      <c r="E82" s="34" t="str">
        <f>Source!H32</f>
        <v>т</v>
      </c>
      <c r="F82" s="12">
        <f>Source!I32</f>
        <v>0.2162</v>
      </c>
      <c r="G82" s="24">
        <f>Source!AB32</f>
        <v>0</v>
      </c>
      <c r="H82" s="24">
        <f>Source!O32</f>
        <v>0</v>
      </c>
      <c r="T82">
        <f>Source!O32+Source!X32+Source!Y32</f>
        <v>0</v>
      </c>
      <c r="U82">
        <f>Source!P32</f>
        <v>0</v>
      </c>
      <c r="V82">
        <f>Source!S32</f>
        <v>0</v>
      </c>
      <c r="W82">
        <f>Source!Q32</f>
        <v>0</v>
      </c>
      <c r="X82">
        <f>Source!R32</f>
        <v>0</v>
      </c>
      <c r="Y82">
        <f>Source!U32</f>
        <v>0</v>
      </c>
      <c r="Z82">
        <f>Source!V32</f>
        <v>0</v>
      </c>
      <c r="AA82">
        <f>Source!X32</f>
        <v>0</v>
      </c>
      <c r="AB82">
        <f>Source!Y32</f>
        <v>0</v>
      </c>
    </row>
    <row r="83" spans="1:28" ht="14.25" x14ac:dyDescent="0.2">
      <c r="C83" s="25" t="s">
        <v>366</v>
      </c>
      <c r="D83" s="25">
        <f>Source!BC32</f>
        <v>6.61</v>
      </c>
      <c r="F83" s="12"/>
      <c r="G83" s="12"/>
      <c r="H83" s="12"/>
    </row>
    <row r="84" spans="1:28" ht="42.75" x14ac:dyDescent="0.2">
      <c r="A84" s="49">
        <v>10</v>
      </c>
      <c r="B84" s="49" t="str">
        <f>Source!E33</f>
        <v>5</v>
      </c>
      <c r="C84" s="49" t="str">
        <f>Source!G33</f>
        <v>Покрытие поверхностей грунтовкой глубокого проникновения за 2 раза стен</v>
      </c>
      <c r="D84" s="49" t="str">
        <f>Source!F33</f>
        <v>15-04-006-04</v>
      </c>
      <c r="E84" s="34" t="str">
        <f>Source!H33</f>
        <v>100 м2</v>
      </c>
      <c r="F84" s="12">
        <f>Source!I33</f>
        <v>1.5745</v>
      </c>
      <c r="G84" s="24">
        <f>Source!AB33</f>
        <v>182.93</v>
      </c>
      <c r="H84" s="24">
        <f>Source!O33</f>
        <v>1903.83</v>
      </c>
      <c r="T84">
        <f>Source!O33+Source!X33+Source!Y33</f>
        <v>4578.8999999999996</v>
      </c>
      <c r="U84">
        <f>Source!P33</f>
        <v>3.75</v>
      </c>
      <c r="V84">
        <f>Source!S33</f>
        <v>1879.06</v>
      </c>
      <c r="W84">
        <f>Source!Q33</f>
        <v>21.02</v>
      </c>
      <c r="X84">
        <f>Source!R33</f>
        <v>4.79</v>
      </c>
      <c r="Y84">
        <f>Source!U33</f>
        <v>29.550215999999995</v>
      </c>
      <c r="Z84">
        <f>Source!V33</f>
        <v>5.9043749999999999E-2</v>
      </c>
      <c r="AA84">
        <f>Source!X33</f>
        <v>1789.66</v>
      </c>
      <c r="AB84">
        <f>Source!Y33</f>
        <v>885.41</v>
      </c>
    </row>
    <row r="85" spans="1:28" ht="14.25" x14ac:dyDescent="0.2">
      <c r="C85" s="25" t="s">
        <v>364</v>
      </c>
      <c r="D85" s="25">
        <f>Source!BA33</f>
        <v>6.61</v>
      </c>
      <c r="F85" s="12"/>
      <c r="G85" s="12"/>
      <c r="H85" s="12"/>
    </row>
    <row r="86" spans="1:28" x14ac:dyDescent="0.2">
      <c r="C86" s="25" t="s">
        <v>365</v>
      </c>
      <c r="D86" s="25">
        <f>Source!BB33</f>
        <v>6.61</v>
      </c>
    </row>
    <row r="87" spans="1:28" x14ac:dyDescent="0.2">
      <c r="C87" s="25" t="s">
        <v>366</v>
      </c>
      <c r="D87" s="25">
        <f>Source!BC33</f>
        <v>6.61</v>
      </c>
    </row>
    <row r="88" spans="1:28" x14ac:dyDescent="0.2">
      <c r="C88" s="25" t="s">
        <v>367</v>
      </c>
      <c r="D88" s="25">
        <f>Source!BS33</f>
        <v>6.61</v>
      </c>
    </row>
    <row r="89" spans="1:28" x14ac:dyDescent="0.2">
      <c r="C89" s="9" t="s">
        <v>368</v>
      </c>
      <c r="D89" s="37"/>
      <c r="E89" s="37"/>
      <c r="F89" s="37">
        <f>Source!BZ33</f>
        <v>105</v>
      </c>
      <c r="G89" s="60">
        <f>(Source!AF33+Source!AE33)*Source!FX33/100</f>
        <v>171.05445000000003</v>
      </c>
      <c r="H89" s="60">
        <f>Source!X33</f>
        <v>1789.66</v>
      </c>
    </row>
    <row r="90" spans="1:28" x14ac:dyDescent="0.2">
      <c r="C90" s="9" t="s">
        <v>369</v>
      </c>
      <c r="D90" s="37"/>
      <c r="E90" s="37"/>
      <c r="F90" s="37"/>
      <c r="G90" s="37" t="str">
        <f>CONCATENATE(Source!DL33,Source!FT33, "=", Source!FX33, "%")</f>
        <v>*0,9=94,5%</v>
      </c>
      <c r="H90" s="37" t="str">
        <f>CONCATENATE(Source!AT33)</f>
        <v>95</v>
      </c>
    </row>
    <row r="91" spans="1:28" x14ac:dyDescent="0.2">
      <c r="C91" s="9" t="s">
        <v>370</v>
      </c>
      <c r="D91" s="37"/>
      <c r="E91" s="37"/>
      <c r="F91" s="37">
        <f>Source!CA33</f>
        <v>55</v>
      </c>
      <c r="G91" s="60">
        <f>(Source!AF33+Source!AE33)*Source!FY33/100</f>
        <v>84.622175000000013</v>
      </c>
      <c r="H91" s="60">
        <f>Source!Y33</f>
        <v>885.41</v>
      </c>
    </row>
    <row r="92" spans="1:28" x14ac:dyDescent="0.2">
      <c r="C92" s="9" t="s">
        <v>371</v>
      </c>
      <c r="D92" s="37"/>
      <c r="E92" s="37"/>
      <c r="F92" s="37"/>
      <c r="G92" s="37" t="str">
        <f>CONCATENATE(Source!DM33,Source!FU33, "=", Source!FY33, "%")</f>
        <v>*0,85=46,75%</v>
      </c>
      <c r="H92" s="37" t="str">
        <f>CONCATENATE(Source!AU33)</f>
        <v>47</v>
      </c>
    </row>
    <row r="93" spans="1:28" x14ac:dyDescent="0.2">
      <c r="C93" s="9" t="s">
        <v>372</v>
      </c>
      <c r="D93" s="37"/>
      <c r="E93" s="37"/>
      <c r="F93" s="37"/>
      <c r="G93" s="60">
        <f>((Source!AF33+Source!AE33)*Source!FX33/100)+((Source!AF33+Source!AE33)*Source!FY33/100)+Source!AB33</f>
        <v>438.60662500000007</v>
      </c>
      <c r="H93" s="60">
        <f>Source!O33+Source!X33+Source!Y33</f>
        <v>4578.8999999999996</v>
      </c>
    </row>
    <row r="94" spans="1:28" ht="28.5" x14ac:dyDescent="0.2">
      <c r="A94" s="49">
        <v>11</v>
      </c>
      <c r="B94" s="49" t="str">
        <f>Source!E34</f>
        <v>5,1</v>
      </c>
      <c r="C94" s="49" t="str">
        <f>Source!G34</f>
        <v>Грунтовка колерующая CERESIT CT 16</v>
      </c>
      <c r="D94" s="49" t="str">
        <f>Source!F34</f>
        <v>14.3.01.02-0104</v>
      </c>
      <c r="E94" s="34" t="str">
        <f>Source!H34</f>
        <v>л</v>
      </c>
      <c r="F94" s="12">
        <f>Source!I34</f>
        <v>31.490000000000002</v>
      </c>
      <c r="G94" s="24">
        <f>Source!AB34</f>
        <v>18.96</v>
      </c>
      <c r="H94" s="24">
        <f>Source!O34</f>
        <v>3946.5</v>
      </c>
      <c r="T94">
        <f>Source!O34+Source!X34+Source!Y34</f>
        <v>3946.5</v>
      </c>
      <c r="U94">
        <f>Source!P34</f>
        <v>3946.5</v>
      </c>
      <c r="V94">
        <f>Source!S34</f>
        <v>0</v>
      </c>
      <c r="W94">
        <f>Source!Q34</f>
        <v>0</v>
      </c>
      <c r="X94">
        <f>Source!R34</f>
        <v>0</v>
      </c>
      <c r="Y94">
        <f>Source!U34</f>
        <v>0</v>
      </c>
      <c r="Z94">
        <f>Source!V34</f>
        <v>0</v>
      </c>
      <c r="AA94">
        <f>Source!X34</f>
        <v>0</v>
      </c>
      <c r="AB94">
        <f>Source!Y34</f>
        <v>0</v>
      </c>
    </row>
    <row r="95" spans="1:28" ht="14.25" x14ac:dyDescent="0.2">
      <c r="C95" s="25" t="s">
        <v>366</v>
      </c>
      <c r="D95" s="25">
        <f>Source!BC34</f>
        <v>6.61</v>
      </c>
      <c r="F95" s="12"/>
      <c r="G95" s="12"/>
      <c r="H95" s="12"/>
    </row>
    <row r="96" spans="1:28" ht="14.25" x14ac:dyDescent="0.2">
      <c r="A96" s="49">
        <v>12</v>
      </c>
      <c r="B96" s="49" t="str">
        <f>Source!E35</f>
        <v>5,2</v>
      </c>
      <c r="C96" s="49" t="str">
        <f>Source!G35</f>
        <v>Грунтовка</v>
      </c>
      <c r="D96" s="49" t="str">
        <f>Source!F35</f>
        <v>14.4.01.21</v>
      </c>
      <c r="E96" s="34" t="str">
        <f>Source!H35</f>
        <v>т</v>
      </c>
      <c r="F96" s="12">
        <f>Source!I35</f>
        <v>3.1489999999999997E-2</v>
      </c>
      <c r="G96" s="24">
        <f>Source!AB35</f>
        <v>0</v>
      </c>
      <c r="H96" s="24">
        <f>Source!O35</f>
        <v>0</v>
      </c>
      <c r="T96">
        <f>Source!O35+Source!X35+Source!Y35</f>
        <v>0</v>
      </c>
      <c r="U96">
        <f>Source!P35</f>
        <v>0</v>
      </c>
      <c r="V96">
        <f>Source!S35</f>
        <v>0</v>
      </c>
      <c r="W96">
        <f>Source!Q35</f>
        <v>0</v>
      </c>
      <c r="X96">
        <f>Source!R35</f>
        <v>0</v>
      </c>
      <c r="Y96">
        <f>Source!U35</f>
        <v>0</v>
      </c>
      <c r="Z96">
        <f>Source!V35</f>
        <v>0</v>
      </c>
      <c r="AA96">
        <f>Source!X35</f>
        <v>0</v>
      </c>
      <c r="AB96">
        <f>Source!Y35</f>
        <v>0</v>
      </c>
    </row>
    <row r="97" spans="1:28" ht="14.25" x14ac:dyDescent="0.2">
      <c r="C97" s="25" t="s">
        <v>366</v>
      </c>
      <c r="D97" s="25">
        <f>Source!BC35</f>
        <v>6.61</v>
      </c>
      <c r="F97" s="12"/>
      <c r="G97" s="12"/>
      <c r="H97" s="12"/>
    </row>
    <row r="98" spans="1:28" ht="57" x14ac:dyDescent="0.2">
      <c r="A98" s="49">
        <v>13</v>
      </c>
      <c r="B98" s="49" t="str">
        <f>Source!E36</f>
        <v>6</v>
      </c>
      <c r="C98" s="49" t="str">
        <f>Source!G36</f>
        <v>Облицовка оконных и дверных откосов декоративным бумажно-слоистым пластиком или листами из синтетических материалов</v>
      </c>
      <c r="D98" s="49" t="str">
        <f>Source!F36</f>
        <v>15-01-050-04</v>
      </c>
      <c r="E98" s="34" t="str">
        <f>Source!H36</f>
        <v>100 м2</v>
      </c>
      <c r="F98" s="12">
        <f>Source!I36</f>
        <v>1.5745</v>
      </c>
      <c r="G98" s="24">
        <f>Source!AB36</f>
        <v>1801.98</v>
      </c>
      <c r="H98" s="24">
        <f>Source!O36</f>
        <v>18754.009999999998</v>
      </c>
      <c r="T98">
        <f>Source!O36+Source!X36+Source!Y36</f>
        <v>44853.25</v>
      </c>
      <c r="U98">
        <f>Source!P36</f>
        <v>3.75</v>
      </c>
      <c r="V98">
        <f>Source!S36</f>
        <v>18290.25</v>
      </c>
      <c r="W98">
        <f>Source!Q36</f>
        <v>460.01</v>
      </c>
      <c r="X98">
        <f>Source!R36</f>
        <v>89.5</v>
      </c>
      <c r="Y98">
        <f>Source!U36</f>
        <v>301.42306724999997</v>
      </c>
      <c r="Z98">
        <f>Source!V36</f>
        <v>1.1415124999999999</v>
      </c>
      <c r="AA98">
        <f>Source!X36</f>
        <v>17460.759999999998</v>
      </c>
      <c r="AB98">
        <f>Source!Y36</f>
        <v>8638.48</v>
      </c>
    </row>
    <row r="99" spans="1:28" ht="14.25" x14ac:dyDescent="0.2">
      <c r="C99" s="25" t="s">
        <v>364</v>
      </c>
      <c r="D99" s="25">
        <f>Source!BA36</f>
        <v>6.61</v>
      </c>
      <c r="F99" s="12"/>
      <c r="G99" s="12"/>
      <c r="H99" s="12"/>
    </row>
    <row r="100" spans="1:28" x14ac:dyDescent="0.2">
      <c r="C100" s="25" t="s">
        <v>365</v>
      </c>
      <c r="D100" s="25">
        <f>Source!BB36</f>
        <v>6.61</v>
      </c>
    </row>
    <row r="101" spans="1:28" x14ac:dyDescent="0.2">
      <c r="C101" s="25" t="s">
        <v>366</v>
      </c>
      <c r="D101" s="25">
        <f>Source!BC36</f>
        <v>6.61</v>
      </c>
    </row>
    <row r="102" spans="1:28" x14ac:dyDescent="0.2">
      <c r="C102" s="25" t="s">
        <v>367</v>
      </c>
      <c r="D102" s="25">
        <f>Source!BS36</f>
        <v>6.61</v>
      </c>
    </row>
    <row r="103" spans="1:28" x14ac:dyDescent="0.2">
      <c r="C103" s="9" t="s">
        <v>368</v>
      </c>
      <c r="D103" s="37"/>
      <c r="E103" s="37"/>
      <c r="F103" s="37">
        <f>Source!BZ36</f>
        <v>105</v>
      </c>
      <c r="G103" s="60">
        <f>(Source!AF36+Source!AE36)*Source!FX36/100</f>
        <v>1668.8888999999999</v>
      </c>
      <c r="H103" s="60">
        <f>Source!X36</f>
        <v>17460.759999999998</v>
      </c>
    </row>
    <row r="104" spans="1:28" x14ac:dyDescent="0.2">
      <c r="C104" s="9" t="s">
        <v>369</v>
      </c>
      <c r="D104" s="37"/>
      <c r="E104" s="37"/>
      <c r="F104" s="37"/>
      <c r="G104" s="37" t="str">
        <f>CONCATENATE(Source!DL36,Source!FT36, "=", Source!FX36, "%")</f>
        <v>*0,9=94,5%</v>
      </c>
      <c r="H104" s="37" t="str">
        <f>CONCATENATE(Source!AT36)</f>
        <v>95</v>
      </c>
    </row>
    <row r="105" spans="1:28" x14ac:dyDescent="0.2">
      <c r="C105" s="9" t="s">
        <v>370</v>
      </c>
      <c r="D105" s="37"/>
      <c r="E105" s="37"/>
      <c r="F105" s="37">
        <f>Source!CA36</f>
        <v>55</v>
      </c>
      <c r="G105" s="60">
        <f>(Source!AF36+Source!AE36)*Source!FY36/100</f>
        <v>825.61434999999994</v>
      </c>
      <c r="H105" s="60">
        <f>Source!Y36</f>
        <v>8638.48</v>
      </c>
    </row>
    <row r="106" spans="1:28" x14ac:dyDescent="0.2">
      <c r="C106" s="9" t="s">
        <v>371</v>
      </c>
      <c r="D106" s="37"/>
      <c r="E106" s="37"/>
      <c r="F106" s="37"/>
      <c r="G106" s="37" t="str">
        <f>CONCATENATE(Source!DM36,Source!FU36, "=", Source!FY36, "%")</f>
        <v>*0,85=46,75%</v>
      </c>
      <c r="H106" s="37" t="str">
        <f>CONCATENATE(Source!AU36)</f>
        <v>47</v>
      </c>
    </row>
    <row r="107" spans="1:28" x14ac:dyDescent="0.2">
      <c r="C107" s="9" t="s">
        <v>372</v>
      </c>
      <c r="D107" s="37"/>
      <c r="E107" s="37"/>
      <c r="F107" s="37"/>
      <c r="G107" s="60">
        <f>((Source!AF36+Source!AE36)*Source!FX36/100)+((Source!AF36+Source!AE36)*Source!FY36/100)+Source!AB36</f>
        <v>4296.4832499999993</v>
      </c>
      <c r="H107" s="60">
        <f>Source!O36+Source!X36+Source!Y36</f>
        <v>44853.25</v>
      </c>
    </row>
    <row r="108" spans="1:28" ht="42.75" x14ac:dyDescent="0.2">
      <c r="A108" s="49">
        <v>14</v>
      </c>
      <c r="B108" s="49" t="str">
        <f>Source!E37</f>
        <v>6,1</v>
      </c>
      <c r="C108" s="49" t="s">
        <v>319</v>
      </c>
      <c r="D108" s="49" t="str">
        <f>Source!F37</f>
        <v>Средняя коммерческая цена</v>
      </c>
      <c r="E108" s="34" t="str">
        <f>Source!H37</f>
        <v>м2</v>
      </c>
      <c r="F108" s="12">
        <f>Source!I37</f>
        <v>165.32249999999999</v>
      </c>
      <c r="G108" s="24">
        <f>Source!AB37</f>
        <v>88.34</v>
      </c>
      <c r="H108" s="24">
        <f>Source!O37</f>
        <v>96536.34</v>
      </c>
      <c r="T108">
        <f>Source!O37+Source!X37+Source!Y37</f>
        <v>96536.34</v>
      </c>
      <c r="U108">
        <f>Source!P37</f>
        <v>96536.34</v>
      </c>
      <c r="V108">
        <f>Source!S37</f>
        <v>0</v>
      </c>
      <c r="W108">
        <f>Source!Q37</f>
        <v>0</v>
      </c>
      <c r="X108">
        <f>Source!R37</f>
        <v>0</v>
      </c>
      <c r="Y108">
        <f>Source!U37</f>
        <v>0</v>
      </c>
      <c r="Z108">
        <f>Source!V37</f>
        <v>0</v>
      </c>
      <c r="AA108">
        <f>Source!X37</f>
        <v>0</v>
      </c>
      <c r="AB108">
        <f>Source!Y37</f>
        <v>0</v>
      </c>
    </row>
    <row r="109" spans="1:28" ht="14.25" x14ac:dyDescent="0.2">
      <c r="C109" s="25" t="s">
        <v>366</v>
      </c>
      <c r="D109" s="25">
        <f>Source!BC37</f>
        <v>6.61</v>
      </c>
      <c r="F109" s="12"/>
      <c r="G109" s="12"/>
      <c r="H109" s="12"/>
    </row>
    <row r="110" spans="1:28" ht="14.25" x14ac:dyDescent="0.2">
      <c r="A110" s="49">
        <v>15</v>
      </c>
      <c r="B110" s="49" t="str">
        <f>Source!E38</f>
        <v>6,2</v>
      </c>
      <c r="C110" s="49" t="str">
        <f>Source!G38</f>
        <v>Листы облицовочные декоративные</v>
      </c>
      <c r="D110" s="49" t="str">
        <f>Source!F38</f>
        <v>01.6.01.11</v>
      </c>
      <c r="E110" s="34" t="str">
        <f>Source!H38</f>
        <v>м2</v>
      </c>
      <c r="F110" s="12">
        <f>Source!I38</f>
        <v>165.32249999999999</v>
      </c>
      <c r="G110" s="24">
        <f>Source!AB38</f>
        <v>0</v>
      </c>
      <c r="H110" s="24">
        <f>Source!O38</f>
        <v>0</v>
      </c>
      <c r="T110">
        <f>Source!O38+Source!X38+Source!Y38</f>
        <v>0</v>
      </c>
      <c r="U110">
        <f>Source!P38</f>
        <v>0</v>
      </c>
      <c r="V110">
        <f>Source!S38</f>
        <v>0</v>
      </c>
      <c r="W110">
        <f>Source!Q38</f>
        <v>0</v>
      </c>
      <c r="X110">
        <f>Source!R38</f>
        <v>0</v>
      </c>
      <c r="Y110">
        <f>Source!U38</f>
        <v>0</v>
      </c>
      <c r="Z110">
        <f>Source!V38</f>
        <v>0</v>
      </c>
      <c r="AA110">
        <f>Source!X38</f>
        <v>0</v>
      </c>
      <c r="AB110">
        <f>Source!Y38</f>
        <v>0</v>
      </c>
    </row>
    <row r="111" spans="1:28" ht="14.25" x14ac:dyDescent="0.2">
      <c r="C111" s="25" t="s">
        <v>366</v>
      </c>
      <c r="D111" s="25">
        <f>Source!BC38</f>
        <v>6.61</v>
      </c>
      <c r="F111" s="12"/>
      <c r="G111" s="12"/>
      <c r="H111" s="12"/>
    </row>
    <row r="112" spans="1:28" ht="28.5" x14ac:dyDescent="0.2">
      <c r="A112" s="49">
        <v>16</v>
      </c>
      <c r="B112" s="49" t="str">
        <f>Source!E39</f>
        <v>7</v>
      </c>
      <c r="C112" s="49" t="str">
        <f>Source!G39</f>
        <v>Установка уголков ПВХ на клее</v>
      </c>
      <c r="D112" s="49" t="str">
        <f>Source!F39</f>
        <v>10-01-036-01</v>
      </c>
      <c r="E112" s="34" t="str">
        <f>Source!H39</f>
        <v>100 м</v>
      </c>
      <c r="F112" s="12">
        <f>Source!I39</f>
        <v>3.149</v>
      </c>
      <c r="G112" s="24">
        <f>Source!AB39</f>
        <v>101.72</v>
      </c>
      <c r="H112" s="24">
        <f>Source!O39</f>
        <v>2117.29</v>
      </c>
      <c r="T112">
        <f>Source!O39+Source!X39+Source!Y39</f>
        <v>4306.01</v>
      </c>
      <c r="U112">
        <f>Source!P39</f>
        <v>749.34</v>
      </c>
      <c r="V112">
        <f>Source!S39</f>
        <v>1367.95</v>
      </c>
      <c r="W112">
        <f>Source!Q39</f>
        <v>0</v>
      </c>
      <c r="X112">
        <f>Source!R39</f>
        <v>0</v>
      </c>
      <c r="Y112">
        <f>Source!U39</f>
        <v>24.263044999999998</v>
      </c>
      <c r="Z112">
        <f>Source!V39</f>
        <v>0</v>
      </c>
      <c r="AA112">
        <f>Source!X39</f>
        <v>1450.03</v>
      </c>
      <c r="AB112">
        <f>Source!Y39</f>
        <v>738.69</v>
      </c>
    </row>
    <row r="113" spans="1:28" ht="14.25" x14ac:dyDescent="0.2">
      <c r="C113" s="25" t="s">
        <v>364</v>
      </c>
      <c r="D113" s="25">
        <f>Source!BA39</f>
        <v>6.61</v>
      </c>
      <c r="F113" s="12"/>
      <c r="G113" s="12"/>
      <c r="H113" s="12"/>
    </row>
    <row r="114" spans="1:28" x14ac:dyDescent="0.2">
      <c r="C114" s="25" t="s">
        <v>365</v>
      </c>
      <c r="D114" s="25">
        <f>Source!BB39</f>
        <v>6.61</v>
      </c>
    </row>
    <row r="115" spans="1:28" x14ac:dyDescent="0.2">
      <c r="C115" s="25" t="s">
        <v>366</v>
      </c>
      <c r="D115" s="25">
        <f>Source!BC39</f>
        <v>6.61</v>
      </c>
    </row>
    <row r="116" spans="1:28" x14ac:dyDescent="0.2">
      <c r="C116" s="25" t="s">
        <v>367</v>
      </c>
      <c r="D116" s="25">
        <f>Source!BS39</f>
        <v>6.61</v>
      </c>
    </row>
    <row r="117" spans="1:28" x14ac:dyDescent="0.2">
      <c r="C117" s="9" t="s">
        <v>368</v>
      </c>
      <c r="D117" s="37"/>
      <c r="E117" s="37"/>
      <c r="F117" s="37">
        <f>Source!BZ39</f>
        <v>118</v>
      </c>
      <c r="G117" s="60">
        <f>(Source!AF39+Source!AE39)*Source!FX39/100</f>
        <v>69.794640000000001</v>
      </c>
      <c r="H117" s="60">
        <f>Source!X39</f>
        <v>1450.03</v>
      </c>
    </row>
    <row r="118" spans="1:28" x14ac:dyDescent="0.2">
      <c r="C118" s="9" t="s">
        <v>369</v>
      </c>
      <c r="D118" s="37"/>
      <c r="E118" s="37"/>
      <c r="F118" s="37"/>
      <c r="G118" s="37" t="str">
        <f>CONCATENATE(Source!DL39,Source!FT39, "=", Source!FX39, "%")</f>
        <v>*0,9=106,2%</v>
      </c>
      <c r="H118" s="37" t="str">
        <f>CONCATENATE(Source!AT39)</f>
        <v>106</v>
      </c>
    </row>
    <row r="119" spans="1:28" x14ac:dyDescent="0.2">
      <c r="C119" s="9" t="s">
        <v>370</v>
      </c>
      <c r="D119" s="37"/>
      <c r="E119" s="37"/>
      <c r="F119" s="37">
        <f>Source!CA39</f>
        <v>63</v>
      </c>
      <c r="G119" s="60">
        <f>(Source!AF39+Source!AE39)*Source!FY39/100</f>
        <v>35.193059999999996</v>
      </c>
      <c r="H119" s="60">
        <f>Source!Y39</f>
        <v>738.69</v>
      </c>
    </row>
    <row r="120" spans="1:28" x14ac:dyDescent="0.2">
      <c r="C120" s="9" t="s">
        <v>371</v>
      </c>
      <c r="D120" s="37"/>
      <c r="E120" s="37"/>
      <c r="F120" s="37"/>
      <c r="G120" s="37" t="str">
        <f>CONCATENATE(Source!DM39,Source!FU39, "=", Source!FY39, "%")</f>
        <v>*0,85=53,55%</v>
      </c>
      <c r="H120" s="37" t="str">
        <f>CONCATENATE(Source!AU39)</f>
        <v>54</v>
      </c>
    </row>
    <row r="121" spans="1:28" x14ac:dyDescent="0.2">
      <c r="C121" s="9" t="s">
        <v>372</v>
      </c>
      <c r="D121" s="37"/>
      <c r="E121" s="37"/>
      <c r="F121" s="37"/>
      <c r="G121" s="60">
        <f>((Source!AF39+Source!AE39)*Source!FX39/100)+((Source!AF39+Source!AE39)*Source!FY39/100)+Source!AB39</f>
        <v>206.70769999999999</v>
      </c>
      <c r="H121" s="60">
        <f>Source!O39+Source!X39+Source!Y39</f>
        <v>4306.01</v>
      </c>
    </row>
    <row r="122" spans="1:28" ht="54" x14ac:dyDescent="0.2">
      <c r="A122" s="49">
        <v>17</v>
      </c>
      <c r="B122" s="49" t="str">
        <f>Source!E40</f>
        <v>7,1</v>
      </c>
      <c r="C122" s="49" t="s">
        <v>320</v>
      </c>
      <c r="D122" s="49" t="str">
        <f>Source!F40</f>
        <v>Средняя коммерческая цена</v>
      </c>
      <c r="E122" s="34" t="str">
        <f>Source!H40</f>
        <v>м</v>
      </c>
      <c r="F122" s="12">
        <f>Source!I40</f>
        <v>314.89999999999998</v>
      </c>
      <c r="G122" s="24">
        <f>Source!AB40</f>
        <v>7.73</v>
      </c>
      <c r="H122" s="24">
        <f>Source!O40</f>
        <v>16089.91</v>
      </c>
      <c r="T122">
        <f>Source!O40+Source!X40+Source!Y40</f>
        <v>16089.91</v>
      </c>
      <c r="U122">
        <f>Source!P40</f>
        <v>16089.91</v>
      </c>
      <c r="V122">
        <f>Source!S40</f>
        <v>0</v>
      </c>
      <c r="W122">
        <f>Source!Q40</f>
        <v>0</v>
      </c>
      <c r="X122">
        <f>Source!R40</f>
        <v>0</v>
      </c>
      <c r="Y122">
        <f>Source!U40</f>
        <v>0</v>
      </c>
      <c r="Z122">
        <f>Source!V40</f>
        <v>0</v>
      </c>
      <c r="AA122">
        <f>Source!X40</f>
        <v>0</v>
      </c>
      <c r="AB122">
        <f>Source!Y40</f>
        <v>0</v>
      </c>
    </row>
    <row r="123" spans="1:28" ht="14.25" x14ac:dyDescent="0.2">
      <c r="C123" s="25" t="s">
        <v>366</v>
      </c>
      <c r="D123" s="25">
        <f>Source!BC40</f>
        <v>6.61</v>
      </c>
      <c r="F123" s="12"/>
      <c r="G123" s="12"/>
      <c r="H123" s="12"/>
    </row>
    <row r="124" spans="1:28" ht="14.25" x14ac:dyDescent="0.2">
      <c r="A124" s="49">
        <v>18</v>
      </c>
      <c r="B124" s="49" t="str">
        <f>Source!E41</f>
        <v>7,2</v>
      </c>
      <c r="C124" s="49" t="str">
        <f>Source!G41</f>
        <v>Уголок ПВХ</v>
      </c>
      <c r="D124" s="49" t="str">
        <f>Source!F41</f>
        <v>11.3.03.13</v>
      </c>
      <c r="E124" s="34" t="str">
        <f>Source!H41</f>
        <v>П.М</v>
      </c>
      <c r="F124" s="12">
        <f>Source!I41</f>
        <v>314.89999999999998</v>
      </c>
      <c r="G124" s="24">
        <f>Source!AB41</f>
        <v>0</v>
      </c>
      <c r="H124" s="24">
        <f>Source!O41</f>
        <v>0</v>
      </c>
      <c r="T124">
        <f>Source!O41+Source!X41+Source!Y41</f>
        <v>0</v>
      </c>
      <c r="U124">
        <f>Source!P41</f>
        <v>0</v>
      </c>
      <c r="V124">
        <f>Source!S41</f>
        <v>0</v>
      </c>
      <c r="W124">
        <f>Source!Q41</f>
        <v>0</v>
      </c>
      <c r="X124">
        <f>Source!R41</f>
        <v>0</v>
      </c>
      <c r="Y124">
        <f>Source!U41</f>
        <v>0</v>
      </c>
      <c r="Z124">
        <f>Source!V41</f>
        <v>0</v>
      </c>
      <c r="AA124">
        <f>Source!X41</f>
        <v>0</v>
      </c>
      <c r="AB124">
        <f>Source!Y41</f>
        <v>0</v>
      </c>
    </row>
    <row r="125" spans="1:28" ht="14.25" x14ac:dyDescent="0.2">
      <c r="C125" s="25" t="s">
        <v>366</v>
      </c>
      <c r="D125" s="25">
        <f>Source!BC41</f>
        <v>6.61</v>
      </c>
      <c r="F125" s="12"/>
      <c r="G125" s="12"/>
      <c r="H125" s="12"/>
    </row>
    <row r="127" spans="1:28" ht="15" x14ac:dyDescent="0.25">
      <c r="A127" s="61"/>
      <c r="B127" s="61"/>
      <c r="C127" s="75" t="str">
        <f>CONCATENATE("Итого по локальной смете: ",IF(Source!G43&lt;&gt;"Новая локальная смета", Source!G43, ""))</f>
        <v xml:space="preserve">Итого по локальной смете: </v>
      </c>
      <c r="D127" s="75"/>
      <c r="E127" s="75"/>
      <c r="F127" s="75"/>
      <c r="G127" s="61"/>
      <c r="H127" s="62">
        <f>IF(SUM(T36:T126)=0, "-", SUM(T36:T126))</f>
        <v>1775696.95</v>
      </c>
    </row>
    <row r="128" spans="1:28" ht="15" x14ac:dyDescent="0.25">
      <c r="A128" s="61"/>
      <c r="B128" s="61"/>
      <c r="C128" s="61"/>
      <c r="D128" s="61"/>
      <c r="E128" s="61"/>
      <c r="F128" s="61"/>
      <c r="G128" s="61"/>
      <c r="H128" s="61"/>
    </row>
    <row r="130" spans="1:12" ht="14.25" x14ac:dyDescent="0.2">
      <c r="C130" s="80" t="str">
        <f>Source!H71</f>
        <v>Итого</v>
      </c>
      <c r="D130" s="80"/>
      <c r="E130" s="80"/>
      <c r="F130" s="80"/>
      <c r="G130" s="77">
        <f>IF(Source!F71=0, "", Source!F71)</f>
        <v>1775696.95</v>
      </c>
      <c r="H130" s="77"/>
    </row>
    <row r="131" spans="1:12" ht="14.25" x14ac:dyDescent="0.2">
      <c r="C131" s="80" t="str">
        <f>Source!H72</f>
        <v>НДС 18%</v>
      </c>
      <c r="D131" s="80"/>
      <c r="E131" s="80"/>
      <c r="F131" s="80"/>
      <c r="G131" s="77">
        <f>IF(Source!F72=0, "", Source!F72)</f>
        <v>319625.45</v>
      </c>
      <c r="H131" s="77"/>
    </row>
    <row r="132" spans="1:12" ht="14.25" x14ac:dyDescent="0.2">
      <c r="C132" s="80" t="str">
        <f>Source!H73</f>
        <v>Всего</v>
      </c>
      <c r="D132" s="80"/>
      <c r="E132" s="80"/>
      <c r="F132" s="80"/>
      <c r="G132" s="77">
        <f>IF(Source!F73=0, "", Source!F73)</f>
        <v>2095322.4</v>
      </c>
      <c r="H132" s="77"/>
    </row>
    <row r="135" spans="1:12" ht="15" thickBot="1" x14ac:dyDescent="0.25">
      <c r="A135" s="87" t="s">
        <v>373</v>
      </c>
      <c r="B135" s="87"/>
      <c r="C135" s="63" t="str">
        <f>IF(Source!AC12&lt;&gt;"", Source!AC12," ")</f>
        <v xml:space="preserve"> </v>
      </c>
      <c r="D135" s="12"/>
      <c r="E135" s="64"/>
      <c r="F135" s="12"/>
      <c r="G135" s="88" t="str">
        <f>IF(Source!AB12&lt;&gt;"", Source!AB12," ")</f>
        <v xml:space="preserve"> </v>
      </c>
      <c r="H135" s="88"/>
      <c r="I135" s="12"/>
      <c r="J135" s="12"/>
      <c r="K135" s="12"/>
      <c r="L135" s="12"/>
    </row>
    <row r="136" spans="1:12" ht="14.25" x14ac:dyDescent="0.2">
      <c r="A136" s="12"/>
      <c r="B136" s="12"/>
      <c r="C136" s="65" t="s">
        <v>374</v>
      </c>
      <c r="D136" s="12"/>
      <c r="E136" s="65" t="s">
        <v>375</v>
      </c>
      <c r="F136" s="12"/>
      <c r="G136" s="89" t="s">
        <v>376</v>
      </c>
      <c r="H136" s="89"/>
      <c r="I136" s="12"/>
      <c r="J136" s="12"/>
      <c r="K136" s="12"/>
      <c r="L136" s="12"/>
    </row>
    <row r="137" spans="1:12" ht="14.25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 spans="1:12" ht="14.25" x14ac:dyDescent="0.2">
      <c r="A138" s="12"/>
      <c r="B138" s="12"/>
      <c r="C138" s="16" t="s">
        <v>377</v>
      </c>
      <c r="D138" s="12"/>
      <c r="E138" s="12"/>
      <c r="F138" s="12"/>
      <c r="G138" s="12"/>
      <c r="H138" s="12"/>
      <c r="I138" s="12"/>
      <c r="J138" s="12"/>
      <c r="K138" s="12"/>
      <c r="L138" s="12"/>
    </row>
    <row r="139" spans="1:12" ht="14.25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 spans="1:12" ht="15" thickBot="1" x14ac:dyDescent="0.25">
      <c r="A140" s="87" t="s">
        <v>378</v>
      </c>
      <c r="B140" s="87"/>
      <c r="C140" s="63" t="str">
        <f>IF(Source!AG12&lt;&gt;"", Source!AG12," ")</f>
        <v xml:space="preserve"> </v>
      </c>
      <c r="D140" s="12"/>
      <c r="E140" s="64"/>
      <c r="F140" s="12"/>
      <c r="G140" s="88" t="str">
        <f>IF(Source!AF12&lt;&gt;"", Source!AF12," ")</f>
        <v xml:space="preserve"> </v>
      </c>
      <c r="H140" s="88"/>
      <c r="I140" s="12"/>
      <c r="J140" s="12"/>
      <c r="K140" s="12"/>
      <c r="L140" s="12"/>
    </row>
    <row r="141" spans="1:12" ht="14.25" x14ac:dyDescent="0.2">
      <c r="A141" s="12"/>
      <c r="B141" s="12"/>
      <c r="C141" s="65" t="s">
        <v>374</v>
      </c>
      <c r="D141" s="12"/>
      <c r="E141" s="65" t="s">
        <v>375</v>
      </c>
      <c r="F141" s="12"/>
      <c r="G141" s="89" t="s">
        <v>376</v>
      </c>
      <c r="H141" s="89"/>
      <c r="I141" s="12"/>
      <c r="J141" s="12"/>
      <c r="K141" s="12"/>
      <c r="L141" s="12"/>
    </row>
    <row r="142" spans="1:12" ht="14.25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 spans="1:12" ht="14.25" x14ac:dyDescent="0.2">
      <c r="A143" s="12"/>
      <c r="B143" s="12"/>
      <c r="C143" s="16" t="s">
        <v>377</v>
      </c>
      <c r="D143" s="12"/>
      <c r="E143" s="12"/>
      <c r="F143" s="12"/>
      <c r="G143" s="12"/>
      <c r="H143" s="12"/>
      <c r="I143" s="12"/>
      <c r="J143" s="12"/>
      <c r="K143" s="12"/>
      <c r="L143" s="12"/>
    </row>
  </sheetData>
  <mergeCells count="50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G141:H141"/>
    <mergeCell ref="C127:F127"/>
    <mergeCell ref="C130:F130"/>
    <mergeCell ref="G130:H130"/>
    <mergeCell ref="C131:F131"/>
    <mergeCell ref="G131:H131"/>
    <mergeCell ref="C132:F132"/>
    <mergeCell ref="G132:H132"/>
    <mergeCell ref="A135:B135"/>
    <mergeCell ref="G135:H135"/>
    <mergeCell ref="G136:H136"/>
    <mergeCell ref="A140:B140"/>
    <mergeCell ref="G140:H140"/>
  </mergeCells>
  <pageMargins left="0.4" right="0.2" top="0.2" bottom="0.4" header="0.2" footer="0.2"/>
  <pageSetup paperSize="9" scale="85" fitToHeight="0" orientation="portrait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7" t="str">
        <f>Source!B1</f>
        <v>Smeta.RU  (495) 974-1589</v>
      </c>
      <c r="B1" s="157"/>
      <c r="C1" s="157"/>
      <c r="D1" s="157"/>
      <c r="E1" s="12"/>
      <c r="F1" s="12"/>
      <c r="G1" s="12"/>
      <c r="H1" s="111" t="s">
        <v>379</v>
      </c>
      <c r="I1" s="111"/>
      <c r="J1" s="111"/>
      <c r="K1" s="111"/>
      <c r="L1" s="111"/>
    </row>
    <row r="2" spans="1:12" ht="14.25" x14ac:dyDescent="0.2">
      <c r="A2" s="12"/>
      <c r="B2" s="12"/>
      <c r="C2" s="12"/>
      <c r="D2" s="12"/>
      <c r="E2" s="12"/>
      <c r="F2" s="12"/>
      <c r="G2" s="12"/>
      <c r="H2" s="111" t="s">
        <v>326</v>
      </c>
      <c r="I2" s="111"/>
      <c r="J2" s="111"/>
      <c r="K2" s="111"/>
      <c r="L2" s="111"/>
    </row>
    <row r="3" spans="1:12" ht="14.25" x14ac:dyDescent="0.2">
      <c r="A3" s="12"/>
      <c r="B3" s="12"/>
      <c r="C3" s="12"/>
      <c r="D3" s="12"/>
      <c r="E3" s="12"/>
      <c r="F3" s="12"/>
      <c r="G3" s="12"/>
      <c r="H3" s="111" t="s">
        <v>327</v>
      </c>
      <c r="I3" s="111"/>
      <c r="J3" s="111"/>
      <c r="K3" s="111"/>
      <c r="L3" s="111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95" t="s">
        <v>380</v>
      </c>
      <c r="L4" s="96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81" t="s">
        <v>329</v>
      </c>
      <c r="J5" s="81"/>
      <c r="K5" s="95">
        <v>322001</v>
      </c>
      <c r="L5" s="96"/>
    </row>
    <row r="6" spans="1:12" ht="14.25" x14ac:dyDescent="0.2">
      <c r="A6" s="81" t="s">
        <v>381</v>
      </c>
      <c r="B6" s="81"/>
      <c r="C6" s="156"/>
      <c r="D6" s="156"/>
      <c r="E6" s="156"/>
      <c r="F6" s="156"/>
      <c r="G6" s="156"/>
      <c r="H6" s="156"/>
      <c r="I6" s="156"/>
      <c r="J6" s="11" t="s">
        <v>332</v>
      </c>
      <c r="K6" s="95"/>
      <c r="L6" s="96"/>
    </row>
    <row r="7" spans="1:12" ht="14.25" x14ac:dyDescent="0.2">
      <c r="A7" s="12"/>
      <c r="B7" s="12"/>
      <c r="C7" s="93" t="s">
        <v>333</v>
      </c>
      <c r="D7" s="93"/>
      <c r="E7" s="93"/>
      <c r="F7" s="93"/>
      <c r="G7" s="93"/>
      <c r="H7" s="93"/>
      <c r="I7" s="93"/>
      <c r="J7" s="12"/>
      <c r="K7" s="54"/>
      <c r="L7" s="66"/>
    </row>
    <row r="8" spans="1:12" ht="14.25" x14ac:dyDescent="0.2">
      <c r="A8" s="81" t="s">
        <v>382</v>
      </c>
      <c r="B8" s="81"/>
      <c r="C8" s="156"/>
      <c r="D8" s="156"/>
      <c r="E8" s="156"/>
      <c r="F8" s="156"/>
      <c r="G8" s="156"/>
      <c r="H8" s="156"/>
      <c r="I8" s="27"/>
      <c r="J8" s="11" t="s">
        <v>332</v>
      </c>
      <c r="K8" s="106"/>
      <c r="L8" s="107"/>
    </row>
    <row r="9" spans="1:12" ht="14.25" x14ac:dyDescent="0.2">
      <c r="A9" s="12"/>
      <c r="B9" s="12"/>
      <c r="C9" s="93" t="s">
        <v>333</v>
      </c>
      <c r="D9" s="93"/>
      <c r="E9" s="93"/>
      <c r="F9" s="93"/>
      <c r="G9" s="93"/>
      <c r="H9" s="93"/>
      <c r="I9" s="93"/>
      <c r="J9" s="12"/>
      <c r="K9" s="54"/>
      <c r="L9" s="66"/>
    </row>
    <row r="10" spans="1:12" ht="14.25" x14ac:dyDescent="0.2">
      <c r="A10" s="81" t="s">
        <v>383</v>
      </c>
      <c r="B10" s="81"/>
      <c r="C10" s="156"/>
      <c r="D10" s="156"/>
      <c r="E10" s="156"/>
      <c r="F10" s="156"/>
      <c r="G10" s="156"/>
      <c r="H10" s="156"/>
      <c r="I10" s="156"/>
      <c r="J10" s="11" t="s">
        <v>332</v>
      </c>
      <c r="K10" s="106"/>
      <c r="L10" s="107"/>
    </row>
    <row r="11" spans="1:12" ht="14.25" x14ac:dyDescent="0.2">
      <c r="A11" s="12"/>
      <c r="B11" s="12"/>
      <c r="C11" s="93" t="s">
        <v>333</v>
      </c>
      <c r="D11" s="93"/>
      <c r="E11" s="93"/>
      <c r="F11" s="93"/>
      <c r="G11" s="93"/>
      <c r="H11" s="93"/>
      <c r="I11" s="93"/>
      <c r="J11" s="12"/>
      <c r="K11" s="54"/>
      <c r="L11" s="66"/>
    </row>
    <row r="12" spans="1:12" ht="14.25" x14ac:dyDescent="0.2">
      <c r="A12" s="81" t="s">
        <v>384</v>
      </c>
      <c r="B12" s="81"/>
      <c r="C12" s="156"/>
      <c r="D12" s="156"/>
      <c r="E12" s="156"/>
      <c r="F12" s="156"/>
      <c r="G12" s="156"/>
      <c r="H12" s="156"/>
      <c r="I12" s="156"/>
      <c r="J12" s="11" t="s">
        <v>332</v>
      </c>
      <c r="K12" s="106"/>
      <c r="L12" s="107"/>
    </row>
    <row r="13" spans="1:12" ht="14.25" x14ac:dyDescent="0.2">
      <c r="A13" s="12"/>
      <c r="B13" s="12"/>
      <c r="C13" s="93" t="s">
        <v>337</v>
      </c>
      <c r="D13" s="93"/>
      <c r="E13" s="93"/>
      <c r="F13" s="93"/>
      <c r="G13" s="93"/>
      <c r="H13" s="81" t="s">
        <v>385</v>
      </c>
      <c r="I13" s="81"/>
      <c r="J13" s="94"/>
      <c r="K13" s="95"/>
      <c r="L13" s="96"/>
    </row>
    <row r="14" spans="1:12" ht="14.25" x14ac:dyDescent="0.2">
      <c r="A14" s="12"/>
      <c r="B14" s="12"/>
      <c r="C14" s="12"/>
      <c r="D14" s="12"/>
      <c r="E14" s="81" t="s">
        <v>386</v>
      </c>
      <c r="F14" s="81"/>
      <c r="G14" s="81"/>
      <c r="H14" s="81"/>
      <c r="I14" s="155" t="s">
        <v>342</v>
      </c>
      <c r="J14" s="127"/>
      <c r="K14" s="95"/>
      <c r="L14" s="96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38" t="s">
        <v>343</v>
      </c>
      <c r="J15" s="139"/>
      <c r="K15" s="97"/>
      <c r="L15" s="98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27" t="s">
        <v>387</v>
      </c>
      <c r="J16" s="127"/>
      <c r="K16" s="140"/>
      <c r="L16" s="141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42" t="s">
        <v>345</v>
      </c>
      <c r="D19" s="143"/>
      <c r="E19" s="142" t="s">
        <v>346</v>
      </c>
      <c r="F19" s="146"/>
      <c r="G19" s="12"/>
      <c r="H19" s="12"/>
      <c r="I19" s="142" t="s">
        <v>347</v>
      </c>
      <c r="J19" s="143"/>
      <c r="K19" s="143"/>
      <c r="L19" s="146"/>
    </row>
    <row r="20" spans="1:12" ht="14.25" x14ac:dyDescent="0.2">
      <c r="A20" s="12"/>
      <c r="B20" s="12"/>
      <c r="C20" s="144"/>
      <c r="D20" s="145"/>
      <c r="E20" s="144"/>
      <c r="F20" s="147"/>
      <c r="G20" s="12"/>
      <c r="H20" s="12"/>
      <c r="I20" s="148" t="s">
        <v>348</v>
      </c>
      <c r="J20" s="149"/>
      <c r="K20" s="148" t="s">
        <v>349</v>
      </c>
      <c r="L20" s="150"/>
    </row>
    <row r="21" spans="1:12" ht="14.25" x14ac:dyDescent="0.2">
      <c r="A21" s="12"/>
      <c r="B21" s="12"/>
      <c r="C21" s="99"/>
      <c r="D21" s="151"/>
      <c r="E21" s="152"/>
      <c r="F21" s="153"/>
      <c r="G21" s="67"/>
      <c r="H21" s="67"/>
      <c r="I21" s="152"/>
      <c r="J21" s="154"/>
      <c r="K21" s="152"/>
      <c r="L21" s="153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92" t="s">
        <v>388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</row>
    <row r="25" spans="1:12" ht="18" x14ac:dyDescent="0.25">
      <c r="A25" s="92" t="s">
        <v>389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32" t="s">
        <v>295</v>
      </c>
      <c r="B28" s="132" t="s">
        <v>390</v>
      </c>
      <c r="C28" s="134"/>
      <c r="D28" s="134"/>
      <c r="E28" s="134"/>
      <c r="F28" s="132" t="s">
        <v>328</v>
      </c>
      <c r="G28" s="132" t="s">
        <v>391</v>
      </c>
      <c r="H28" s="134"/>
      <c r="I28" s="134"/>
      <c r="J28" s="134"/>
      <c r="K28" s="134"/>
      <c r="L28" s="136"/>
    </row>
    <row r="29" spans="1:12" x14ac:dyDescent="0.2">
      <c r="A29" s="133"/>
      <c r="B29" s="133"/>
      <c r="C29" s="135"/>
      <c r="D29" s="135"/>
      <c r="E29" s="135"/>
      <c r="F29" s="133"/>
      <c r="G29" s="132" t="s">
        <v>392</v>
      </c>
      <c r="H29" s="134"/>
      <c r="I29" s="132" t="s">
        <v>393</v>
      </c>
      <c r="J29" s="134"/>
      <c r="K29" s="132" t="s">
        <v>394</v>
      </c>
      <c r="L29" s="136"/>
    </row>
    <row r="30" spans="1:12" x14ac:dyDescent="0.2">
      <c r="A30" s="133"/>
      <c r="B30" s="133"/>
      <c r="C30" s="135"/>
      <c r="D30" s="135"/>
      <c r="E30" s="135"/>
      <c r="F30" s="133"/>
      <c r="G30" s="133"/>
      <c r="H30" s="135"/>
      <c r="I30" s="133"/>
      <c r="J30" s="135"/>
      <c r="K30" s="133"/>
      <c r="L30" s="137"/>
    </row>
    <row r="31" spans="1:12" x14ac:dyDescent="0.2">
      <c r="A31" s="133"/>
      <c r="B31" s="133"/>
      <c r="C31" s="135"/>
      <c r="D31" s="135"/>
      <c r="E31" s="135"/>
      <c r="F31" s="133"/>
      <c r="G31" s="133"/>
      <c r="H31" s="135"/>
      <c r="I31" s="133"/>
      <c r="J31" s="135"/>
      <c r="K31" s="133"/>
      <c r="L31" s="137"/>
    </row>
    <row r="32" spans="1:12" x14ac:dyDescent="0.2">
      <c r="A32" s="133"/>
      <c r="B32" s="133"/>
      <c r="C32" s="135"/>
      <c r="D32" s="135"/>
      <c r="E32" s="135"/>
      <c r="F32" s="133"/>
      <c r="G32" s="133"/>
      <c r="H32" s="135"/>
      <c r="I32" s="133"/>
      <c r="J32" s="135"/>
      <c r="K32" s="133"/>
      <c r="L32" s="137"/>
    </row>
    <row r="33" spans="1:12" ht="14.25" x14ac:dyDescent="0.2">
      <c r="A33" s="54">
        <v>1</v>
      </c>
      <c r="B33" s="95">
        <v>2</v>
      </c>
      <c r="C33" s="118"/>
      <c r="D33" s="118"/>
      <c r="E33" s="118"/>
      <c r="F33" s="54">
        <v>3</v>
      </c>
      <c r="G33" s="95">
        <v>4</v>
      </c>
      <c r="H33" s="118"/>
      <c r="I33" s="95">
        <v>5</v>
      </c>
      <c r="J33" s="118"/>
      <c r="K33" s="95">
        <v>6</v>
      </c>
      <c r="L33" s="96"/>
    </row>
    <row r="34" spans="1:12" ht="14.25" x14ac:dyDescent="0.2">
      <c r="A34" s="68"/>
      <c r="B34" s="119" t="s">
        <v>395</v>
      </c>
      <c r="C34" s="120"/>
      <c r="D34" s="120"/>
      <c r="E34" s="120"/>
      <c r="F34" s="69"/>
      <c r="G34" s="121"/>
      <c r="H34" s="122"/>
      <c r="I34" s="121"/>
      <c r="J34" s="122"/>
      <c r="K34" s="121"/>
      <c r="L34" s="123"/>
    </row>
    <row r="35" spans="1:12" ht="14.25" x14ac:dyDescent="0.2">
      <c r="A35" s="70"/>
      <c r="B35" s="124" t="s">
        <v>396</v>
      </c>
      <c r="C35" s="125"/>
      <c r="D35" s="125"/>
      <c r="E35" s="125"/>
      <c r="F35" s="125"/>
      <c r="G35" s="125"/>
      <c r="H35" s="125"/>
      <c r="I35" s="125"/>
      <c r="J35" s="125"/>
      <c r="K35" s="120"/>
      <c r="L35" s="126"/>
    </row>
    <row r="36" spans="1:12" ht="14.25" x14ac:dyDescent="0.2">
      <c r="A36" s="127" t="s">
        <v>150</v>
      </c>
      <c r="B36" s="127"/>
      <c r="C36" s="127"/>
      <c r="D36" s="127"/>
      <c r="E36" s="127"/>
      <c r="F36" s="127"/>
      <c r="G36" s="127"/>
      <c r="H36" s="127"/>
      <c r="I36" s="127"/>
      <c r="J36" s="128"/>
      <c r="K36" s="129"/>
      <c r="L36" s="128"/>
    </row>
    <row r="37" spans="1:12" ht="14.25" x14ac:dyDescent="0.2">
      <c r="A37" s="115" t="s">
        <v>397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30"/>
      <c r="L37" s="131"/>
    </row>
    <row r="38" spans="1:12" ht="14.25" x14ac:dyDescent="0.2">
      <c r="A38" s="115" t="s">
        <v>398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6"/>
      <c r="L38" s="117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87" t="s">
        <v>382</v>
      </c>
      <c r="B42" s="87"/>
      <c r="C42" s="113"/>
      <c r="D42" s="113"/>
      <c r="E42" s="113"/>
      <c r="F42" s="12"/>
      <c r="G42" s="113"/>
      <c r="H42" s="113"/>
      <c r="I42" s="12"/>
      <c r="J42" s="113"/>
      <c r="K42" s="113"/>
      <c r="L42" s="113"/>
    </row>
    <row r="43" spans="1:12" ht="14.25" x14ac:dyDescent="0.2">
      <c r="A43" s="12"/>
      <c r="B43" s="12"/>
      <c r="C43" s="114" t="s">
        <v>374</v>
      </c>
      <c r="D43" s="114"/>
      <c r="E43" s="114"/>
      <c r="F43" s="12"/>
      <c r="G43" s="114" t="s">
        <v>375</v>
      </c>
      <c r="H43" s="114"/>
      <c r="I43" s="12"/>
      <c r="J43" s="114" t="s">
        <v>376</v>
      </c>
      <c r="K43" s="114"/>
      <c r="L43" s="114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399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87" t="s">
        <v>383</v>
      </c>
      <c r="B49" s="87"/>
      <c r="C49" s="113"/>
      <c r="D49" s="113"/>
      <c r="E49" s="113"/>
      <c r="F49" s="12"/>
      <c r="G49" s="113"/>
      <c r="H49" s="113"/>
      <c r="I49" s="12"/>
      <c r="J49" s="113"/>
      <c r="K49" s="113"/>
      <c r="L49" s="113"/>
    </row>
    <row r="50" spans="1:12" ht="14.25" x14ac:dyDescent="0.2">
      <c r="A50" s="12"/>
      <c r="B50" s="12"/>
      <c r="C50" s="114" t="s">
        <v>374</v>
      </c>
      <c r="D50" s="114"/>
      <c r="E50" s="114"/>
      <c r="F50" s="12"/>
      <c r="G50" s="114" t="s">
        <v>375</v>
      </c>
      <c r="H50" s="114"/>
      <c r="I50" s="12"/>
      <c r="J50" s="114" t="s">
        <v>376</v>
      </c>
      <c r="K50" s="114"/>
      <c r="L50" s="114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399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2" bottom="0.4" header="0.2" footer="0.2"/>
  <pageSetup paperSize="9" scale="80" fitToHeight="0" orientation="portrait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38"/>
  <sheetViews>
    <sheetView workbookViewId="0">
      <selection activeCell="G13" sqref="G1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133</v>
      </c>
      <c r="C12" s="1">
        <v>0</v>
      </c>
      <c r="D12" s="1">
        <f>ROW(A75)</f>
        <v>75</v>
      </c>
      <c r="E12" s="1">
        <v>0</v>
      </c>
      <c r="F12" s="1" t="s">
        <v>4</v>
      </c>
      <c r="G12" s="1" t="s">
        <v>401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B75</f>
        <v>133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  <c r="H18" s="2"/>
      <c r="I18" s="2"/>
      <c r="J18" s="2"/>
      <c r="K18" s="2"/>
      <c r="L18" s="2"/>
      <c r="M18" s="2"/>
      <c r="N18" s="2"/>
      <c r="O18" s="2">
        <f t="shared" ref="O18:AT18" si="1">O75</f>
        <v>1654950.14</v>
      </c>
      <c r="P18" s="2">
        <f t="shared" si="1"/>
        <v>1569827.5</v>
      </c>
      <c r="Q18" s="2">
        <f t="shared" si="1"/>
        <v>9882.8799999999992</v>
      </c>
      <c r="R18" s="2">
        <f t="shared" si="1"/>
        <v>2879.44</v>
      </c>
      <c r="S18" s="2">
        <f t="shared" si="1"/>
        <v>75239.759999999995</v>
      </c>
      <c r="T18" s="2">
        <f t="shared" si="1"/>
        <v>0</v>
      </c>
      <c r="U18" s="2">
        <f t="shared" si="1"/>
        <v>1321.2653982499999</v>
      </c>
      <c r="V18" s="2">
        <f t="shared" si="1"/>
        <v>34.030349999999999</v>
      </c>
      <c r="W18" s="2">
        <f t="shared" si="1"/>
        <v>0</v>
      </c>
      <c r="X18" s="2">
        <f t="shared" si="1"/>
        <v>78082.880000000005</v>
      </c>
      <c r="Y18" s="2">
        <f t="shared" si="1"/>
        <v>42663.93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1775696.95</v>
      </c>
      <c r="AS18" s="2">
        <f t="shared" si="1"/>
        <v>1775696.95</v>
      </c>
      <c r="AT18" s="2">
        <f t="shared" si="1"/>
        <v>0</v>
      </c>
      <c r="AU18" s="2">
        <f t="shared" ref="AU18:BZ18" si="2">AU75</f>
        <v>0</v>
      </c>
      <c r="AV18" s="2">
        <f t="shared" si="2"/>
        <v>1569827.5</v>
      </c>
      <c r="AW18" s="2">
        <f t="shared" si="2"/>
        <v>1569827.5</v>
      </c>
      <c r="AX18" s="2">
        <f t="shared" si="2"/>
        <v>0</v>
      </c>
      <c r="AY18" s="2">
        <f t="shared" si="2"/>
        <v>1569827.5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ROW(A43)</f>
        <v>43</v>
      </c>
      <c r="E20" s="1"/>
      <c r="F20" s="1" t="s">
        <v>10</v>
      </c>
      <c r="G20" s="1" t="s">
        <v>10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B43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O43</f>
        <v>1654950.14</v>
      </c>
      <c r="P22" s="2">
        <f t="shared" si="8"/>
        <v>1569827.5</v>
      </c>
      <c r="Q22" s="2">
        <f t="shared" si="8"/>
        <v>9882.8799999999992</v>
      </c>
      <c r="R22" s="2">
        <f t="shared" si="8"/>
        <v>2879.44</v>
      </c>
      <c r="S22" s="2">
        <f t="shared" si="8"/>
        <v>75239.759999999995</v>
      </c>
      <c r="T22" s="2">
        <f t="shared" si="8"/>
        <v>0</v>
      </c>
      <c r="U22" s="2">
        <f t="shared" si="8"/>
        <v>1321.2653982499999</v>
      </c>
      <c r="V22" s="2">
        <f t="shared" si="8"/>
        <v>34.030349999999999</v>
      </c>
      <c r="W22" s="2">
        <f t="shared" si="8"/>
        <v>0</v>
      </c>
      <c r="X22" s="2">
        <f t="shared" si="8"/>
        <v>78082.880000000005</v>
      </c>
      <c r="Y22" s="2">
        <f t="shared" si="8"/>
        <v>42663.93</v>
      </c>
      <c r="Z22" s="2">
        <f t="shared" si="8"/>
        <v>0</v>
      </c>
      <c r="AA22" s="2">
        <f t="shared" si="8"/>
        <v>0</v>
      </c>
      <c r="AB22" s="2">
        <f t="shared" si="8"/>
        <v>1654950.14</v>
      </c>
      <c r="AC22" s="2">
        <f t="shared" si="8"/>
        <v>1569827.5</v>
      </c>
      <c r="AD22" s="2">
        <f t="shared" si="8"/>
        <v>9882.8799999999992</v>
      </c>
      <c r="AE22" s="2">
        <f t="shared" si="8"/>
        <v>2879.44</v>
      </c>
      <c r="AF22" s="2">
        <f t="shared" si="8"/>
        <v>75239.759999999995</v>
      </c>
      <c r="AG22" s="2">
        <f t="shared" si="8"/>
        <v>0</v>
      </c>
      <c r="AH22" s="2">
        <f t="shared" si="8"/>
        <v>1321.2653982499999</v>
      </c>
      <c r="AI22" s="2">
        <f t="shared" si="8"/>
        <v>34.030349999999999</v>
      </c>
      <c r="AJ22" s="2">
        <f t="shared" si="8"/>
        <v>0</v>
      </c>
      <c r="AK22" s="2">
        <f t="shared" si="8"/>
        <v>78082.880000000005</v>
      </c>
      <c r="AL22" s="2">
        <f t="shared" si="8"/>
        <v>42663.93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1775696.95</v>
      </c>
      <c r="AS22" s="2">
        <f t="shared" si="8"/>
        <v>1775696.95</v>
      </c>
      <c r="AT22" s="2">
        <f t="shared" si="8"/>
        <v>0</v>
      </c>
      <c r="AU22" s="2">
        <f t="shared" ref="AU22:BZ22" si="9">AU43</f>
        <v>0</v>
      </c>
      <c r="AV22" s="2">
        <f t="shared" si="9"/>
        <v>1569827.5</v>
      </c>
      <c r="AW22" s="2">
        <f t="shared" si="9"/>
        <v>1569827.5</v>
      </c>
      <c r="AX22" s="2">
        <f t="shared" si="9"/>
        <v>0</v>
      </c>
      <c r="AY22" s="2">
        <f t="shared" si="9"/>
        <v>1569827.5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CA43</f>
        <v>1775696.95</v>
      </c>
      <c r="CB22" s="2">
        <f t="shared" si="10"/>
        <v>1775696.95</v>
      </c>
      <c r="CC22" s="2">
        <f t="shared" si="10"/>
        <v>0</v>
      </c>
      <c r="CD22" s="2">
        <f t="shared" si="10"/>
        <v>0</v>
      </c>
      <c r="CE22" s="2">
        <f t="shared" si="10"/>
        <v>1569827.5</v>
      </c>
      <c r="CF22" s="2">
        <f t="shared" si="10"/>
        <v>1569827.5</v>
      </c>
      <c r="CG22" s="2">
        <f t="shared" si="10"/>
        <v>0</v>
      </c>
      <c r="CH22" s="2">
        <f t="shared" si="10"/>
        <v>1569827.5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ROW(SmtRes!A3)</f>
        <v>3</v>
      </c>
      <c r="D24">
        <f>ROW(EtalonRes!A3)</f>
        <v>3</v>
      </c>
      <c r="E24" t="s">
        <v>11</v>
      </c>
      <c r="F24" t="s">
        <v>12</v>
      </c>
      <c r="G24" t="s">
        <v>13</v>
      </c>
      <c r="H24" t="s">
        <v>14</v>
      </c>
      <c r="I24">
        <f>ROUND(246.75/100,9)</f>
        <v>2.4674999999999998</v>
      </c>
      <c r="J24">
        <v>0</v>
      </c>
      <c r="O24">
        <f t="shared" ref="O24:O41" si="14">ROUND(CP24,2)</f>
        <v>28824</v>
      </c>
      <c r="P24">
        <f t="shared" ref="P24:P41" si="15">ROUND(CQ24*I24,2)</f>
        <v>0</v>
      </c>
      <c r="Q24">
        <f t="shared" ref="Q24:Q41" si="16">ROUND(CR24*I24,2)</f>
        <v>3946.25</v>
      </c>
      <c r="R24">
        <f t="shared" ref="R24:R41" si="17">ROUND(CS24*I24,2)</f>
        <v>1704.25</v>
      </c>
      <c r="S24">
        <f t="shared" ref="S24:S41" si="18">ROUND(CT24*I24,2)</f>
        <v>24877.75</v>
      </c>
      <c r="T24">
        <f t="shared" ref="T24:T41" si="19">ROUND(CU24*I24,2)</f>
        <v>0</v>
      </c>
      <c r="U24">
        <f t="shared" ref="U24:U41" si="20">CV24*I24</f>
        <v>465.22244999999992</v>
      </c>
      <c r="V24">
        <f t="shared" ref="V24:V41" si="21">CW24*I24</f>
        <v>19.09845</v>
      </c>
      <c r="W24">
        <f t="shared" ref="W24:W41" si="22">ROUND(CX24*I24,2)</f>
        <v>0</v>
      </c>
      <c r="X24">
        <f t="shared" ref="X24:X41" si="23">ROUND(CY24,2)</f>
        <v>26316.18</v>
      </c>
      <c r="Y24">
        <f t="shared" ref="Y24:Y41" si="24">ROUND(CZ24,2)</f>
        <v>15949.2</v>
      </c>
      <c r="AA24">
        <v>39107596</v>
      </c>
      <c r="AB24">
        <f t="shared" ref="AB24:AB41" si="25">ROUND((AC24+AD24+AF24),2)</f>
        <v>1767.24</v>
      </c>
      <c r="AC24">
        <f t="shared" ref="AC24:AC41" si="26">ROUND((ES24),2)</f>
        <v>0</v>
      </c>
      <c r="AD24">
        <f>ROUND((((ET24)-(EU24))+AE24),2)</f>
        <v>241.95</v>
      </c>
      <c r="AE24">
        <f>ROUND((EU24),2)</f>
        <v>104.49</v>
      </c>
      <c r="AF24">
        <f>ROUND((EV24),2)</f>
        <v>1525.29</v>
      </c>
      <c r="AG24">
        <f t="shared" ref="AG24:AG41" si="27">ROUND((AP24),2)</f>
        <v>0</v>
      </c>
      <c r="AH24">
        <f>(EW24)</f>
        <v>188.54</v>
      </c>
      <c r="AI24">
        <f>(EX24)</f>
        <v>7.74</v>
      </c>
      <c r="AJ24">
        <f t="shared" ref="AJ24:AJ41" si="28">ROUND((AS24),2)</f>
        <v>0</v>
      </c>
      <c r="AK24">
        <v>1767.24</v>
      </c>
      <c r="AL24">
        <v>0</v>
      </c>
      <c r="AM24">
        <v>241.95</v>
      </c>
      <c r="AN24">
        <v>104.49</v>
      </c>
      <c r="AO24">
        <v>1525.29</v>
      </c>
      <c r="AP24">
        <v>0</v>
      </c>
      <c r="AQ24">
        <v>188.54</v>
      </c>
      <c r="AR24">
        <v>7.74</v>
      </c>
      <c r="AS24">
        <v>0</v>
      </c>
      <c r="AT24">
        <v>99</v>
      </c>
      <c r="AU24">
        <v>60</v>
      </c>
      <c r="AV24">
        <v>1</v>
      </c>
      <c r="AW24">
        <v>1</v>
      </c>
      <c r="AZ24">
        <v>6.61</v>
      </c>
      <c r="BA24">
        <v>6.61</v>
      </c>
      <c r="BB24">
        <v>6.61</v>
      </c>
      <c r="BC24">
        <v>6.61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15</v>
      </c>
      <c r="BM24">
        <v>46001</v>
      </c>
      <c r="BN24">
        <v>0</v>
      </c>
      <c r="BO24" t="s">
        <v>3</v>
      </c>
      <c r="BP24">
        <v>0</v>
      </c>
      <c r="BQ24">
        <v>2</v>
      </c>
      <c r="BR24">
        <v>0</v>
      </c>
      <c r="BS24">
        <v>6.61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110</v>
      </c>
      <c r="CA24">
        <v>70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41" si="29">(P24+Q24+S24)</f>
        <v>28824</v>
      </c>
      <c r="CQ24">
        <f t="shared" ref="CQ24:CQ41" si="30">AC24*BC24</f>
        <v>0</v>
      </c>
      <c r="CR24">
        <f t="shared" ref="CR24:CR41" si="31">AD24*BB24</f>
        <v>1599.2895000000001</v>
      </c>
      <c r="CS24">
        <f t="shared" ref="CS24:CS41" si="32">AE24*BS24</f>
        <v>690.6789</v>
      </c>
      <c r="CT24">
        <f t="shared" ref="CT24:CT41" si="33">AF24*BA24</f>
        <v>10082.1669</v>
      </c>
      <c r="CU24">
        <f t="shared" ref="CU24:CU41" si="34">AG24</f>
        <v>0</v>
      </c>
      <c r="CV24">
        <f t="shared" ref="CV24:CV41" si="35">AH24</f>
        <v>188.54</v>
      </c>
      <c r="CW24">
        <f t="shared" ref="CW24:CW41" si="36">AI24</f>
        <v>7.74</v>
      </c>
      <c r="CX24">
        <f t="shared" ref="CX24:CX41" si="37">AJ24</f>
        <v>0</v>
      </c>
      <c r="CY24">
        <f t="shared" ref="CY24:CY41" si="38">(((S24+R24)*AT24)/100)</f>
        <v>26316.18</v>
      </c>
      <c r="CZ24">
        <f t="shared" ref="CZ24:CZ41" si="39">(((S24+R24)*AU24)/100)</f>
        <v>15949.2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14</v>
      </c>
      <c r="DW24" t="s">
        <v>14</v>
      </c>
      <c r="DX24">
        <v>100</v>
      </c>
      <c r="EE24">
        <v>39174571</v>
      </c>
      <c r="EF24">
        <v>2</v>
      </c>
      <c r="EG24" t="s">
        <v>16</v>
      </c>
      <c r="EH24">
        <v>0</v>
      </c>
      <c r="EI24" t="s">
        <v>3</v>
      </c>
      <c r="EJ24">
        <v>1</v>
      </c>
      <c r="EK24">
        <v>46001</v>
      </c>
      <c r="EL24" t="s">
        <v>17</v>
      </c>
      <c r="EM24" t="s">
        <v>18</v>
      </c>
      <c r="EO24" t="s">
        <v>3</v>
      </c>
      <c r="EQ24">
        <v>0</v>
      </c>
      <c r="ER24">
        <v>1767.24</v>
      </c>
      <c r="ES24">
        <v>0</v>
      </c>
      <c r="ET24">
        <v>241.95</v>
      </c>
      <c r="EU24">
        <v>104.49</v>
      </c>
      <c r="EV24">
        <v>1525.29</v>
      </c>
      <c r="EW24">
        <v>188.54</v>
      </c>
      <c r="EX24">
        <v>7.74</v>
      </c>
      <c r="EY24">
        <v>0</v>
      </c>
      <c r="FQ24">
        <v>0</v>
      </c>
      <c r="FR24">
        <f t="shared" ref="FR24:FR41" si="40">ROUND(IF(AND(BH24=3,BI24=3),P24,0),2)</f>
        <v>0</v>
      </c>
      <c r="FS24">
        <v>0</v>
      </c>
      <c r="FT24" t="s">
        <v>19</v>
      </c>
      <c r="FU24" t="s">
        <v>20</v>
      </c>
      <c r="FX24">
        <v>99</v>
      </c>
      <c r="FY24">
        <v>59.5</v>
      </c>
      <c r="GA24" t="s">
        <v>3</v>
      </c>
      <c r="GD24">
        <v>0</v>
      </c>
      <c r="GF24">
        <v>1630687704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41" si="41">ROUND(IF(AND(BH24=3,BI24=3,FS24&lt;&gt;0),P24,0),2)</f>
        <v>0</v>
      </c>
      <c r="GM24">
        <f t="shared" ref="GM24:GM41" si="42">ROUND(O24+X24+Y24+GK24,2)+GX24</f>
        <v>71089.38</v>
      </c>
      <c r="GN24">
        <f t="shared" ref="GN24:GN41" si="43">IF(OR(BI24=0,BI24=1),ROUND(O24+X24+Y24+GK24,2),0)</f>
        <v>71089.38</v>
      </c>
      <c r="GO24">
        <f t="shared" ref="GO24:GO41" si="44">IF(BI24=2,ROUND(O24+X24+Y24+GK24,2),0)</f>
        <v>0</v>
      </c>
      <c r="GP24">
        <f t="shared" ref="GP24:GP41" si="45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41" si="46">ROUND(GT24,2)</f>
        <v>0</v>
      </c>
      <c r="GW24">
        <v>1</v>
      </c>
      <c r="GX24">
        <f t="shared" ref="GX24:GX41" si="47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ROW(SmtRes!A15)</f>
        <v>15</v>
      </c>
      <c r="D25">
        <f>ROW(EtalonRes!A14)</f>
        <v>14</v>
      </c>
      <c r="E25" t="s">
        <v>21</v>
      </c>
      <c r="F25" t="s">
        <v>22</v>
      </c>
      <c r="G25" t="s">
        <v>23</v>
      </c>
      <c r="H25" t="s">
        <v>14</v>
      </c>
      <c r="I25">
        <f>ROUND(246.75/100,9)</f>
        <v>2.4674999999999998</v>
      </c>
      <c r="J25">
        <v>0</v>
      </c>
      <c r="O25">
        <f t="shared" si="14"/>
        <v>169091.5</v>
      </c>
      <c r="P25">
        <f t="shared" si="15"/>
        <v>139436.01</v>
      </c>
      <c r="Q25">
        <f t="shared" si="16"/>
        <v>5203.1099999999997</v>
      </c>
      <c r="R25">
        <f t="shared" si="17"/>
        <v>1025.9100000000001</v>
      </c>
      <c r="S25">
        <f t="shared" si="18"/>
        <v>24452.38</v>
      </c>
      <c r="T25">
        <f t="shared" si="19"/>
        <v>0</v>
      </c>
      <c r="U25">
        <f t="shared" si="20"/>
        <v>423.26014499999997</v>
      </c>
      <c r="V25">
        <f t="shared" si="21"/>
        <v>13.046906250000001</v>
      </c>
      <c r="W25">
        <f t="shared" si="22"/>
        <v>0</v>
      </c>
      <c r="X25">
        <f t="shared" si="23"/>
        <v>27006.99</v>
      </c>
      <c r="Y25">
        <f t="shared" si="24"/>
        <v>13758.28</v>
      </c>
      <c r="AA25">
        <v>39107596</v>
      </c>
      <c r="AB25">
        <f t="shared" si="25"/>
        <v>10367.24</v>
      </c>
      <c r="AC25">
        <f t="shared" si="26"/>
        <v>8549.02</v>
      </c>
      <c r="AD25">
        <f>ROUND(((((ET25*1.25))-((EU25*1.25)))+AE25),2)</f>
        <v>319.01</v>
      </c>
      <c r="AE25">
        <f>ROUND(((EU25*1.25)),2)</f>
        <v>62.9</v>
      </c>
      <c r="AF25">
        <f>ROUND(((EV25*1.15)),2)</f>
        <v>1499.21</v>
      </c>
      <c r="AG25">
        <f t="shared" si="27"/>
        <v>0</v>
      </c>
      <c r="AH25">
        <f>((EW25*1.15))</f>
        <v>171.53399999999999</v>
      </c>
      <c r="AI25">
        <f>((EX25*1.25))</f>
        <v>5.2875000000000005</v>
      </c>
      <c r="AJ25">
        <f t="shared" si="28"/>
        <v>0</v>
      </c>
      <c r="AK25">
        <v>10107.89</v>
      </c>
      <c r="AL25">
        <v>8549.02</v>
      </c>
      <c r="AM25">
        <v>255.21</v>
      </c>
      <c r="AN25">
        <v>50.32</v>
      </c>
      <c r="AO25">
        <v>1303.6600000000001</v>
      </c>
      <c r="AP25">
        <v>0</v>
      </c>
      <c r="AQ25">
        <v>149.16</v>
      </c>
      <c r="AR25">
        <v>4.2300000000000004</v>
      </c>
      <c r="AS25">
        <v>0</v>
      </c>
      <c r="AT25">
        <v>106</v>
      </c>
      <c r="AU25">
        <v>54</v>
      </c>
      <c r="AV25">
        <v>1</v>
      </c>
      <c r="AW25">
        <v>1</v>
      </c>
      <c r="AZ25">
        <v>6.61</v>
      </c>
      <c r="BA25">
        <v>6.61</v>
      </c>
      <c r="BB25">
        <v>6.61</v>
      </c>
      <c r="BC25">
        <v>6.61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10001</v>
      </c>
      <c r="BN25">
        <v>0</v>
      </c>
      <c r="BO25" t="s">
        <v>3</v>
      </c>
      <c r="BP25">
        <v>0</v>
      </c>
      <c r="BQ25">
        <v>2</v>
      </c>
      <c r="BR25">
        <v>0</v>
      </c>
      <c r="BS25">
        <v>6.61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118</v>
      </c>
      <c r="CA25">
        <v>63</v>
      </c>
      <c r="CF25">
        <v>0</v>
      </c>
      <c r="CG25">
        <v>0</v>
      </c>
      <c r="CM25">
        <v>0</v>
      </c>
      <c r="CN25" t="s">
        <v>280</v>
      </c>
      <c r="CO25">
        <v>0</v>
      </c>
      <c r="CP25">
        <f t="shared" si="29"/>
        <v>169091.5</v>
      </c>
      <c r="CQ25">
        <f t="shared" si="30"/>
        <v>56509.022200000007</v>
      </c>
      <c r="CR25">
        <f t="shared" si="31"/>
        <v>2108.6561000000002</v>
      </c>
      <c r="CS25">
        <f t="shared" si="32"/>
        <v>415.76900000000001</v>
      </c>
      <c r="CT25">
        <f t="shared" si="33"/>
        <v>9909.7781000000014</v>
      </c>
      <c r="CU25">
        <f t="shared" si="34"/>
        <v>0</v>
      </c>
      <c r="CV25">
        <f t="shared" si="35"/>
        <v>171.53399999999999</v>
      </c>
      <c r="CW25">
        <f t="shared" si="36"/>
        <v>5.2875000000000005</v>
      </c>
      <c r="CX25">
        <f t="shared" si="37"/>
        <v>0</v>
      </c>
      <c r="CY25">
        <f t="shared" si="38"/>
        <v>27006.987400000002</v>
      </c>
      <c r="CZ25">
        <f t="shared" si="39"/>
        <v>13758.276600000001</v>
      </c>
      <c r="DC25" t="s">
        <v>3</v>
      </c>
      <c r="DD25" t="s">
        <v>3</v>
      </c>
      <c r="DE25" t="s">
        <v>25</v>
      </c>
      <c r="DF25" t="s">
        <v>25</v>
      </c>
      <c r="DG25" t="s">
        <v>26</v>
      </c>
      <c r="DH25" t="s">
        <v>3</v>
      </c>
      <c r="DI25" t="s">
        <v>26</v>
      </c>
      <c r="DJ25" t="s">
        <v>25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14</v>
      </c>
      <c r="DW25" t="s">
        <v>14</v>
      </c>
      <c r="DX25">
        <v>100</v>
      </c>
      <c r="EE25">
        <v>39174503</v>
      </c>
      <c r="EF25">
        <v>2</v>
      </c>
      <c r="EG25" t="s">
        <v>16</v>
      </c>
      <c r="EH25">
        <v>0</v>
      </c>
      <c r="EI25" t="s">
        <v>3</v>
      </c>
      <c r="EJ25">
        <v>1</v>
      </c>
      <c r="EK25">
        <v>10001</v>
      </c>
      <c r="EL25" t="s">
        <v>27</v>
      </c>
      <c r="EM25" t="s">
        <v>28</v>
      </c>
      <c r="EO25" t="s">
        <v>29</v>
      </c>
      <c r="EQ25">
        <v>0</v>
      </c>
      <c r="ER25">
        <v>10107.89</v>
      </c>
      <c r="ES25">
        <v>8549.02</v>
      </c>
      <c r="ET25">
        <v>255.21</v>
      </c>
      <c r="EU25">
        <v>50.32</v>
      </c>
      <c r="EV25">
        <v>1303.6600000000001</v>
      </c>
      <c r="EW25">
        <v>149.16</v>
      </c>
      <c r="EX25">
        <v>4.2300000000000004</v>
      </c>
      <c r="EY25">
        <v>0</v>
      </c>
      <c r="FQ25">
        <v>0</v>
      </c>
      <c r="FR25">
        <f t="shared" si="40"/>
        <v>0</v>
      </c>
      <c r="FS25">
        <v>0</v>
      </c>
      <c r="FT25" t="s">
        <v>19</v>
      </c>
      <c r="FU25" t="s">
        <v>20</v>
      </c>
      <c r="FX25">
        <v>106.2</v>
      </c>
      <c r="FY25">
        <v>53.55</v>
      </c>
      <c r="GA25" t="s">
        <v>3</v>
      </c>
      <c r="GD25">
        <v>0</v>
      </c>
      <c r="GF25">
        <v>-330529066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1"/>
        <v>0</v>
      </c>
      <c r="GM25">
        <f t="shared" si="42"/>
        <v>209856.77</v>
      </c>
      <c r="GN25">
        <f t="shared" si="43"/>
        <v>209856.77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3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45" x14ac:dyDescent="0.2">
      <c r="A26">
        <v>18</v>
      </c>
      <c r="B26">
        <v>1</v>
      </c>
      <c r="C26">
        <v>15</v>
      </c>
      <c r="E26" t="s">
        <v>30</v>
      </c>
      <c r="F26" t="s">
        <v>31</v>
      </c>
      <c r="G26" t="s">
        <v>32</v>
      </c>
      <c r="H26" t="s">
        <v>33</v>
      </c>
      <c r="I26">
        <f>I25*J26</f>
        <v>246.75000000000003</v>
      </c>
      <c r="J26">
        <v>100.00000000000001</v>
      </c>
      <c r="O26">
        <f t="shared" si="14"/>
        <v>985950.08</v>
      </c>
      <c r="P26">
        <f t="shared" si="15"/>
        <v>985950.08</v>
      </c>
      <c r="Q26">
        <f t="shared" si="16"/>
        <v>0</v>
      </c>
      <c r="R26">
        <f t="shared" si="17"/>
        <v>0</v>
      </c>
      <c r="S26">
        <f t="shared" si="18"/>
        <v>0</v>
      </c>
      <c r="T26">
        <f t="shared" si="19"/>
        <v>0</v>
      </c>
      <c r="U26">
        <f t="shared" si="20"/>
        <v>0</v>
      </c>
      <c r="V26">
        <f t="shared" si="21"/>
        <v>0</v>
      </c>
      <c r="W26">
        <f t="shared" si="22"/>
        <v>0</v>
      </c>
      <c r="X26">
        <f t="shared" si="23"/>
        <v>0</v>
      </c>
      <c r="Y26">
        <f t="shared" si="24"/>
        <v>0</v>
      </c>
      <c r="AA26">
        <v>39107596</v>
      </c>
      <c r="AB26">
        <f t="shared" si="25"/>
        <v>604.5</v>
      </c>
      <c r="AC26">
        <f t="shared" si="26"/>
        <v>604.5</v>
      </c>
      <c r="AD26">
        <f>ROUND((((ET26)-(EU26))+AE26),2)</f>
        <v>0</v>
      </c>
      <c r="AE26">
        <f>ROUND((EU26),2)</f>
        <v>0</v>
      </c>
      <c r="AF26">
        <f>ROUND((EV26),2)</f>
        <v>0</v>
      </c>
      <c r="AG26">
        <f t="shared" si="27"/>
        <v>0</v>
      </c>
      <c r="AH26">
        <f>(EW26)</f>
        <v>0</v>
      </c>
      <c r="AI26">
        <f>(EX26)</f>
        <v>0</v>
      </c>
      <c r="AJ26">
        <f t="shared" si="28"/>
        <v>0</v>
      </c>
      <c r="AK26">
        <v>604.5</v>
      </c>
      <c r="AL26">
        <v>604.5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106</v>
      </c>
      <c r="AU26">
        <v>54</v>
      </c>
      <c r="AV26">
        <v>1</v>
      </c>
      <c r="AW26">
        <v>1</v>
      </c>
      <c r="AZ26">
        <v>6.61</v>
      </c>
      <c r="BA26">
        <v>1</v>
      </c>
      <c r="BB26">
        <v>1</v>
      </c>
      <c r="BC26">
        <v>6.61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1</v>
      </c>
      <c r="BJ26" t="s">
        <v>3</v>
      </c>
      <c r="BM26">
        <v>10001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118</v>
      </c>
      <c r="CA26">
        <v>63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29"/>
        <v>985950.08</v>
      </c>
      <c r="CQ26">
        <f t="shared" si="30"/>
        <v>3995.7450000000003</v>
      </c>
      <c r="CR26">
        <f t="shared" si="31"/>
        <v>0</v>
      </c>
      <c r="CS26">
        <f t="shared" si="32"/>
        <v>0</v>
      </c>
      <c r="CT26">
        <f t="shared" si="33"/>
        <v>0</v>
      </c>
      <c r="CU26">
        <f t="shared" si="34"/>
        <v>0</v>
      </c>
      <c r="CV26">
        <f t="shared" si="35"/>
        <v>0</v>
      </c>
      <c r="CW26">
        <f t="shared" si="36"/>
        <v>0</v>
      </c>
      <c r="CX26">
        <f t="shared" si="37"/>
        <v>0</v>
      </c>
      <c r="CY26">
        <f t="shared" si="38"/>
        <v>0</v>
      </c>
      <c r="CZ26">
        <f t="shared" si="39"/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33</v>
      </c>
      <c r="DW26" t="s">
        <v>33</v>
      </c>
      <c r="DX26">
        <v>1</v>
      </c>
      <c r="EE26">
        <v>39174503</v>
      </c>
      <c r="EF26">
        <v>2</v>
      </c>
      <c r="EG26" t="s">
        <v>16</v>
      </c>
      <c r="EH26">
        <v>0</v>
      </c>
      <c r="EI26" t="s">
        <v>3</v>
      </c>
      <c r="EJ26">
        <v>1</v>
      </c>
      <c r="EK26">
        <v>10001</v>
      </c>
      <c r="EL26" t="s">
        <v>27</v>
      </c>
      <c r="EM26" t="s">
        <v>28</v>
      </c>
      <c r="EO26" t="s">
        <v>3</v>
      </c>
      <c r="EQ26">
        <v>0</v>
      </c>
      <c r="ER26">
        <v>604.5</v>
      </c>
      <c r="ES26">
        <v>604.5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5</v>
      </c>
      <c r="FC26">
        <v>1</v>
      </c>
      <c r="FD26">
        <v>18</v>
      </c>
      <c r="FF26">
        <v>4715</v>
      </c>
      <c r="FQ26">
        <v>0</v>
      </c>
      <c r="FR26">
        <f t="shared" si="40"/>
        <v>0</v>
      </c>
      <c r="FS26">
        <v>0</v>
      </c>
      <c r="FT26" t="s">
        <v>19</v>
      </c>
      <c r="FU26" t="s">
        <v>20</v>
      </c>
      <c r="FX26">
        <v>106.2</v>
      </c>
      <c r="FY26">
        <v>53.55</v>
      </c>
      <c r="GA26" t="s">
        <v>34</v>
      </c>
      <c r="GD26">
        <v>0</v>
      </c>
      <c r="GF26">
        <v>1819601786</v>
      </c>
      <c r="GG26">
        <v>1</v>
      </c>
      <c r="GH26">
        <v>3</v>
      </c>
      <c r="GI26">
        <v>4</v>
      </c>
      <c r="GJ26">
        <v>0</v>
      </c>
      <c r="GK26">
        <f>ROUND(R26*(R12)/100,2)</f>
        <v>0</v>
      </c>
      <c r="GL26">
        <f t="shared" si="41"/>
        <v>0</v>
      </c>
      <c r="GM26">
        <f t="shared" si="42"/>
        <v>985950.08</v>
      </c>
      <c r="GN26">
        <f t="shared" si="43"/>
        <v>985950.08</v>
      </c>
      <c r="GO26">
        <f t="shared" si="44"/>
        <v>0</v>
      </c>
      <c r="GP26">
        <f t="shared" si="45"/>
        <v>0</v>
      </c>
      <c r="GR26">
        <v>1</v>
      </c>
      <c r="GS26">
        <v>1</v>
      </c>
      <c r="GT26">
        <v>0</v>
      </c>
      <c r="GU26" t="s">
        <v>3</v>
      </c>
      <c r="GV26">
        <f t="shared" si="46"/>
        <v>0</v>
      </c>
      <c r="GW26">
        <v>1</v>
      </c>
      <c r="GX26">
        <f t="shared" si="47"/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12</v>
      </c>
      <c r="E27" t="s">
        <v>35</v>
      </c>
      <c r="F27" t="s">
        <v>36</v>
      </c>
      <c r="G27" t="s">
        <v>37</v>
      </c>
      <c r="H27" t="s">
        <v>33</v>
      </c>
      <c r="I27">
        <f>I25*J27</f>
        <v>246.75000000000003</v>
      </c>
      <c r="J27">
        <v>100.00000000000001</v>
      </c>
      <c r="O27">
        <f t="shared" si="14"/>
        <v>0</v>
      </c>
      <c r="P27">
        <f t="shared" si="15"/>
        <v>0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4"/>
        <v>0</v>
      </c>
      <c r="AA27">
        <v>39107596</v>
      </c>
      <c r="AB27">
        <f t="shared" si="25"/>
        <v>0</v>
      </c>
      <c r="AC27">
        <f t="shared" si="26"/>
        <v>0</v>
      </c>
      <c r="AD27">
        <f>ROUND((((ET27)-(EU27))+AE27),2)</f>
        <v>0</v>
      </c>
      <c r="AE27">
        <f>ROUND((EU27),2)</f>
        <v>0</v>
      </c>
      <c r="AF27">
        <f>ROUND((EV27),2)</f>
        <v>0</v>
      </c>
      <c r="AG27">
        <f t="shared" si="27"/>
        <v>0</v>
      </c>
      <c r="AH27">
        <f>(EW27)</f>
        <v>0</v>
      </c>
      <c r="AI27">
        <f>(EX27)</f>
        <v>0</v>
      </c>
      <c r="AJ27">
        <f t="shared" si="28"/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6.61</v>
      </c>
      <c r="BA27">
        <v>1</v>
      </c>
      <c r="BB27">
        <v>1</v>
      </c>
      <c r="BC27">
        <v>6.61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1</v>
      </c>
      <c r="BJ27" t="s">
        <v>3</v>
      </c>
      <c r="BM27">
        <v>10001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29"/>
        <v>0</v>
      </c>
      <c r="CQ27">
        <f t="shared" si="30"/>
        <v>0</v>
      </c>
      <c r="CR27">
        <f t="shared" si="31"/>
        <v>0</v>
      </c>
      <c r="CS27">
        <f t="shared" si="32"/>
        <v>0</v>
      </c>
      <c r="CT27">
        <f t="shared" si="33"/>
        <v>0</v>
      </c>
      <c r="CU27">
        <f t="shared" si="34"/>
        <v>0</v>
      </c>
      <c r="CV27">
        <f t="shared" si="35"/>
        <v>0</v>
      </c>
      <c r="CW27">
        <f t="shared" si="36"/>
        <v>0</v>
      </c>
      <c r="CX27">
        <f t="shared" si="37"/>
        <v>0</v>
      </c>
      <c r="CY27">
        <f t="shared" si="38"/>
        <v>0</v>
      </c>
      <c r="CZ27">
        <f t="shared" si="39"/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33</v>
      </c>
      <c r="DW27" t="s">
        <v>33</v>
      </c>
      <c r="DX27">
        <v>1</v>
      </c>
      <c r="EE27">
        <v>39174503</v>
      </c>
      <c r="EF27">
        <v>2</v>
      </c>
      <c r="EG27" t="s">
        <v>16</v>
      </c>
      <c r="EH27">
        <v>0</v>
      </c>
      <c r="EI27" t="s">
        <v>3</v>
      </c>
      <c r="EJ27">
        <v>1</v>
      </c>
      <c r="EK27">
        <v>10001</v>
      </c>
      <c r="EL27" t="s">
        <v>27</v>
      </c>
      <c r="EM27" t="s">
        <v>28</v>
      </c>
      <c r="EO27" t="s">
        <v>3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 t="shared" si="40"/>
        <v>0</v>
      </c>
      <c r="FS27">
        <v>0</v>
      </c>
      <c r="FT27" t="s">
        <v>19</v>
      </c>
      <c r="FU27" t="s">
        <v>20</v>
      </c>
      <c r="FX27">
        <v>106.2</v>
      </c>
      <c r="FY27">
        <v>53.55</v>
      </c>
      <c r="GA27" t="s">
        <v>38</v>
      </c>
      <c r="GD27">
        <v>0</v>
      </c>
      <c r="GF27">
        <v>1219964505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1"/>
        <v>0</v>
      </c>
      <c r="GM27">
        <f t="shared" si="42"/>
        <v>0</v>
      </c>
      <c r="GN27">
        <f t="shared" si="43"/>
        <v>0</v>
      </c>
      <c r="GO27">
        <f t="shared" si="44"/>
        <v>0</v>
      </c>
      <c r="GP27">
        <f t="shared" si="45"/>
        <v>0</v>
      </c>
      <c r="GR27">
        <v>0</v>
      </c>
      <c r="GS27">
        <v>4</v>
      </c>
      <c r="GT27">
        <v>0</v>
      </c>
      <c r="GU27" t="s">
        <v>3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ROW(SmtRes!A22)</f>
        <v>22</v>
      </c>
      <c r="D28">
        <f>ROW(EtalonRes!A21)</f>
        <v>21</v>
      </c>
      <c r="E28" t="s">
        <v>39</v>
      </c>
      <c r="F28" t="s">
        <v>40</v>
      </c>
      <c r="G28" t="s">
        <v>41</v>
      </c>
      <c r="H28" t="s">
        <v>42</v>
      </c>
      <c r="I28">
        <f>ROUND(117.5/100,9)</f>
        <v>1.175</v>
      </c>
      <c r="J28">
        <v>0</v>
      </c>
      <c r="O28">
        <f t="shared" si="14"/>
        <v>50592.68</v>
      </c>
      <c r="P28">
        <f t="shared" si="15"/>
        <v>48751.11</v>
      </c>
      <c r="Q28">
        <f t="shared" si="16"/>
        <v>212.65</v>
      </c>
      <c r="R28">
        <f t="shared" si="17"/>
        <v>43.03</v>
      </c>
      <c r="S28">
        <f t="shared" si="18"/>
        <v>1628.92</v>
      </c>
      <c r="T28">
        <f t="shared" si="19"/>
        <v>0</v>
      </c>
      <c r="U28">
        <f t="shared" si="20"/>
        <v>28.889724999999995</v>
      </c>
      <c r="V28">
        <f t="shared" si="21"/>
        <v>0.54343750000000002</v>
      </c>
      <c r="W28">
        <f t="shared" si="22"/>
        <v>0</v>
      </c>
      <c r="X28">
        <f t="shared" si="23"/>
        <v>1772.27</v>
      </c>
      <c r="Y28">
        <f t="shared" si="24"/>
        <v>902.85</v>
      </c>
      <c r="AA28">
        <v>39107596</v>
      </c>
      <c r="AB28">
        <f t="shared" si="25"/>
        <v>6514.01</v>
      </c>
      <c r="AC28">
        <f t="shared" si="26"/>
        <v>6276.9</v>
      </c>
      <c r="AD28">
        <f>ROUND(((((ET28*1.25))-((EU28*1.25)))+AE28),2)</f>
        <v>27.38</v>
      </c>
      <c r="AE28">
        <f>ROUND(((EU28*1.25)),2)</f>
        <v>5.54</v>
      </c>
      <c r="AF28">
        <f>ROUND(((EV28*1.15)),2)</f>
        <v>209.73</v>
      </c>
      <c r="AG28">
        <f t="shared" si="27"/>
        <v>0</v>
      </c>
      <c r="AH28">
        <f>((EW28*1.15))</f>
        <v>24.586999999999996</v>
      </c>
      <c r="AI28">
        <f>((EX28*1.25))</f>
        <v>0.46250000000000002</v>
      </c>
      <c r="AJ28">
        <f t="shared" si="28"/>
        <v>0</v>
      </c>
      <c r="AK28">
        <v>6481.17</v>
      </c>
      <c r="AL28">
        <v>6276.9</v>
      </c>
      <c r="AM28">
        <v>21.9</v>
      </c>
      <c r="AN28">
        <v>4.43</v>
      </c>
      <c r="AO28">
        <v>182.37</v>
      </c>
      <c r="AP28">
        <v>0</v>
      </c>
      <c r="AQ28">
        <v>21.38</v>
      </c>
      <c r="AR28">
        <v>0.37</v>
      </c>
      <c r="AS28">
        <v>0</v>
      </c>
      <c r="AT28">
        <v>106</v>
      </c>
      <c r="AU28">
        <v>54</v>
      </c>
      <c r="AV28">
        <v>1</v>
      </c>
      <c r="AW28">
        <v>1</v>
      </c>
      <c r="AZ28">
        <v>6.61</v>
      </c>
      <c r="BA28">
        <v>6.61</v>
      </c>
      <c r="BB28">
        <v>6.61</v>
      </c>
      <c r="BC28">
        <v>6.61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43</v>
      </c>
      <c r="BM28">
        <v>10001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6.61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118</v>
      </c>
      <c r="CA28">
        <v>63</v>
      </c>
      <c r="CF28">
        <v>0</v>
      </c>
      <c r="CG28">
        <v>0</v>
      </c>
      <c r="CM28">
        <v>0</v>
      </c>
      <c r="CN28" t="s">
        <v>280</v>
      </c>
      <c r="CO28">
        <v>0</v>
      </c>
      <c r="CP28">
        <f t="shared" si="29"/>
        <v>50592.68</v>
      </c>
      <c r="CQ28">
        <f t="shared" si="30"/>
        <v>41490.309000000001</v>
      </c>
      <c r="CR28">
        <f t="shared" si="31"/>
        <v>180.98179999999999</v>
      </c>
      <c r="CS28">
        <f t="shared" si="32"/>
        <v>36.619399999999999</v>
      </c>
      <c r="CT28">
        <f t="shared" si="33"/>
        <v>1386.3153</v>
      </c>
      <c r="CU28">
        <f t="shared" si="34"/>
        <v>0</v>
      </c>
      <c r="CV28">
        <f t="shared" si="35"/>
        <v>24.586999999999996</v>
      </c>
      <c r="CW28">
        <f t="shared" si="36"/>
        <v>0.46250000000000002</v>
      </c>
      <c r="CX28">
        <f t="shared" si="37"/>
        <v>0</v>
      </c>
      <c r="CY28">
        <f t="shared" si="38"/>
        <v>1772.2670000000001</v>
      </c>
      <c r="CZ28">
        <f t="shared" si="39"/>
        <v>902.85300000000007</v>
      </c>
      <c r="DC28" t="s">
        <v>3</v>
      </c>
      <c r="DD28" t="s">
        <v>3</v>
      </c>
      <c r="DE28" t="s">
        <v>25</v>
      </c>
      <c r="DF28" t="s">
        <v>25</v>
      </c>
      <c r="DG28" t="s">
        <v>26</v>
      </c>
      <c r="DH28" t="s">
        <v>3</v>
      </c>
      <c r="DI28" t="s">
        <v>26</v>
      </c>
      <c r="DJ28" t="s">
        <v>25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42</v>
      </c>
      <c r="DW28" t="s">
        <v>42</v>
      </c>
      <c r="DX28">
        <v>100</v>
      </c>
      <c r="EE28">
        <v>39174503</v>
      </c>
      <c r="EF28">
        <v>2</v>
      </c>
      <c r="EG28" t="s">
        <v>16</v>
      </c>
      <c r="EH28">
        <v>0</v>
      </c>
      <c r="EI28" t="s">
        <v>3</v>
      </c>
      <c r="EJ28">
        <v>1</v>
      </c>
      <c r="EK28">
        <v>10001</v>
      </c>
      <c r="EL28" t="s">
        <v>27</v>
      </c>
      <c r="EM28" t="s">
        <v>28</v>
      </c>
      <c r="EO28" t="s">
        <v>29</v>
      </c>
      <c r="EQ28">
        <v>0</v>
      </c>
      <c r="ER28">
        <v>6481.17</v>
      </c>
      <c r="ES28">
        <v>6276.9</v>
      </c>
      <c r="ET28">
        <v>21.9</v>
      </c>
      <c r="EU28">
        <v>4.43</v>
      </c>
      <c r="EV28">
        <v>182.37</v>
      </c>
      <c r="EW28">
        <v>21.38</v>
      </c>
      <c r="EX28">
        <v>0.37</v>
      </c>
      <c r="EY28">
        <v>0</v>
      </c>
      <c r="FQ28">
        <v>0</v>
      </c>
      <c r="FR28">
        <f t="shared" si="40"/>
        <v>0</v>
      </c>
      <c r="FS28">
        <v>0</v>
      </c>
      <c r="FT28" t="s">
        <v>19</v>
      </c>
      <c r="FU28" t="s">
        <v>20</v>
      </c>
      <c r="FX28">
        <v>106.2</v>
      </c>
      <c r="FY28">
        <v>53.55</v>
      </c>
      <c r="GA28" t="s">
        <v>3</v>
      </c>
      <c r="GD28">
        <v>0</v>
      </c>
      <c r="GF28">
        <v>-1968498593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1"/>
        <v>0</v>
      </c>
      <c r="GM28">
        <f t="shared" si="42"/>
        <v>53267.8</v>
      </c>
      <c r="GN28">
        <f t="shared" si="43"/>
        <v>53267.8</v>
      </c>
      <c r="GO28">
        <f t="shared" si="44"/>
        <v>0</v>
      </c>
      <c r="GP28">
        <f t="shared" si="45"/>
        <v>0</v>
      </c>
      <c r="GR28">
        <v>0</v>
      </c>
      <c r="GS28">
        <v>3</v>
      </c>
      <c r="GT28">
        <v>0</v>
      </c>
      <c r="GU28" t="s">
        <v>3</v>
      </c>
      <c r="GV28">
        <f t="shared" si="46"/>
        <v>0</v>
      </c>
      <c r="GW28">
        <v>1</v>
      </c>
      <c r="GX28">
        <f t="shared" si="47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22</v>
      </c>
      <c r="E29" t="s">
        <v>44</v>
      </c>
      <c r="F29" t="s">
        <v>31</v>
      </c>
      <c r="G29" t="s">
        <v>45</v>
      </c>
      <c r="H29" t="s">
        <v>46</v>
      </c>
      <c r="I29">
        <f>I28*J29</f>
        <v>117.5</v>
      </c>
      <c r="J29">
        <v>100</v>
      </c>
      <c r="O29">
        <f t="shared" si="14"/>
        <v>247479.72</v>
      </c>
      <c r="P29">
        <f t="shared" si="15"/>
        <v>247479.72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39107596</v>
      </c>
      <c r="AB29">
        <f t="shared" si="25"/>
        <v>318.64</v>
      </c>
      <c r="AC29">
        <f t="shared" si="26"/>
        <v>318.64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7"/>
        <v>0</v>
      </c>
      <c r="AH29">
        <f t="shared" ref="AH29:AI32" si="49">(EW29)</f>
        <v>0</v>
      </c>
      <c r="AI29">
        <f t="shared" si="49"/>
        <v>0</v>
      </c>
      <c r="AJ29">
        <f t="shared" si="28"/>
        <v>0</v>
      </c>
      <c r="AK29">
        <v>318.64</v>
      </c>
      <c r="AL29">
        <v>318.64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6.61</v>
      </c>
      <c r="BA29">
        <v>1</v>
      </c>
      <c r="BB29">
        <v>1</v>
      </c>
      <c r="BC29">
        <v>6.61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3</v>
      </c>
      <c r="BM29">
        <v>10001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9"/>
        <v>247479.72</v>
      </c>
      <c r="CQ29">
        <f t="shared" si="30"/>
        <v>2106.2103999999999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46</v>
      </c>
      <c r="DW29" t="s">
        <v>46</v>
      </c>
      <c r="DX29">
        <v>1</v>
      </c>
      <c r="EE29">
        <v>39174503</v>
      </c>
      <c r="EF29">
        <v>2</v>
      </c>
      <c r="EG29" t="s">
        <v>16</v>
      </c>
      <c r="EH29">
        <v>0</v>
      </c>
      <c r="EI29" t="s">
        <v>3</v>
      </c>
      <c r="EJ29">
        <v>1</v>
      </c>
      <c r="EK29">
        <v>10001</v>
      </c>
      <c r="EL29" t="s">
        <v>27</v>
      </c>
      <c r="EM29" t="s">
        <v>28</v>
      </c>
      <c r="EO29" t="s">
        <v>3</v>
      </c>
      <c r="EQ29">
        <v>0</v>
      </c>
      <c r="ER29">
        <v>318.64</v>
      </c>
      <c r="ES29">
        <v>318.64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5</v>
      </c>
      <c r="FC29">
        <v>1</v>
      </c>
      <c r="FD29">
        <v>18</v>
      </c>
      <c r="FF29">
        <v>2485.33</v>
      </c>
      <c r="FQ29">
        <v>0</v>
      </c>
      <c r="FR29">
        <f t="shared" si="40"/>
        <v>0</v>
      </c>
      <c r="FS29">
        <v>0</v>
      </c>
      <c r="FT29" t="s">
        <v>19</v>
      </c>
      <c r="FU29" t="s">
        <v>20</v>
      </c>
      <c r="FX29">
        <v>106.2</v>
      </c>
      <c r="FY29">
        <v>53.55</v>
      </c>
      <c r="GA29" t="s">
        <v>47</v>
      </c>
      <c r="GD29">
        <v>0</v>
      </c>
      <c r="GF29">
        <v>-1329279680</v>
      </c>
      <c r="GG29">
        <v>1</v>
      </c>
      <c r="GH29">
        <v>3</v>
      </c>
      <c r="GI29">
        <v>4</v>
      </c>
      <c r="GJ29">
        <v>0</v>
      </c>
      <c r="GK29">
        <f>ROUND(R29*(R12)/100,2)</f>
        <v>0</v>
      </c>
      <c r="GL29">
        <f t="shared" si="41"/>
        <v>0</v>
      </c>
      <c r="GM29">
        <f t="shared" si="42"/>
        <v>247479.72</v>
      </c>
      <c r="GN29">
        <f t="shared" si="43"/>
        <v>247479.72</v>
      </c>
      <c r="GO29">
        <f t="shared" si="44"/>
        <v>0</v>
      </c>
      <c r="GP29">
        <f t="shared" si="45"/>
        <v>0</v>
      </c>
      <c r="GR29">
        <v>1</v>
      </c>
      <c r="GS29">
        <v>1</v>
      </c>
      <c r="GT29">
        <v>0</v>
      </c>
      <c r="GU29" t="s">
        <v>3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ROW(SmtRes!A30)</f>
        <v>30</v>
      </c>
      <c r="D30">
        <f>ROW(EtalonRes!A29)</f>
        <v>29</v>
      </c>
      <c r="E30" t="s">
        <v>48</v>
      </c>
      <c r="F30" t="s">
        <v>49</v>
      </c>
      <c r="G30" t="s">
        <v>50</v>
      </c>
      <c r="H30" t="s">
        <v>42</v>
      </c>
      <c r="I30">
        <f>ROUND(117.5/100,9)</f>
        <v>1.175</v>
      </c>
      <c r="J30">
        <v>0</v>
      </c>
      <c r="O30">
        <f t="shared" si="14"/>
        <v>3529.29</v>
      </c>
      <c r="P30">
        <f t="shared" si="15"/>
        <v>746</v>
      </c>
      <c r="Q30">
        <f t="shared" si="16"/>
        <v>39.840000000000003</v>
      </c>
      <c r="R30">
        <f t="shared" si="17"/>
        <v>11.96</v>
      </c>
      <c r="S30">
        <f t="shared" si="18"/>
        <v>2743.45</v>
      </c>
      <c r="T30">
        <f t="shared" si="19"/>
        <v>0</v>
      </c>
      <c r="U30">
        <f t="shared" si="20"/>
        <v>48.656749999999995</v>
      </c>
      <c r="V30">
        <f t="shared" si="21"/>
        <v>0.14099999999999999</v>
      </c>
      <c r="W30">
        <f t="shared" si="22"/>
        <v>0</v>
      </c>
      <c r="X30">
        <f t="shared" si="23"/>
        <v>2286.9899999999998</v>
      </c>
      <c r="Y30">
        <f t="shared" si="24"/>
        <v>1791.02</v>
      </c>
      <c r="AA30">
        <v>39107596</v>
      </c>
      <c r="AB30">
        <f t="shared" si="25"/>
        <v>454.41</v>
      </c>
      <c r="AC30">
        <f t="shared" si="26"/>
        <v>96.05</v>
      </c>
      <c r="AD30">
        <f>ROUND((((ET30)-(EU30))+AE30),2)</f>
        <v>5.13</v>
      </c>
      <c r="AE30">
        <f t="shared" si="48"/>
        <v>1.54</v>
      </c>
      <c r="AF30">
        <f t="shared" si="48"/>
        <v>353.23</v>
      </c>
      <c r="AG30">
        <f t="shared" si="27"/>
        <v>0</v>
      </c>
      <c r="AH30">
        <f t="shared" si="49"/>
        <v>41.41</v>
      </c>
      <c r="AI30">
        <f t="shared" si="49"/>
        <v>0.12</v>
      </c>
      <c r="AJ30">
        <f t="shared" si="28"/>
        <v>0</v>
      </c>
      <c r="AK30">
        <v>454.41</v>
      </c>
      <c r="AL30">
        <v>96.05</v>
      </c>
      <c r="AM30">
        <v>5.13</v>
      </c>
      <c r="AN30">
        <v>1.54</v>
      </c>
      <c r="AO30">
        <v>353.23</v>
      </c>
      <c r="AP30">
        <v>0</v>
      </c>
      <c r="AQ30">
        <v>41.41</v>
      </c>
      <c r="AR30">
        <v>0.12</v>
      </c>
      <c r="AS30">
        <v>0</v>
      </c>
      <c r="AT30">
        <v>83</v>
      </c>
      <c r="AU30">
        <v>65</v>
      </c>
      <c r="AV30">
        <v>1</v>
      </c>
      <c r="AW30">
        <v>1</v>
      </c>
      <c r="AZ30">
        <v>6.61</v>
      </c>
      <c r="BA30">
        <v>6.61</v>
      </c>
      <c r="BB30">
        <v>6.61</v>
      </c>
      <c r="BC30">
        <v>6.61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51</v>
      </c>
      <c r="BM30">
        <v>58001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6.61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83</v>
      </c>
      <c r="CA30">
        <v>65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9"/>
        <v>3529.29</v>
      </c>
      <c r="CQ30">
        <f t="shared" si="30"/>
        <v>634.89049999999997</v>
      </c>
      <c r="CR30">
        <f t="shared" si="31"/>
        <v>33.909300000000002</v>
      </c>
      <c r="CS30">
        <f t="shared" si="32"/>
        <v>10.179400000000001</v>
      </c>
      <c r="CT30">
        <f t="shared" si="33"/>
        <v>2334.8503000000001</v>
      </c>
      <c r="CU30">
        <f t="shared" si="34"/>
        <v>0</v>
      </c>
      <c r="CV30">
        <f t="shared" si="35"/>
        <v>41.41</v>
      </c>
      <c r="CW30">
        <f t="shared" si="36"/>
        <v>0.12</v>
      </c>
      <c r="CX30">
        <f t="shared" si="37"/>
        <v>0</v>
      </c>
      <c r="CY30">
        <f t="shared" si="38"/>
        <v>2286.9902999999999</v>
      </c>
      <c r="CZ30">
        <f t="shared" si="39"/>
        <v>1791.0165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42</v>
      </c>
      <c r="DW30" t="s">
        <v>42</v>
      </c>
      <c r="DX30">
        <v>100</v>
      </c>
      <c r="EE30">
        <v>39174583</v>
      </c>
      <c r="EF30">
        <v>6</v>
      </c>
      <c r="EG30" t="s">
        <v>52</v>
      </c>
      <c r="EH30">
        <v>0</v>
      </c>
      <c r="EI30" t="s">
        <v>3</v>
      </c>
      <c r="EJ30">
        <v>1</v>
      </c>
      <c r="EK30">
        <v>58001</v>
      </c>
      <c r="EL30" t="s">
        <v>53</v>
      </c>
      <c r="EM30" t="s">
        <v>54</v>
      </c>
      <c r="EO30" t="s">
        <v>3</v>
      </c>
      <c r="EQ30">
        <v>0</v>
      </c>
      <c r="ER30">
        <v>454.41</v>
      </c>
      <c r="ES30">
        <v>96.05</v>
      </c>
      <c r="ET30">
        <v>5.13</v>
      </c>
      <c r="EU30">
        <v>1.54</v>
      </c>
      <c r="EV30">
        <v>353.23</v>
      </c>
      <c r="EW30">
        <v>41.41</v>
      </c>
      <c r="EX30">
        <v>0.12</v>
      </c>
      <c r="EY30">
        <v>0</v>
      </c>
      <c r="FQ30">
        <v>0</v>
      </c>
      <c r="FR30">
        <f t="shared" si="40"/>
        <v>0</v>
      </c>
      <c r="FS30">
        <v>0</v>
      </c>
      <c r="FX30">
        <v>83</v>
      </c>
      <c r="FY30">
        <v>65</v>
      </c>
      <c r="GA30" t="s">
        <v>3</v>
      </c>
      <c r="GD30">
        <v>0</v>
      </c>
      <c r="GF30">
        <v>-58071427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1"/>
        <v>0</v>
      </c>
      <c r="GM30">
        <f t="shared" si="42"/>
        <v>7607.3</v>
      </c>
      <c r="GN30">
        <f t="shared" si="43"/>
        <v>7607.3</v>
      </c>
      <c r="GO30">
        <f t="shared" si="44"/>
        <v>0</v>
      </c>
      <c r="GP30">
        <f t="shared" si="45"/>
        <v>0</v>
      </c>
      <c r="GR30">
        <v>0</v>
      </c>
      <c r="GS30">
        <v>3</v>
      </c>
      <c r="GT30">
        <v>0</v>
      </c>
      <c r="GU30" t="s">
        <v>3</v>
      </c>
      <c r="GV30">
        <f t="shared" si="46"/>
        <v>0</v>
      </c>
      <c r="GW30">
        <v>1</v>
      </c>
      <c r="GX30">
        <f t="shared" si="47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30</v>
      </c>
      <c r="E31" t="s">
        <v>55</v>
      </c>
      <c r="F31" t="s">
        <v>31</v>
      </c>
      <c r="G31" t="s">
        <v>56</v>
      </c>
      <c r="H31" t="s">
        <v>46</v>
      </c>
      <c r="I31">
        <f>I30*J31</f>
        <v>117.5</v>
      </c>
      <c r="J31">
        <v>100</v>
      </c>
      <c r="O31">
        <f t="shared" si="14"/>
        <v>30134.99</v>
      </c>
      <c r="P31">
        <f t="shared" si="15"/>
        <v>30134.99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39107596</v>
      </c>
      <c r="AB31">
        <f t="shared" si="25"/>
        <v>38.799999999999997</v>
      </c>
      <c r="AC31">
        <f t="shared" si="26"/>
        <v>38.799999999999997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7"/>
        <v>0</v>
      </c>
      <c r="AH31">
        <f t="shared" si="49"/>
        <v>0</v>
      </c>
      <c r="AI31">
        <f t="shared" si="49"/>
        <v>0</v>
      </c>
      <c r="AJ31">
        <f t="shared" si="28"/>
        <v>0</v>
      </c>
      <c r="AK31">
        <v>38.799999999999997</v>
      </c>
      <c r="AL31">
        <v>38.799999999999997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83</v>
      </c>
      <c r="AU31">
        <v>65</v>
      </c>
      <c r="AV31">
        <v>1</v>
      </c>
      <c r="AW31">
        <v>1</v>
      </c>
      <c r="AZ31">
        <v>6.61</v>
      </c>
      <c r="BA31">
        <v>1</v>
      </c>
      <c r="BB31">
        <v>1</v>
      </c>
      <c r="BC31">
        <v>6.61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</v>
      </c>
      <c r="BM31">
        <v>58001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83</v>
      </c>
      <c r="CA31">
        <v>65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9"/>
        <v>30134.99</v>
      </c>
      <c r="CQ31">
        <f t="shared" si="30"/>
        <v>256.46800000000002</v>
      </c>
      <c r="CR31">
        <f t="shared" si="31"/>
        <v>0</v>
      </c>
      <c r="CS31">
        <f t="shared" si="32"/>
        <v>0</v>
      </c>
      <c r="CT31">
        <f t="shared" si="33"/>
        <v>0</v>
      </c>
      <c r="CU31">
        <f t="shared" si="34"/>
        <v>0</v>
      </c>
      <c r="CV31">
        <f t="shared" si="35"/>
        <v>0</v>
      </c>
      <c r="CW31">
        <f t="shared" si="36"/>
        <v>0</v>
      </c>
      <c r="CX31">
        <f t="shared" si="37"/>
        <v>0</v>
      </c>
      <c r="CY31">
        <f t="shared" si="38"/>
        <v>0</v>
      </c>
      <c r="CZ31">
        <f t="shared" si="39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46</v>
      </c>
      <c r="DW31" t="s">
        <v>46</v>
      </c>
      <c r="DX31">
        <v>1</v>
      </c>
      <c r="EE31">
        <v>39174583</v>
      </c>
      <c r="EF31">
        <v>6</v>
      </c>
      <c r="EG31" t="s">
        <v>52</v>
      </c>
      <c r="EH31">
        <v>0</v>
      </c>
      <c r="EI31" t="s">
        <v>3</v>
      </c>
      <c r="EJ31">
        <v>1</v>
      </c>
      <c r="EK31">
        <v>58001</v>
      </c>
      <c r="EL31" t="s">
        <v>53</v>
      </c>
      <c r="EM31" t="s">
        <v>54</v>
      </c>
      <c r="EO31" t="s">
        <v>3</v>
      </c>
      <c r="EQ31">
        <v>0</v>
      </c>
      <c r="ER31">
        <v>38.799999999999997</v>
      </c>
      <c r="ES31">
        <v>38.799999999999997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1</v>
      </c>
      <c r="FD31">
        <v>18</v>
      </c>
      <c r="FF31">
        <v>302.67</v>
      </c>
      <c r="FQ31">
        <v>0</v>
      </c>
      <c r="FR31">
        <f t="shared" si="40"/>
        <v>0</v>
      </c>
      <c r="FS31">
        <v>0</v>
      </c>
      <c r="FX31">
        <v>83</v>
      </c>
      <c r="FY31">
        <v>65</v>
      </c>
      <c r="GA31" t="s">
        <v>57</v>
      </c>
      <c r="GD31">
        <v>0</v>
      </c>
      <c r="GF31">
        <v>-42574877</v>
      </c>
      <c r="GG31">
        <v>1</v>
      </c>
      <c r="GH31">
        <v>3</v>
      </c>
      <c r="GI31">
        <v>4</v>
      </c>
      <c r="GJ31">
        <v>0</v>
      </c>
      <c r="GK31">
        <f>ROUND(R31*(R12)/100,2)</f>
        <v>0</v>
      </c>
      <c r="GL31">
        <f t="shared" si="41"/>
        <v>0</v>
      </c>
      <c r="GM31">
        <f t="shared" si="42"/>
        <v>30134.99</v>
      </c>
      <c r="GN31">
        <f t="shared" si="43"/>
        <v>30134.99</v>
      </c>
      <c r="GO31">
        <f t="shared" si="44"/>
        <v>0</v>
      </c>
      <c r="GP31">
        <f t="shared" si="45"/>
        <v>0</v>
      </c>
      <c r="GR31">
        <v>1</v>
      </c>
      <c r="GS31">
        <v>1</v>
      </c>
      <c r="GT31">
        <v>0</v>
      </c>
      <c r="GU31" t="s">
        <v>3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58</v>
      </c>
      <c r="F32" t="s">
        <v>59</v>
      </c>
      <c r="G32" t="s">
        <v>60</v>
      </c>
      <c r="H32" t="s">
        <v>61</v>
      </c>
      <c r="I32">
        <f>I30*J32</f>
        <v>0.2162</v>
      </c>
      <c r="J32">
        <v>0.184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39107596</v>
      </c>
      <c r="AB32">
        <f t="shared" si="25"/>
        <v>0</v>
      </c>
      <c r="AC32">
        <f t="shared" si="26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7"/>
        <v>0</v>
      </c>
      <c r="AH32">
        <f t="shared" si="49"/>
        <v>0</v>
      </c>
      <c r="AI32">
        <f t="shared" si="49"/>
        <v>0</v>
      </c>
      <c r="AJ32">
        <f t="shared" si="28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83</v>
      </c>
      <c r="AU32">
        <v>65</v>
      </c>
      <c r="AV32">
        <v>1</v>
      </c>
      <c r="AW32">
        <v>1</v>
      </c>
      <c r="AZ32">
        <v>6.61</v>
      </c>
      <c r="BA32">
        <v>1</v>
      </c>
      <c r="BB32">
        <v>1</v>
      </c>
      <c r="BC32">
        <v>6.61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58001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83</v>
      </c>
      <c r="CA32">
        <v>65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9"/>
        <v>0</v>
      </c>
      <c r="CQ32">
        <f t="shared" si="30"/>
        <v>0</v>
      </c>
      <c r="CR32">
        <f t="shared" si="31"/>
        <v>0</v>
      </c>
      <c r="CS32">
        <f t="shared" si="32"/>
        <v>0</v>
      </c>
      <c r="CT32">
        <f t="shared" si="33"/>
        <v>0</v>
      </c>
      <c r="CU32">
        <f t="shared" si="34"/>
        <v>0</v>
      </c>
      <c r="CV32">
        <f t="shared" si="35"/>
        <v>0</v>
      </c>
      <c r="CW32">
        <f t="shared" si="36"/>
        <v>0</v>
      </c>
      <c r="CX32">
        <f t="shared" si="37"/>
        <v>0</v>
      </c>
      <c r="CY32">
        <f t="shared" si="38"/>
        <v>0</v>
      </c>
      <c r="CZ32">
        <f t="shared" si="39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61</v>
      </c>
      <c r="DW32" t="s">
        <v>61</v>
      </c>
      <c r="DX32">
        <v>1000</v>
      </c>
      <c r="EE32">
        <v>39174583</v>
      </c>
      <c r="EF32">
        <v>6</v>
      </c>
      <c r="EG32" t="s">
        <v>52</v>
      </c>
      <c r="EH32">
        <v>0</v>
      </c>
      <c r="EI32" t="s">
        <v>3</v>
      </c>
      <c r="EJ32">
        <v>1</v>
      </c>
      <c r="EK32">
        <v>58001</v>
      </c>
      <c r="EL32" t="s">
        <v>53</v>
      </c>
      <c r="EM32" t="s">
        <v>54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0"/>
        <v>0</v>
      </c>
      <c r="FS32">
        <v>0</v>
      </c>
      <c r="FX32">
        <v>83</v>
      </c>
      <c r="FY32">
        <v>65</v>
      </c>
      <c r="GA32" t="s">
        <v>38</v>
      </c>
      <c r="GD32">
        <v>0</v>
      </c>
      <c r="GF32">
        <v>789990620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1"/>
        <v>0</v>
      </c>
      <c r="GM32">
        <f t="shared" si="42"/>
        <v>0</v>
      </c>
      <c r="GN32">
        <f t="shared" si="43"/>
        <v>0</v>
      </c>
      <c r="GO32">
        <f t="shared" si="44"/>
        <v>0</v>
      </c>
      <c r="GP32">
        <f t="shared" si="45"/>
        <v>0</v>
      </c>
      <c r="GR32">
        <v>0</v>
      </c>
      <c r="GS32">
        <v>4</v>
      </c>
      <c r="GT32">
        <v>0</v>
      </c>
      <c r="GU32" t="s">
        <v>3</v>
      </c>
      <c r="GV32">
        <f t="shared" si="46"/>
        <v>0</v>
      </c>
      <c r="GW32">
        <v>1</v>
      </c>
      <c r="GX32">
        <f t="shared" si="47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ROW(SmtRes!A37)</f>
        <v>37</v>
      </c>
      <c r="D33">
        <f>ROW(EtalonRes!A35)</f>
        <v>35</v>
      </c>
      <c r="E33" t="s">
        <v>62</v>
      </c>
      <c r="F33" t="s">
        <v>63</v>
      </c>
      <c r="G33" t="s">
        <v>64</v>
      </c>
      <c r="H33" t="s">
        <v>14</v>
      </c>
      <c r="I33">
        <f>ROUND(157.45/100,9)</f>
        <v>1.5745</v>
      </c>
      <c r="J33">
        <v>0</v>
      </c>
      <c r="O33">
        <f t="shared" si="14"/>
        <v>1903.83</v>
      </c>
      <c r="P33">
        <f t="shared" si="15"/>
        <v>3.75</v>
      </c>
      <c r="Q33">
        <f t="shared" si="16"/>
        <v>21.02</v>
      </c>
      <c r="R33">
        <f t="shared" si="17"/>
        <v>4.79</v>
      </c>
      <c r="S33">
        <f t="shared" si="18"/>
        <v>1879.06</v>
      </c>
      <c r="T33">
        <f t="shared" si="19"/>
        <v>0</v>
      </c>
      <c r="U33">
        <f t="shared" si="20"/>
        <v>29.550215999999995</v>
      </c>
      <c r="V33">
        <f t="shared" si="21"/>
        <v>5.9043749999999999E-2</v>
      </c>
      <c r="W33">
        <f t="shared" si="22"/>
        <v>0</v>
      </c>
      <c r="X33">
        <f t="shared" si="23"/>
        <v>1789.66</v>
      </c>
      <c r="Y33">
        <f t="shared" si="24"/>
        <v>885.41</v>
      </c>
      <c r="AA33">
        <v>39107596</v>
      </c>
      <c r="AB33">
        <f t="shared" si="25"/>
        <v>182.93</v>
      </c>
      <c r="AC33">
        <f t="shared" si="26"/>
        <v>0.36</v>
      </c>
      <c r="AD33">
        <f>ROUND(((((ET33*1.25))-((EU33*1.25)))+AE33),2)</f>
        <v>2.02</v>
      </c>
      <c r="AE33">
        <f>ROUND(((EU33*1.25)),2)</f>
        <v>0.46</v>
      </c>
      <c r="AF33">
        <f>ROUND(((EV33*1.15)),2)</f>
        <v>180.55</v>
      </c>
      <c r="AG33">
        <f t="shared" si="27"/>
        <v>0</v>
      </c>
      <c r="AH33">
        <f>((EW33*1.15))</f>
        <v>18.767999999999997</v>
      </c>
      <c r="AI33">
        <f>((EX33*1.25))</f>
        <v>3.7499999999999999E-2</v>
      </c>
      <c r="AJ33">
        <f t="shared" si="28"/>
        <v>0</v>
      </c>
      <c r="AK33">
        <v>158.97999999999999</v>
      </c>
      <c r="AL33">
        <v>0.36</v>
      </c>
      <c r="AM33">
        <v>1.62</v>
      </c>
      <c r="AN33">
        <v>0.37</v>
      </c>
      <c r="AO33">
        <v>157</v>
      </c>
      <c r="AP33">
        <v>0</v>
      </c>
      <c r="AQ33">
        <v>16.32</v>
      </c>
      <c r="AR33">
        <v>0.03</v>
      </c>
      <c r="AS33">
        <v>0</v>
      </c>
      <c r="AT33">
        <v>95</v>
      </c>
      <c r="AU33">
        <v>47</v>
      </c>
      <c r="AV33">
        <v>1</v>
      </c>
      <c r="AW33">
        <v>1</v>
      </c>
      <c r="AZ33">
        <v>6.61</v>
      </c>
      <c r="BA33">
        <v>6.61</v>
      </c>
      <c r="BB33">
        <v>6.61</v>
      </c>
      <c r="BC33">
        <v>6.61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65</v>
      </c>
      <c r="BM33">
        <v>15001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6.61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105</v>
      </c>
      <c r="CA33">
        <v>55</v>
      </c>
      <c r="CF33">
        <v>0</v>
      </c>
      <c r="CG33">
        <v>0</v>
      </c>
      <c r="CM33">
        <v>0</v>
      </c>
      <c r="CN33" t="s">
        <v>280</v>
      </c>
      <c r="CO33">
        <v>0</v>
      </c>
      <c r="CP33">
        <f t="shared" si="29"/>
        <v>1903.83</v>
      </c>
      <c r="CQ33">
        <f t="shared" si="30"/>
        <v>2.3795999999999999</v>
      </c>
      <c r="CR33">
        <f t="shared" si="31"/>
        <v>13.352200000000002</v>
      </c>
      <c r="CS33">
        <f t="shared" si="32"/>
        <v>3.0406000000000004</v>
      </c>
      <c r="CT33">
        <f t="shared" si="33"/>
        <v>1193.4355</v>
      </c>
      <c r="CU33">
        <f t="shared" si="34"/>
        <v>0</v>
      </c>
      <c r="CV33">
        <f t="shared" si="35"/>
        <v>18.767999999999997</v>
      </c>
      <c r="CW33">
        <f t="shared" si="36"/>
        <v>3.7499999999999999E-2</v>
      </c>
      <c r="CX33">
        <f t="shared" si="37"/>
        <v>0</v>
      </c>
      <c r="CY33">
        <f t="shared" si="38"/>
        <v>1789.6575</v>
      </c>
      <c r="CZ33">
        <f t="shared" si="39"/>
        <v>885.40949999999998</v>
      </c>
      <c r="DC33" t="s">
        <v>3</v>
      </c>
      <c r="DD33" t="s">
        <v>3</v>
      </c>
      <c r="DE33" t="s">
        <v>25</v>
      </c>
      <c r="DF33" t="s">
        <v>25</v>
      </c>
      <c r="DG33" t="s">
        <v>26</v>
      </c>
      <c r="DH33" t="s">
        <v>3</v>
      </c>
      <c r="DI33" t="s">
        <v>26</v>
      </c>
      <c r="DJ33" t="s">
        <v>25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14</v>
      </c>
      <c r="DW33" t="s">
        <v>14</v>
      </c>
      <c r="DX33">
        <v>100</v>
      </c>
      <c r="EE33">
        <v>39174529</v>
      </c>
      <c r="EF33">
        <v>2</v>
      </c>
      <c r="EG33" t="s">
        <v>16</v>
      </c>
      <c r="EH33">
        <v>0</v>
      </c>
      <c r="EI33" t="s">
        <v>3</v>
      </c>
      <c r="EJ33">
        <v>1</v>
      </c>
      <c r="EK33">
        <v>15001</v>
      </c>
      <c r="EL33" t="s">
        <v>66</v>
      </c>
      <c r="EM33" t="s">
        <v>67</v>
      </c>
      <c r="EO33" t="s">
        <v>29</v>
      </c>
      <c r="EQ33">
        <v>0</v>
      </c>
      <c r="ER33">
        <v>158.97999999999999</v>
      </c>
      <c r="ES33">
        <v>0.36</v>
      </c>
      <c r="ET33">
        <v>1.62</v>
      </c>
      <c r="EU33">
        <v>0.37</v>
      </c>
      <c r="EV33">
        <v>157</v>
      </c>
      <c r="EW33">
        <v>16.32</v>
      </c>
      <c r="EX33">
        <v>0.03</v>
      </c>
      <c r="EY33">
        <v>0</v>
      </c>
      <c r="FQ33">
        <v>0</v>
      </c>
      <c r="FR33">
        <f t="shared" si="40"/>
        <v>0</v>
      </c>
      <c r="FS33">
        <v>0</v>
      </c>
      <c r="FT33" t="s">
        <v>19</v>
      </c>
      <c r="FU33" t="s">
        <v>20</v>
      </c>
      <c r="FX33">
        <v>94.5</v>
      </c>
      <c r="FY33">
        <v>46.75</v>
      </c>
      <c r="GA33" t="s">
        <v>3</v>
      </c>
      <c r="GD33">
        <v>0</v>
      </c>
      <c r="GF33">
        <v>-816382651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1"/>
        <v>0</v>
      </c>
      <c r="GM33">
        <f t="shared" si="42"/>
        <v>4578.8999999999996</v>
      </c>
      <c r="GN33">
        <f t="shared" si="43"/>
        <v>4578.8999999999996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3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36</v>
      </c>
      <c r="E34" t="s">
        <v>68</v>
      </c>
      <c r="F34" t="s">
        <v>69</v>
      </c>
      <c r="G34" t="s">
        <v>70</v>
      </c>
      <c r="H34" t="s">
        <v>71</v>
      </c>
      <c r="I34">
        <f>I33*J34</f>
        <v>31.490000000000002</v>
      </c>
      <c r="J34">
        <v>20</v>
      </c>
      <c r="O34">
        <f t="shared" si="14"/>
        <v>3946.5</v>
      </c>
      <c r="P34">
        <f t="shared" si="15"/>
        <v>3946.5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39107596</v>
      </c>
      <c r="AB34">
        <f t="shared" si="25"/>
        <v>18.96</v>
      </c>
      <c r="AC34">
        <f t="shared" si="26"/>
        <v>18.96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7"/>
        <v>0</v>
      </c>
      <c r="AH34">
        <f>(EW34)</f>
        <v>0</v>
      </c>
      <c r="AI34">
        <f>(EX34)</f>
        <v>0</v>
      </c>
      <c r="AJ34">
        <f t="shared" si="28"/>
        <v>0</v>
      </c>
      <c r="AK34">
        <v>18.96</v>
      </c>
      <c r="AL34">
        <v>18.96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95</v>
      </c>
      <c r="AU34">
        <v>47</v>
      </c>
      <c r="AV34">
        <v>1</v>
      </c>
      <c r="AW34">
        <v>1</v>
      </c>
      <c r="AZ34">
        <v>6.61</v>
      </c>
      <c r="BA34">
        <v>1</v>
      </c>
      <c r="BB34">
        <v>1</v>
      </c>
      <c r="BC34">
        <v>6.61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72</v>
      </c>
      <c r="BM34">
        <v>15001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105</v>
      </c>
      <c r="CA34">
        <v>55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9"/>
        <v>3946.5</v>
      </c>
      <c r="CQ34">
        <f t="shared" si="30"/>
        <v>125.32560000000001</v>
      </c>
      <c r="CR34">
        <f t="shared" si="31"/>
        <v>0</v>
      </c>
      <c r="CS34">
        <f t="shared" si="32"/>
        <v>0</v>
      </c>
      <c r="CT34">
        <f t="shared" si="33"/>
        <v>0</v>
      </c>
      <c r="CU34">
        <f t="shared" si="34"/>
        <v>0</v>
      </c>
      <c r="CV34">
        <f t="shared" si="35"/>
        <v>0</v>
      </c>
      <c r="CW34">
        <f t="shared" si="36"/>
        <v>0</v>
      </c>
      <c r="CX34">
        <f t="shared" si="37"/>
        <v>0</v>
      </c>
      <c r="CY34">
        <f t="shared" si="38"/>
        <v>0</v>
      </c>
      <c r="CZ34">
        <f t="shared" si="39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1002</v>
      </c>
      <c r="DV34" t="s">
        <v>71</v>
      </c>
      <c r="DW34" t="s">
        <v>71</v>
      </c>
      <c r="DX34">
        <v>1</v>
      </c>
      <c r="EE34">
        <v>39174529</v>
      </c>
      <c r="EF34">
        <v>2</v>
      </c>
      <c r="EG34" t="s">
        <v>16</v>
      </c>
      <c r="EH34">
        <v>0</v>
      </c>
      <c r="EI34" t="s">
        <v>3</v>
      </c>
      <c r="EJ34">
        <v>1</v>
      </c>
      <c r="EK34">
        <v>15001</v>
      </c>
      <c r="EL34" t="s">
        <v>66</v>
      </c>
      <c r="EM34" t="s">
        <v>67</v>
      </c>
      <c r="EO34" t="s">
        <v>3</v>
      </c>
      <c r="EQ34">
        <v>0</v>
      </c>
      <c r="ER34">
        <v>18.96</v>
      </c>
      <c r="ES34">
        <v>18.96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0"/>
        <v>0</v>
      </c>
      <c r="FS34">
        <v>0</v>
      </c>
      <c r="FT34" t="s">
        <v>19</v>
      </c>
      <c r="FU34" t="s">
        <v>20</v>
      </c>
      <c r="FX34">
        <v>94.5</v>
      </c>
      <c r="FY34">
        <v>46.75</v>
      </c>
      <c r="GA34" t="s">
        <v>3</v>
      </c>
      <c r="GD34">
        <v>0</v>
      </c>
      <c r="GF34">
        <v>-171317358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1"/>
        <v>0</v>
      </c>
      <c r="GM34">
        <f t="shared" si="42"/>
        <v>3946.5</v>
      </c>
      <c r="GN34">
        <f t="shared" si="43"/>
        <v>3946.5</v>
      </c>
      <c r="GO34">
        <f t="shared" si="44"/>
        <v>0</v>
      </c>
      <c r="GP34">
        <f t="shared" si="45"/>
        <v>0</v>
      </c>
      <c r="GR34">
        <v>0</v>
      </c>
      <c r="GS34">
        <v>3</v>
      </c>
      <c r="GT34">
        <v>0</v>
      </c>
      <c r="GU34" t="s">
        <v>3</v>
      </c>
      <c r="GV34">
        <f t="shared" si="46"/>
        <v>0</v>
      </c>
      <c r="GW34">
        <v>1</v>
      </c>
      <c r="GX34">
        <f t="shared" si="47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37</v>
      </c>
      <c r="E35" t="s">
        <v>73</v>
      </c>
      <c r="F35" t="s">
        <v>74</v>
      </c>
      <c r="G35" t="s">
        <v>75</v>
      </c>
      <c r="H35" t="s">
        <v>61</v>
      </c>
      <c r="I35">
        <f>I33*J35</f>
        <v>3.1489999999999997E-2</v>
      </c>
      <c r="J35">
        <v>1.9999999999999997E-2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39107596</v>
      </c>
      <c r="AB35">
        <f t="shared" si="25"/>
        <v>0</v>
      </c>
      <c r="AC35">
        <f t="shared" si="26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7"/>
        <v>0</v>
      </c>
      <c r="AH35">
        <f>(EW35)</f>
        <v>0</v>
      </c>
      <c r="AI35">
        <f>(EX35)</f>
        <v>0</v>
      </c>
      <c r="AJ35">
        <f t="shared" si="28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95</v>
      </c>
      <c r="AU35">
        <v>47</v>
      </c>
      <c r="AV35">
        <v>1</v>
      </c>
      <c r="AW35">
        <v>1</v>
      </c>
      <c r="AZ35">
        <v>6.61</v>
      </c>
      <c r="BA35">
        <v>1</v>
      </c>
      <c r="BB35">
        <v>1</v>
      </c>
      <c r="BC35">
        <v>6.61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15001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105</v>
      </c>
      <c r="CA35">
        <v>55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9"/>
        <v>0</v>
      </c>
      <c r="CQ35">
        <f t="shared" si="30"/>
        <v>0</v>
      </c>
      <c r="CR35">
        <f t="shared" si="31"/>
        <v>0</v>
      </c>
      <c r="CS35">
        <f t="shared" si="32"/>
        <v>0</v>
      </c>
      <c r="CT35">
        <f t="shared" si="33"/>
        <v>0</v>
      </c>
      <c r="CU35">
        <f t="shared" si="34"/>
        <v>0</v>
      </c>
      <c r="CV35">
        <f t="shared" si="35"/>
        <v>0</v>
      </c>
      <c r="CW35">
        <f t="shared" si="36"/>
        <v>0</v>
      </c>
      <c r="CX35">
        <f t="shared" si="37"/>
        <v>0</v>
      </c>
      <c r="CY35">
        <f t="shared" si="38"/>
        <v>0</v>
      </c>
      <c r="CZ35">
        <f t="shared" si="39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61</v>
      </c>
      <c r="DW35" t="s">
        <v>61</v>
      </c>
      <c r="DX35">
        <v>1000</v>
      </c>
      <c r="EE35">
        <v>39174529</v>
      </c>
      <c r="EF35">
        <v>2</v>
      </c>
      <c r="EG35" t="s">
        <v>16</v>
      </c>
      <c r="EH35">
        <v>0</v>
      </c>
      <c r="EI35" t="s">
        <v>3</v>
      </c>
      <c r="EJ35">
        <v>1</v>
      </c>
      <c r="EK35">
        <v>15001</v>
      </c>
      <c r="EL35" t="s">
        <v>66</v>
      </c>
      <c r="EM35" t="s">
        <v>67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0"/>
        <v>0</v>
      </c>
      <c r="FS35">
        <v>0</v>
      </c>
      <c r="FT35" t="s">
        <v>19</v>
      </c>
      <c r="FU35" t="s">
        <v>20</v>
      </c>
      <c r="FX35">
        <v>94.5</v>
      </c>
      <c r="FY35">
        <v>46.75</v>
      </c>
      <c r="GA35" t="s">
        <v>38</v>
      </c>
      <c r="GD35">
        <v>0</v>
      </c>
      <c r="GF35">
        <v>-1212923053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1"/>
        <v>0</v>
      </c>
      <c r="GM35">
        <f t="shared" si="42"/>
        <v>0</v>
      </c>
      <c r="GN35">
        <f t="shared" si="43"/>
        <v>0</v>
      </c>
      <c r="GO35">
        <f t="shared" si="44"/>
        <v>0</v>
      </c>
      <c r="GP35">
        <f t="shared" si="45"/>
        <v>0</v>
      </c>
      <c r="GR35">
        <v>0</v>
      </c>
      <c r="GS35">
        <v>4</v>
      </c>
      <c r="GT35">
        <v>0</v>
      </c>
      <c r="GU35" t="s">
        <v>3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ROW(SmtRes!A44)</f>
        <v>44</v>
      </c>
      <c r="D36">
        <f>ROW(EtalonRes!A43)</f>
        <v>43</v>
      </c>
      <c r="E36" t="s">
        <v>76</v>
      </c>
      <c r="F36" t="s">
        <v>77</v>
      </c>
      <c r="G36" t="s">
        <v>78</v>
      </c>
      <c r="H36" t="s">
        <v>14</v>
      </c>
      <c r="I36">
        <f>ROUND(157.45/100,9)</f>
        <v>1.5745</v>
      </c>
      <c r="J36">
        <v>0</v>
      </c>
      <c r="O36">
        <f t="shared" si="14"/>
        <v>18754.009999999998</v>
      </c>
      <c r="P36">
        <f t="shared" si="15"/>
        <v>3.75</v>
      </c>
      <c r="Q36">
        <f t="shared" si="16"/>
        <v>460.01</v>
      </c>
      <c r="R36">
        <f t="shared" si="17"/>
        <v>89.5</v>
      </c>
      <c r="S36">
        <f t="shared" si="18"/>
        <v>18290.25</v>
      </c>
      <c r="T36">
        <f t="shared" si="19"/>
        <v>0</v>
      </c>
      <c r="U36">
        <f t="shared" si="20"/>
        <v>301.42306724999997</v>
      </c>
      <c r="V36">
        <f t="shared" si="21"/>
        <v>1.1415124999999999</v>
      </c>
      <c r="W36">
        <f t="shared" si="22"/>
        <v>0</v>
      </c>
      <c r="X36">
        <f t="shared" si="23"/>
        <v>17460.759999999998</v>
      </c>
      <c r="Y36">
        <f t="shared" si="24"/>
        <v>8638.48</v>
      </c>
      <c r="AA36">
        <v>39107596</v>
      </c>
      <c r="AB36">
        <f t="shared" si="25"/>
        <v>1801.98</v>
      </c>
      <c r="AC36">
        <f t="shared" si="26"/>
        <v>0.36</v>
      </c>
      <c r="AD36">
        <f>ROUND(((((ET36*1.25))-((EU36*1.25)))+AE36),2)</f>
        <v>44.2</v>
      </c>
      <c r="AE36">
        <f>ROUND(((EU36*1.25)),2)</f>
        <v>8.6</v>
      </c>
      <c r="AF36">
        <f>ROUND(((EV36*1.15)),2)</f>
        <v>1757.42</v>
      </c>
      <c r="AG36">
        <f t="shared" si="27"/>
        <v>0</v>
      </c>
      <c r="AH36">
        <f>((EW36*1.15))</f>
        <v>191.44049999999999</v>
      </c>
      <c r="AI36">
        <f>((EX36*1.25))</f>
        <v>0.72499999999999998</v>
      </c>
      <c r="AJ36">
        <f t="shared" si="28"/>
        <v>0</v>
      </c>
      <c r="AK36">
        <v>1563.91</v>
      </c>
      <c r="AL36">
        <v>0.36</v>
      </c>
      <c r="AM36">
        <v>35.36</v>
      </c>
      <c r="AN36">
        <v>6.88</v>
      </c>
      <c r="AO36">
        <v>1528.19</v>
      </c>
      <c r="AP36">
        <v>0</v>
      </c>
      <c r="AQ36">
        <v>166.47</v>
      </c>
      <c r="AR36">
        <v>0.57999999999999996</v>
      </c>
      <c r="AS36">
        <v>0</v>
      </c>
      <c r="AT36">
        <v>95</v>
      </c>
      <c r="AU36">
        <v>47</v>
      </c>
      <c r="AV36">
        <v>1</v>
      </c>
      <c r="AW36">
        <v>1</v>
      </c>
      <c r="AZ36">
        <v>6.61</v>
      </c>
      <c r="BA36">
        <v>6.61</v>
      </c>
      <c r="BB36">
        <v>6.61</v>
      </c>
      <c r="BC36">
        <v>6.61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79</v>
      </c>
      <c r="BM36">
        <v>15001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6.61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105</v>
      </c>
      <c r="CA36">
        <v>55</v>
      </c>
      <c r="CF36">
        <v>0</v>
      </c>
      <c r="CG36">
        <v>0</v>
      </c>
      <c r="CM36">
        <v>0</v>
      </c>
      <c r="CN36" t="s">
        <v>280</v>
      </c>
      <c r="CO36">
        <v>0</v>
      </c>
      <c r="CP36">
        <f t="shared" si="29"/>
        <v>18754.009999999998</v>
      </c>
      <c r="CQ36">
        <f t="shared" si="30"/>
        <v>2.3795999999999999</v>
      </c>
      <c r="CR36">
        <f t="shared" si="31"/>
        <v>292.16200000000003</v>
      </c>
      <c r="CS36">
        <f t="shared" si="32"/>
        <v>56.846000000000004</v>
      </c>
      <c r="CT36">
        <f t="shared" si="33"/>
        <v>11616.546200000001</v>
      </c>
      <c r="CU36">
        <f t="shared" si="34"/>
        <v>0</v>
      </c>
      <c r="CV36">
        <f t="shared" si="35"/>
        <v>191.44049999999999</v>
      </c>
      <c r="CW36">
        <f t="shared" si="36"/>
        <v>0.72499999999999998</v>
      </c>
      <c r="CX36">
        <f t="shared" si="37"/>
        <v>0</v>
      </c>
      <c r="CY36">
        <f t="shared" si="38"/>
        <v>17460.762500000001</v>
      </c>
      <c r="CZ36">
        <f t="shared" si="39"/>
        <v>8638.4825000000001</v>
      </c>
      <c r="DC36" t="s">
        <v>3</v>
      </c>
      <c r="DD36" t="s">
        <v>3</v>
      </c>
      <c r="DE36" t="s">
        <v>25</v>
      </c>
      <c r="DF36" t="s">
        <v>25</v>
      </c>
      <c r="DG36" t="s">
        <v>26</v>
      </c>
      <c r="DH36" t="s">
        <v>3</v>
      </c>
      <c r="DI36" t="s">
        <v>26</v>
      </c>
      <c r="DJ36" t="s">
        <v>25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14</v>
      </c>
      <c r="DW36" t="s">
        <v>14</v>
      </c>
      <c r="DX36">
        <v>100</v>
      </c>
      <c r="EE36">
        <v>39174529</v>
      </c>
      <c r="EF36">
        <v>2</v>
      </c>
      <c r="EG36" t="s">
        <v>16</v>
      </c>
      <c r="EH36">
        <v>0</v>
      </c>
      <c r="EI36" t="s">
        <v>3</v>
      </c>
      <c r="EJ36">
        <v>1</v>
      </c>
      <c r="EK36">
        <v>15001</v>
      </c>
      <c r="EL36" t="s">
        <v>66</v>
      </c>
      <c r="EM36" t="s">
        <v>67</v>
      </c>
      <c r="EO36" t="s">
        <v>29</v>
      </c>
      <c r="EQ36">
        <v>0</v>
      </c>
      <c r="ER36">
        <v>1563.91</v>
      </c>
      <c r="ES36">
        <v>0.36</v>
      </c>
      <c r="ET36">
        <v>35.36</v>
      </c>
      <c r="EU36">
        <v>6.88</v>
      </c>
      <c r="EV36">
        <v>1528.19</v>
      </c>
      <c r="EW36">
        <v>166.47</v>
      </c>
      <c r="EX36">
        <v>0.57999999999999996</v>
      </c>
      <c r="EY36">
        <v>0</v>
      </c>
      <c r="FQ36">
        <v>0</v>
      </c>
      <c r="FR36">
        <f t="shared" si="40"/>
        <v>0</v>
      </c>
      <c r="FS36">
        <v>0</v>
      </c>
      <c r="FT36" t="s">
        <v>19</v>
      </c>
      <c r="FU36" t="s">
        <v>20</v>
      </c>
      <c r="FX36">
        <v>94.5</v>
      </c>
      <c r="FY36">
        <v>46.75</v>
      </c>
      <c r="GA36" t="s">
        <v>3</v>
      </c>
      <c r="GD36">
        <v>0</v>
      </c>
      <c r="GF36">
        <v>802970418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1"/>
        <v>0</v>
      </c>
      <c r="GM36">
        <f t="shared" si="42"/>
        <v>44853.25</v>
      </c>
      <c r="GN36">
        <f t="shared" si="43"/>
        <v>44853.25</v>
      </c>
      <c r="GO36">
        <f t="shared" si="44"/>
        <v>0</v>
      </c>
      <c r="GP36">
        <f t="shared" si="45"/>
        <v>0</v>
      </c>
      <c r="GR36">
        <v>0</v>
      </c>
      <c r="GS36">
        <v>3</v>
      </c>
      <c r="GT36">
        <v>0</v>
      </c>
      <c r="GU36" t="s">
        <v>3</v>
      </c>
      <c r="GV36">
        <f t="shared" si="46"/>
        <v>0</v>
      </c>
      <c r="GW36">
        <v>1</v>
      </c>
      <c r="GX36">
        <f t="shared" si="47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44</v>
      </c>
      <c r="E37" t="s">
        <v>80</v>
      </c>
      <c r="F37" t="s">
        <v>31</v>
      </c>
      <c r="G37" t="s">
        <v>81</v>
      </c>
      <c r="H37" t="s">
        <v>33</v>
      </c>
      <c r="I37">
        <f>I36*J37</f>
        <v>165.32249999999999</v>
      </c>
      <c r="J37">
        <v>105</v>
      </c>
      <c r="O37">
        <f t="shared" si="14"/>
        <v>96536.34</v>
      </c>
      <c r="P37">
        <f t="shared" si="15"/>
        <v>96536.34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39107596</v>
      </c>
      <c r="AB37">
        <f t="shared" si="25"/>
        <v>88.34</v>
      </c>
      <c r="AC37">
        <f t="shared" si="26"/>
        <v>88.34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 t="shared" si="27"/>
        <v>0</v>
      </c>
      <c r="AH37">
        <f>(EW37)</f>
        <v>0</v>
      </c>
      <c r="AI37">
        <f>(EX37)</f>
        <v>0</v>
      </c>
      <c r="AJ37">
        <f t="shared" si="28"/>
        <v>0</v>
      </c>
      <c r="AK37">
        <v>88.34</v>
      </c>
      <c r="AL37">
        <v>88.34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6.61</v>
      </c>
      <c r="BA37">
        <v>1</v>
      </c>
      <c r="BB37">
        <v>1</v>
      </c>
      <c r="BC37">
        <v>6.61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3</v>
      </c>
      <c r="BM37">
        <v>15001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105</v>
      </c>
      <c r="CA37">
        <v>55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9"/>
        <v>96536.34</v>
      </c>
      <c r="CQ37">
        <f t="shared" si="30"/>
        <v>583.92740000000003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33</v>
      </c>
      <c r="DW37" t="s">
        <v>33</v>
      </c>
      <c r="DX37">
        <v>1</v>
      </c>
      <c r="EE37">
        <v>39174529</v>
      </c>
      <c r="EF37">
        <v>2</v>
      </c>
      <c r="EG37" t="s">
        <v>16</v>
      </c>
      <c r="EH37">
        <v>0</v>
      </c>
      <c r="EI37" t="s">
        <v>3</v>
      </c>
      <c r="EJ37">
        <v>1</v>
      </c>
      <c r="EK37">
        <v>15001</v>
      </c>
      <c r="EL37" t="s">
        <v>66</v>
      </c>
      <c r="EM37" t="s">
        <v>67</v>
      </c>
      <c r="EO37" t="s">
        <v>3</v>
      </c>
      <c r="EQ37">
        <v>0</v>
      </c>
      <c r="ER37">
        <v>88.34</v>
      </c>
      <c r="ES37">
        <v>88.34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5</v>
      </c>
      <c r="FC37">
        <v>1</v>
      </c>
      <c r="FD37">
        <v>18</v>
      </c>
      <c r="FF37">
        <v>689</v>
      </c>
      <c r="FQ37">
        <v>0</v>
      </c>
      <c r="FR37">
        <f t="shared" si="40"/>
        <v>0</v>
      </c>
      <c r="FS37">
        <v>0</v>
      </c>
      <c r="FT37" t="s">
        <v>19</v>
      </c>
      <c r="FU37" t="s">
        <v>20</v>
      </c>
      <c r="FX37">
        <v>94.5</v>
      </c>
      <c r="FY37">
        <v>46.75</v>
      </c>
      <c r="GA37" t="s">
        <v>82</v>
      </c>
      <c r="GD37">
        <v>0</v>
      </c>
      <c r="GF37">
        <v>776745865</v>
      </c>
      <c r="GG37">
        <v>1</v>
      </c>
      <c r="GH37">
        <v>3</v>
      </c>
      <c r="GI37">
        <v>4</v>
      </c>
      <c r="GJ37">
        <v>0</v>
      </c>
      <c r="GK37">
        <f>ROUND(R37*(R12)/100,2)</f>
        <v>0</v>
      </c>
      <c r="GL37">
        <f t="shared" si="41"/>
        <v>0</v>
      </c>
      <c r="GM37">
        <f t="shared" si="42"/>
        <v>96536.34</v>
      </c>
      <c r="GN37">
        <f t="shared" si="43"/>
        <v>96536.34</v>
      </c>
      <c r="GO37">
        <f t="shared" si="44"/>
        <v>0</v>
      </c>
      <c r="GP37">
        <f t="shared" si="45"/>
        <v>0</v>
      </c>
      <c r="GR37">
        <v>1</v>
      </c>
      <c r="GS37">
        <v>1</v>
      </c>
      <c r="GT37">
        <v>0</v>
      </c>
      <c r="GU37" t="s">
        <v>3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83</v>
      </c>
      <c r="F38" t="s">
        <v>84</v>
      </c>
      <c r="G38" t="s">
        <v>85</v>
      </c>
      <c r="H38" t="s">
        <v>33</v>
      </c>
      <c r="I38">
        <f>I36*J38</f>
        <v>165.32249999999999</v>
      </c>
      <c r="J38">
        <v>105</v>
      </c>
      <c r="O38">
        <f t="shared" si="14"/>
        <v>0</v>
      </c>
      <c r="P38">
        <f t="shared" si="15"/>
        <v>0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39107596</v>
      </c>
      <c r="AB38">
        <f t="shared" si="25"/>
        <v>0</v>
      </c>
      <c r="AC38">
        <f t="shared" si="26"/>
        <v>0</v>
      </c>
      <c r="AD38">
        <f>ROUND((((ET38)-(EU38))+AE38),2)</f>
        <v>0</v>
      </c>
      <c r="AE38">
        <f>ROUND((EU38),2)</f>
        <v>0</v>
      </c>
      <c r="AF38">
        <f>ROUND((EV38),2)</f>
        <v>0</v>
      </c>
      <c r="AG38">
        <f t="shared" si="27"/>
        <v>0</v>
      </c>
      <c r="AH38">
        <f>(EW38)</f>
        <v>0</v>
      </c>
      <c r="AI38">
        <f>(EX38)</f>
        <v>0</v>
      </c>
      <c r="AJ38">
        <f t="shared" si="28"/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95</v>
      </c>
      <c r="AU38">
        <v>47</v>
      </c>
      <c r="AV38">
        <v>1</v>
      </c>
      <c r="AW38">
        <v>1</v>
      </c>
      <c r="AZ38">
        <v>6.61</v>
      </c>
      <c r="BA38">
        <v>1</v>
      </c>
      <c r="BB38">
        <v>1</v>
      </c>
      <c r="BC38">
        <v>6.61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3</v>
      </c>
      <c r="BM38">
        <v>15001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105</v>
      </c>
      <c r="CA38">
        <v>55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9"/>
        <v>0</v>
      </c>
      <c r="CQ38">
        <f t="shared" si="30"/>
        <v>0</v>
      </c>
      <c r="CR38">
        <f t="shared" si="31"/>
        <v>0</v>
      </c>
      <c r="CS38">
        <f t="shared" si="32"/>
        <v>0</v>
      </c>
      <c r="CT38">
        <f t="shared" si="33"/>
        <v>0</v>
      </c>
      <c r="CU38">
        <f t="shared" si="34"/>
        <v>0</v>
      </c>
      <c r="CV38">
        <f t="shared" si="35"/>
        <v>0</v>
      </c>
      <c r="CW38">
        <f t="shared" si="36"/>
        <v>0</v>
      </c>
      <c r="CX38">
        <f t="shared" si="37"/>
        <v>0</v>
      </c>
      <c r="CY38">
        <f t="shared" si="38"/>
        <v>0</v>
      </c>
      <c r="CZ38">
        <f t="shared" si="39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33</v>
      </c>
      <c r="DW38" t="s">
        <v>33</v>
      </c>
      <c r="DX38">
        <v>1</v>
      </c>
      <c r="EE38">
        <v>39174529</v>
      </c>
      <c r="EF38">
        <v>2</v>
      </c>
      <c r="EG38" t="s">
        <v>16</v>
      </c>
      <c r="EH38">
        <v>0</v>
      </c>
      <c r="EI38" t="s">
        <v>3</v>
      </c>
      <c r="EJ38">
        <v>1</v>
      </c>
      <c r="EK38">
        <v>15001</v>
      </c>
      <c r="EL38" t="s">
        <v>66</v>
      </c>
      <c r="EM38" t="s">
        <v>67</v>
      </c>
      <c r="EO38" t="s">
        <v>3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40"/>
        <v>0</v>
      </c>
      <c r="FS38">
        <v>0</v>
      </c>
      <c r="FT38" t="s">
        <v>19</v>
      </c>
      <c r="FU38" t="s">
        <v>20</v>
      </c>
      <c r="FX38">
        <v>94.5</v>
      </c>
      <c r="FY38">
        <v>46.75</v>
      </c>
      <c r="GA38" t="s">
        <v>38</v>
      </c>
      <c r="GD38">
        <v>0</v>
      </c>
      <c r="GF38">
        <v>-112006704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1"/>
        <v>0</v>
      </c>
      <c r="GM38">
        <f t="shared" si="42"/>
        <v>0</v>
      </c>
      <c r="GN38">
        <f t="shared" si="43"/>
        <v>0</v>
      </c>
      <c r="GO38">
        <f t="shared" si="44"/>
        <v>0</v>
      </c>
      <c r="GP38">
        <f t="shared" si="45"/>
        <v>0</v>
      </c>
      <c r="GR38">
        <v>0</v>
      </c>
      <c r="GS38">
        <v>4</v>
      </c>
      <c r="GT38">
        <v>0</v>
      </c>
      <c r="GU38" t="s">
        <v>3</v>
      </c>
      <c r="GV38">
        <f t="shared" si="46"/>
        <v>0</v>
      </c>
      <c r="GW38">
        <v>1</v>
      </c>
      <c r="GX38">
        <f t="shared" si="47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ROW(SmtRes!A48)</f>
        <v>48</v>
      </c>
      <c r="D39">
        <f>ROW(EtalonRes!A46)</f>
        <v>46</v>
      </c>
      <c r="E39" t="s">
        <v>86</v>
      </c>
      <c r="F39" t="s">
        <v>87</v>
      </c>
      <c r="G39" t="s">
        <v>88</v>
      </c>
      <c r="H39" t="s">
        <v>42</v>
      </c>
      <c r="I39">
        <f>ROUND(314.9/100,9)</f>
        <v>3.149</v>
      </c>
      <c r="J39">
        <v>0</v>
      </c>
      <c r="O39">
        <f t="shared" si="14"/>
        <v>2117.29</v>
      </c>
      <c r="P39">
        <f t="shared" si="15"/>
        <v>749.34</v>
      </c>
      <c r="Q39">
        <f t="shared" si="16"/>
        <v>0</v>
      </c>
      <c r="R39">
        <f t="shared" si="17"/>
        <v>0</v>
      </c>
      <c r="S39">
        <f t="shared" si="18"/>
        <v>1367.95</v>
      </c>
      <c r="T39">
        <f t="shared" si="19"/>
        <v>0</v>
      </c>
      <c r="U39">
        <f t="shared" si="20"/>
        <v>24.263044999999998</v>
      </c>
      <c r="V39">
        <f t="shared" si="21"/>
        <v>0</v>
      </c>
      <c r="W39">
        <f t="shared" si="22"/>
        <v>0</v>
      </c>
      <c r="X39">
        <f t="shared" si="23"/>
        <v>1450.03</v>
      </c>
      <c r="Y39">
        <f t="shared" si="24"/>
        <v>738.69</v>
      </c>
      <c r="AA39">
        <v>39107596</v>
      </c>
      <c r="AB39">
        <f t="shared" si="25"/>
        <v>101.72</v>
      </c>
      <c r="AC39">
        <f t="shared" si="26"/>
        <v>36</v>
      </c>
      <c r="AD39">
        <f>ROUND(((((ET39*1.25))-((EU39*1.25)))+AE39),2)</f>
        <v>0</v>
      </c>
      <c r="AE39">
        <f>ROUND(((EU39*1.25)),2)</f>
        <v>0</v>
      </c>
      <c r="AF39">
        <f>ROUND(((EV39*1.15)),2)</f>
        <v>65.72</v>
      </c>
      <c r="AG39">
        <f t="shared" si="27"/>
        <v>0</v>
      </c>
      <c r="AH39">
        <f>((EW39*1.15))</f>
        <v>7.7049999999999992</v>
      </c>
      <c r="AI39">
        <f>((EX39*1.25))</f>
        <v>0</v>
      </c>
      <c r="AJ39">
        <f t="shared" si="28"/>
        <v>0</v>
      </c>
      <c r="AK39">
        <v>93.15</v>
      </c>
      <c r="AL39">
        <v>36</v>
      </c>
      <c r="AM39">
        <v>0</v>
      </c>
      <c r="AN39">
        <v>0</v>
      </c>
      <c r="AO39">
        <v>57.15</v>
      </c>
      <c r="AP39">
        <v>0</v>
      </c>
      <c r="AQ39">
        <v>6.7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6.61</v>
      </c>
      <c r="BA39">
        <v>6.61</v>
      </c>
      <c r="BB39">
        <v>6.61</v>
      </c>
      <c r="BC39">
        <v>6.61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89</v>
      </c>
      <c r="BM39">
        <v>10001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6.61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118</v>
      </c>
      <c r="CA39">
        <v>63</v>
      </c>
      <c r="CF39">
        <v>0</v>
      </c>
      <c r="CG39">
        <v>0</v>
      </c>
      <c r="CM39">
        <v>0</v>
      </c>
      <c r="CN39" t="s">
        <v>280</v>
      </c>
      <c r="CO39">
        <v>0</v>
      </c>
      <c r="CP39">
        <f t="shared" si="29"/>
        <v>2117.29</v>
      </c>
      <c r="CQ39">
        <f t="shared" si="30"/>
        <v>237.96</v>
      </c>
      <c r="CR39">
        <f t="shared" si="31"/>
        <v>0</v>
      </c>
      <c r="CS39">
        <f t="shared" si="32"/>
        <v>0</v>
      </c>
      <c r="CT39">
        <f t="shared" si="33"/>
        <v>434.4092</v>
      </c>
      <c r="CU39">
        <f t="shared" si="34"/>
        <v>0</v>
      </c>
      <c r="CV39">
        <f t="shared" si="35"/>
        <v>7.7049999999999992</v>
      </c>
      <c r="CW39">
        <f t="shared" si="36"/>
        <v>0</v>
      </c>
      <c r="CX39">
        <f t="shared" si="37"/>
        <v>0</v>
      </c>
      <c r="CY39">
        <f t="shared" si="38"/>
        <v>1450.027</v>
      </c>
      <c r="CZ39">
        <f t="shared" si="39"/>
        <v>738.69299999999998</v>
      </c>
      <c r="DC39" t="s">
        <v>3</v>
      </c>
      <c r="DD39" t="s">
        <v>3</v>
      </c>
      <c r="DE39" t="s">
        <v>25</v>
      </c>
      <c r="DF39" t="s">
        <v>25</v>
      </c>
      <c r="DG39" t="s">
        <v>26</v>
      </c>
      <c r="DH39" t="s">
        <v>3</v>
      </c>
      <c r="DI39" t="s">
        <v>26</v>
      </c>
      <c r="DJ39" t="s">
        <v>25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42</v>
      </c>
      <c r="DW39" t="s">
        <v>42</v>
      </c>
      <c r="DX39">
        <v>100</v>
      </c>
      <c r="EE39">
        <v>39174503</v>
      </c>
      <c r="EF39">
        <v>2</v>
      </c>
      <c r="EG39" t="s">
        <v>16</v>
      </c>
      <c r="EH39">
        <v>0</v>
      </c>
      <c r="EI39" t="s">
        <v>3</v>
      </c>
      <c r="EJ39">
        <v>1</v>
      </c>
      <c r="EK39">
        <v>10001</v>
      </c>
      <c r="EL39" t="s">
        <v>27</v>
      </c>
      <c r="EM39" t="s">
        <v>28</v>
      </c>
      <c r="EO39" t="s">
        <v>29</v>
      </c>
      <c r="EQ39">
        <v>0</v>
      </c>
      <c r="ER39">
        <v>93.15</v>
      </c>
      <c r="ES39">
        <v>36</v>
      </c>
      <c r="ET39">
        <v>0</v>
      </c>
      <c r="EU39">
        <v>0</v>
      </c>
      <c r="EV39">
        <v>57.15</v>
      </c>
      <c r="EW39">
        <v>6.7</v>
      </c>
      <c r="EX39">
        <v>0</v>
      </c>
      <c r="EY39">
        <v>0</v>
      </c>
      <c r="FQ39">
        <v>0</v>
      </c>
      <c r="FR39">
        <f t="shared" si="40"/>
        <v>0</v>
      </c>
      <c r="FS39">
        <v>0</v>
      </c>
      <c r="FT39" t="s">
        <v>19</v>
      </c>
      <c r="FU39" t="s">
        <v>20</v>
      </c>
      <c r="FX39">
        <v>106.2</v>
      </c>
      <c r="FY39">
        <v>53.55</v>
      </c>
      <c r="GA39" t="s">
        <v>3</v>
      </c>
      <c r="GD39">
        <v>0</v>
      </c>
      <c r="GF39">
        <v>-1862938563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1"/>
        <v>0</v>
      </c>
      <c r="GM39">
        <f t="shared" si="42"/>
        <v>4306.01</v>
      </c>
      <c r="GN39">
        <f t="shared" si="43"/>
        <v>4306.01</v>
      </c>
      <c r="GO39">
        <f t="shared" si="44"/>
        <v>0</v>
      </c>
      <c r="GP39">
        <f t="shared" si="45"/>
        <v>0</v>
      </c>
      <c r="GR39">
        <v>0</v>
      </c>
      <c r="GS39">
        <v>3</v>
      </c>
      <c r="GT39">
        <v>0</v>
      </c>
      <c r="GU39" t="s">
        <v>3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48</v>
      </c>
      <c r="E40" t="s">
        <v>90</v>
      </c>
      <c r="F40" t="s">
        <v>31</v>
      </c>
      <c r="G40" t="s">
        <v>91</v>
      </c>
      <c r="H40" t="s">
        <v>46</v>
      </c>
      <c r="I40">
        <f>I39*J40</f>
        <v>314.89999999999998</v>
      </c>
      <c r="J40">
        <v>99.999999999999986</v>
      </c>
      <c r="O40">
        <f t="shared" si="14"/>
        <v>16089.91</v>
      </c>
      <c r="P40">
        <f t="shared" si="15"/>
        <v>16089.91</v>
      </c>
      <c r="Q40">
        <f t="shared" si="16"/>
        <v>0</v>
      </c>
      <c r="R40">
        <f t="shared" si="17"/>
        <v>0</v>
      </c>
      <c r="S40">
        <f t="shared" si="18"/>
        <v>0</v>
      </c>
      <c r="T40">
        <f t="shared" si="19"/>
        <v>0</v>
      </c>
      <c r="U40">
        <f t="shared" si="20"/>
        <v>0</v>
      </c>
      <c r="V40">
        <f t="shared" si="21"/>
        <v>0</v>
      </c>
      <c r="W40">
        <f t="shared" si="22"/>
        <v>0</v>
      </c>
      <c r="X40">
        <f t="shared" si="23"/>
        <v>0</v>
      </c>
      <c r="Y40">
        <f t="shared" si="24"/>
        <v>0</v>
      </c>
      <c r="AA40">
        <v>39107596</v>
      </c>
      <c r="AB40">
        <f t="shared" si="25"/>
        <v>7.73</v>
      </c>
      <c r="AC40">
        <f t="shared" si="26"/>
        <v>7.73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 t="shared" si="27"/>
        <v>0</v>
      </c>
      <c r="AH40">
        <f>(EW40)</f>
        <v>0</v>
      </c>
      <c r="AI40">
        <f>(EX40)</f>
        <v>0</v>
      </c>
      <c r="AJ40">
        <f t="shared" si="28"/>
        <v>0</v>
      </c>
      <c r="AK40">
        <v>7.73</v>
      </c>
      <c r="AL40">
        <v>7.73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6.61</v>
      </c>
      <c r="BA40">
        <v>1</v>
      </c>
      <c r="BB40">
        <v>1</v>
      </c>
      <c r="BC40">
        <v>6.61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3</v>
      </c>
      <c r="BM40">
        <v>10001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118</v>
      </c>
      <c r="CA40">
        <v>63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29"/>
        <v>16089.91</v>
      </c>
      <c r="CQ40">
        <f t="shared" si="30"/>
        <v>51.095300000000009</v>
      </c>
      <c r="CR40">
        <f t="shared" si="31"/>
        <v>0</v>
      </c>
      <c r="CS40">
        <f t="shared" si="32"/>
        <v>0</v>
      </c>
      <c r="CT40">
        <f t="shared" si="33"/>
        <v>0</v>
      </c>
      <c r="CU40">
        <f t="shared" si="34"/>
        <v>0</v>
      </c>
      <c r="CV40">
        <f t="shared" si="35"/>
        <v>0</v>
      </c>
      <c r="CW40">
        <f t="shared" si="36"/>
        <v>0</v>
      </c>
      <c r="CX40">
        <f t="shared" si="37"/>
        <v>0</v>
      </c>
      <c r="CY40">
        <f t="shared" si="38"/>
        <v>0</v>
      </c>
      <c r="CZ40">
        <f t="shared" si="39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1003</v>
      </c>
      <c r="DV40" t="s">
        <v>46</v>
      </c>
      <c r="DW40" t="s">
        <v>46</v>
      </c>
      <c r="DX40">
        <v>1</v>
      </c>
      <c r="EE40">
        <v>39174503</v>
      </c>
      <c r="EF40">
        <v>2</v>
      </c>
      <c r="EG40" t="s">
        <v>16</v>
      </c>
      <c r="EH40">
        <v>0</v>
      </c>
      <c r="EI40" t="s">
        <v>3</v>
      </c>
      <c r="EJ40">
        <v>1</v>
      </c>
      <c r="EK40">
        <v>10001</v>
      </c>
      <c r="EL40" t="s">
        <v>27</v>
      </c>
      <c r="EM40" t="s">
        <v>28</v>
      </c>
      <c r="EO40" t="s">
        <v>3</v>
      </c>
      <c r="EQ40">
        <v>0</v>
      </c>
      <c r="ER40">
        <v>7.73</v>
      </c>
      <c r="ES40">
        <v>7.73</v>
      </c>
      <c r="ET40">
        <v>0</v>
      </c>
      <c r="EU40">
        <v>0</v>
      </c>
      <c r="EV40">
        <v>0</v>
      </c>
      <c r="EW40">
        <v>0</v>
      </c>
      <c r="EX40">
        <v>0</v>
      </c>
      <c r="EZ40">
        <v>5</v>
      </c>
      <c r="FC40">
        <v>1</v>
      </c>
      <c r="FD40">
        <v>18</v>
      </c>
      <c r="FF40">
        <v>60.33</v>
      </c>
      <c r="FQ40">
        <v>0</v>
      </c>
      <c r="FR40">
        <f t="shared" si="40"/>
        <v>0</v>
      </c>
      <c r="FS40">
        <v>0</v>
      </c>
      <c r="FT40" t="s">
        <v>19</v>
      </c>
      <c r="FU40" t="s">
        <v>20</v>
      </c>
      <c r="FX40">
        <v>106.2</v>
      </c>
      <c r="FY40">
        <v>53.55</v>
      </c>
      <c r="GA40" t="s">
        <v>92</v>
      </c>
      <c r="GD40">
        <v>0</v>
      </c>
      <c r="GF40">
        <v>1094464084</v>
      </c>
      <c r="GG40">
        <v>1</v>
      </c>
      <c r="GH40">
        <v>3</v>
      </c>
      <c r="GI40">
        <v>4</v>
      </c>
      <c r="GJ40">
        <v>0</v>
      </c>
      <c r="GK40">
        <f>ROUND(R40*(R12)/100,2)</f>
        <v>0</v>
      </c>
      <c r="GL40">
        <f t="shared" si="41"/>
        <v>0</v>
      </c>
      <c r="GM40">
        <f t="shared" si="42"/>
        <v>16089.91</v>
      </c>
      <c r="GN40">
        <f t="shared" si="43"/>
        <v>16089.91</v>
      </c>
      <c r="GO40">
        <f t="shared" si="44"/>
        <v>0</v>
      </c>
      <c r="GP40">
        <f t="shared" si="45"/>
        <v>0</v>
      </c>
      <c r="GR40">
        <v>1</v>
      </c>
      <c r="GS40">
        <v>1</v>
      </c>
      <c r="GT40">
        <v>0</v>
      </c>
      <c r="GU40" t="s">
        <v>3</v>
      </c>
      <c r="GV40">
        <f t="shared" si="46"/>
        <v>0</v>
      </c>
      <c r="GW40">
        <v>1</v>
      </c>
      <c r="GX40">
        <f t="shared" si="47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46</v>
      </c>
      <c r="E41" t="s">
        <v>93</v>
      </c>
      <c r="F41" t="s">
        <v>94</v>
      </c>
      <c r="G41" t="s">
        <v>95</v>
      </c>
      <c r="H41" t="s">
        <v>96</v>
      </c>
      <c r="I41">
        <f>I39*J41</f>
        <v>314.89999999999998</v>
      </c>
      <c r="J41">
        <v>99.999999999999986</v>
      </c>
      <c r="O41">
        <f t="shared" si="14"/>
        <v>0</v>
      </c>
      <c r="P41">
        <f t="shared" si="15"/>
        <v>0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39107596</v>
      </c>
      <c r="AB41">
        <f t="shared" si="25"/>
        <v>0</v>
      </c>
      <c r="AC41">
        <f t="shared" si="26"/>
        <v>0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7"/>
        <v>0</v>
      </c>
      <c r="AH41">
        <f>(EW41)</f>
        <v>0</v>
      </c>
      <c r="AI41">
        <f>(EX41)</f>
        <v>0</v>
      </c>
      <c r="AJ41">
        <f t="shared" si="28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6.61</v>
      </c>
      <c r="BA41">
        <v>1</v>
      </c>
      <c r="BB41">
        <v>1</v>
      </c>
      <c r="BC41">
        <v>6.61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3</v>
      </c>
      <c r="BM41">
        <v>10001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9"/>
        <v>0</v>
      </c>
      <c r="CQ41">
        <f t="shared" si="30"/>
        <v>0</v>
      </c>
      <c r="CR41">
        <f t="shared" si="31"/>
        <v>0</v>
      </c>
      <c r="CS41">
        <f t="shared" si="32"/>
        <v>0</v>
      </c>
      <c r="CT41">
        <f t="shared" si="33"/>
        <v>0</v>
      </c>
      <c r="CU41">
        <f t="shared" si="34"/>
        <v>0</v>
      </c>
      <c r="CV41">
        <f t="shared" si="35"/>
        <v>0</v>
      </c>
      <c r="CW41">
        <f t="shared" si="36"/>
        <v>0</v>
      </c>
      <c r="CX41">
        <f t="shared" si="37"/>
        <v>0</v>
      </c>
      <c r="CY41">
        <f t="shared" si="38"/>
        <v>0</v>
      </c>
      <c r="CZ41">
        <f t="shared" si="39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96</v>
      </c>
      <c r="DW41" t="s">
        <v>96</v>
      </c>
      <c r="DX41">
        <v>1</v>
      </c>
      <c r="EE41">
        <v>39174503</v>
      </c>
      <c r="EF41">
        <v>2</v>
      </c>
      <c r="EG41" t="s">
        <v>16</v>
      </c>
      <c r="EH41">
        <v>0</v>
      </c>
      <c r="EI41" t="s">
        <v>3</v>
      </c>
      <c r="EJ41">
        <v>1</v>
      </c>
      <c r="EK41">
        <v>10001</v>
      </c>
      <c r="EL41" t="s">
        <v>27</v>
      </c>
      <c r="EM41" t="s">
        <v>28</v>
      </c>
      <c r="EO41" t="s">
        <v>3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0"/>
        <v>0</v>
      </c>
      <c r="FS41">
        <v>0</v>
      </c>
      <c r="FT41" t="s">
        <v>19</v>
      </c>
      <c r="FU41" t="s">
        <v>20</v>
      </c>
      <c r="FX41">
        <v>106.2</v>
      </c>
      <c r="FY41">
        <v>53.55</v>
      </c>
      <c r="GA41" t="s">
        <v>38</v>
      </c>
      <c r="GD41">
        <v>0</v>
      </c>
      <c r="GF41">
        <v>-1710570218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1"/>
        <v>0</v>
      </c>
      <c r="GM41">
        <f t="shared" si="42"/>
        <v>0</v>
      </c>
      <c r="GN41">
        <f t="shared" si="43"/>
        <v>0</v>
      </c>
      <c r="GO41">
        <f t="shared" si="44"/>
        <v>0</v>
      </c>
      <c r="GP41">
        <f t="shared" si="45"/>
        <v>0</v>
      </c>
      <c r="GR41">
        <v>0</v>
      </c>
      <c r="GS41">
        <v>4</v>
      </c>
      <c r="GT41">
        <v>0</v>
      </c>
      <c r="GU41" t="s">
        <v>3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IK41">
        <v>0</v>
      </c>
    </row>
    <row r="43" spans="1:245" x14ac:dyDescent="0.2">
      <c r="A43" s="2">
        <v>51</v>
      </c>
      <c r="B43" s="2">
        <f>B20</f>
        <v>1</v>
      </c>
      <c r="C43" s="2">
        <f>A20</f>
        <v>3</v>
      </c>
      <c r="D43" s="2">
        <f>ROW(A20)</f>
        <v>20</v>
      </c>
      <c r="E43" s="2"/>
      <c r="F43" s="2" t="str">
        <f>IF(F20&lt;&gt;"",F20,"")</f>
        <v>Новая локальная смета</v>
      </c>
      <c r="G43" s="2" t="str">
        <f>IF(G20&lt;&gt;"",G20,"")</f>
        <v>Новая локальная смета</v>
      </c>
      <c r="H43" s="2">
        <v>0</v>
      </c>
      <c r="I43" s="2"/>
      <c r="J43" s="2"/>
      <c r="K43" s="2"/>
      <c r="L43" s="2"/>
      <c r="M43" s="2"/>
      <c r="N43" s="2"/>
      <c r="O43" s="2">
        <f t="shared" ref="O43:T43" si="50">ROUND(AB43,2)</f>
        <v>1654950.14</v>
      </c>
      <c r="P43" s="2">
        <f t="shared" si="50"/>
        <v>1569827.5</v>
      </c>
      <c r="Q43" s="2">
        <f t="shared" si="50"/>
        <v>9882.8799999999992</v>
      </c>
      <c r="R43" s="2">
        <f t="shared" si="50"/>
        <v>2879.44</v>
      </c>
      <c r="S43" s="2">
        <f t="shared" si="50"/>
        <v>75239.759999999995</v>
      </c>
      <c r="T43" s="2">
        <f t="shared" si="50"/>
        <v>0</v>
      </c>
      <c r="U43" s="2">
        <f>AH43</f>
        <v>1321.2653982499999</v>
      </c>
      <c r="V43" s="2">
        <f>AI43</f>
        <v>34.030349999999999</v>
      </c>
      <c r="W43" s="2">
        <f>ROUND(AJ43,2)</f>
        <v>0</v>
      </c>
      <c r="X43" s="2">
        <f>ROUND(AK43,2)</f>
        <v>78082.880000000005</v>
      </c>
      <c r="Y43" s="2">
        <f>ROUND(AL43,2)</f>
        <v>42663.93</v>
      </c>
      <c r="Z43" s="2"/>
      <c r="AA43" s="2"/>
      <c r="AB43" s="2">
        <f>ROUND(SUMIF(AA24:AA41,"=39107596",O24:O41),2)</f>
        <v>1654950.14</v>
      </c>
      <c r="AC43" s="2">
        <f>ROUND(SUMIF(AA24:AA41,"=39107596",P24:P41),2)</f>
        <v>1569827.5</v>
      </c>
      <c r="AD43" s="2">
        <f>ROUND(SUMIF(AA24:AA41,"=39107596",Q24:Q41),2)</f>
        <v>9882.8799999999992</v>
      </c>
      <c r="AE43" s="2">
        <f>ROUND(SUMIF(AA24:AA41,"=39107596",R24:R41),2)</f>
        <v>2879.44</v>
      </c>
      <c r="AF43" s="2">
        <f>ROUND(SUMIF(AA24:AA41,"=39107596",S24:S41),2)</f>
        <v>75239.759999999995</v>
      </c>
      <c r="AG43" s="2">
        <f>ROUND(SUMIF(AA24:AA41,"=39107596",T24:T41),2)</f>
        <v>0</v>
      </c>
      <c r="AH43" s="2">
        <f>SUMIF(AA24:AA41,"=39107596",U24:U41)</f>
        <v>1321.2653982499999</v>
      </c>
      <c r="AI43" s="2">
        <f>SUMIF(AA24:AA41,"=39107596",V24:V41)</f>
        <v>34.030349999999999</v>
      </c>
      <c r="AJ43" s="2">
        <f>ROUND(SUMIF(AA24:AA41,"=39107596",W24:W41),2)</f>
        <v>0</v>
      </c>
      <c r="AK43" s="2">
        <f>ROUND(SUMIF(AA24:AA41,"=39107596",X24:X41),2)</f>
        <v>78082.880000000005</v>
      </c>
      <c r="AL43" s="2">
        <f>ROUND(SUMIF(AA24:AA41,"=39107596",Y24:Y41),2)</f>
        <v>42663.93</v>
      </c>
      <c r="AM43" s="2"/>
      <c r="AN43" s="2"/>
      <c r="AO43" s="2">
        <f t="shared" ref="AO43:BC43" si="51">ROUND(BX43,2)</f>
        <v>0</v>
      </c>
      <c r="AP43" s="2">
        <f t="shared" si="51"/>
        <v>0</v>
      </c>
      <c r="AQ43" s="2">
        <f t="shared" si="51"/>
        <v>0</v>
      </c>
      <c r="AR43" s="2">
        <f t="shared" si="51"/>
        <v>1775696.95</v>
      </c>
      <c r="AS43" s="2">
        <f t="shared" si="51"/>
        <v>1775696.95</v>
      </c>
      <c r="AT43" s="2">
        <f t="shared" si="51"/>
        <v>0</v>
      </c>
      <c r="AU43" s="2">
        <f t="shared" si="51"/>
        <v>0</v>
      </c>
      <c r="AV43" s="2">
        <f t="shared" si="51"/>
        <v>1569827.5</v>
      </c>
      <c r="AW43" s="2">
        <f t="shared" si="51"/>
        <v>1569827.5</v>
      </c>
      <c r="AX43" s="2">
        <f t="shared" si="51"/>
        <v>0</v>
      </c>
      <c r="AY43" s="2">
        <f t="shared" si="51"/>
        <v>1569827.5</v>
      </c>
      <c r="AZ43" s="2">
        <f t="shared" si="51"/>
        <v>0</v>
      </c>
      <c r="BA43" s="2">
        <f t="shared" si="51"/>
        <v>0</v>
      </c>
      <c r="BB43" s="2">
        <f t="shared" si="51"/>
        <v>0</v>
      </c>
      <c r="BC43" s="2">
        <f t="shared" si="51"/>
        <v>0</v>
      </c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>
        <f>ROUND(SUMIF(AA24:AA41,"=39107596",FQ24:FQ41),2)</f>
        <v>0</v>
      </c>
      <c r="BY43" s="2">
        <f>ROUND(SUMIF(AA24:AA41,"=39107596",FR24:FR41),2)</f>
        <v>0</v>
      </c>
      <c r="BZ43" s="2">
        <f>ROUND(SUMIF(AA24:AA41,"=39107596",GL24:GL41),2)</f>
        <v>0</v>
      </c>
      <c r="CA43" s="2">
        <f>ROUND(SUMIF(AA24:AA41,"=39107596",GM24:GM41),2)</f>
        <v>1775696.95</v>
      </c>
      <c r="CB43" s="2">
        <f>ROUND(SUMIF(AA24:AA41,"=39107596",GN24:GN41),2)</f>
        <v>1775696.95</v>
      </c>
      <c r="CC43" s="2">
        <f>ROUND(SUMIF(AA24:AA41,"=39107596",GO24:GO41),2)</f>
        <v>0</v>
      </c>
      <c r="CD43" s="2">
        <f>ROUND(SUMIF(AA24:AA41,"=39107596",GP24:GP41),2)</f>
        <v>0</v>
      </c>
      <c r="CE43" s="2">
        <f>AC43-BX43</f>
        <v>1569827.5</v>
      </c>
      <c r="CF43" s="2">
        <f>AC43-BY43</f>
        <v>1569827.5</v>
      </c>
      <c r="CG43" s="2">
        <f>BX43-BZ43</f>
        <v>0</v>
      </c>
      <c r="CH43" s="2">
        <f>AC43-BX43-BY43+BZ43</f>
        <v>1569827.5</v>
      </c>
      <c r="CI43" s="2">
        <f>BY43-BZ43</f>
        <v>0</v>
      </c>
      <c r="CJ43" s="2">
        <f>ROUND(SUMIF(AA24:AA41,"=39107596",GX24:GX41),2)</f>
        <v>0</v>
      </c>
      <c r="CK43" s="2">
        <f>ROUND(SUMIF(AA24:AA41,"=39107596",GY24:GY41),2)</f>
        <v>0</v>
      </c>
      <c r="CL43" s="2">
        <f>ROUND(SUMIF(AA24:AA41,"=39107596",GZ24:GZ41),2)</f>
        <v>0</v>
      </c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>
        <v>0</v>
      </c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201</v>
      </c>
      <c r="F45" s="4">
        <f>ROUND(Source!O43,O45)</f>
        <v>1654950.14</v>
      </c>
      <c r="G45" s="4" t="s">
        <v>97</v>
      </c>
      <c r="H45" s="4" t="s">
        <v>98</v>
      </c>
      <c r="I45" s="4"/>
      <c r="J45" s="4"/>
      <c r="K45" s="4">
        <v>201</v>
      </c>
      <c r="L45" s="4">
        <v>1</v>
      </c>
      <c r="M45" s="4">
        <v>3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202</v>
      </c>
      <c r="F46" s="4">
        <f>ROUND(Source!P43,O46)</f>
        <v>1569827.5</v>
      </c>
      <c r="G46" s="4" t="s">
        <v>99</v>
      </c>
      <c r="H46" s="4" t="s">
        <v>100</v>
      </c>
      <c r="I46" s="4"/>
      <c r="J46" s="4"/>
      <c r="K46" s="4">
        <v>202</v>
      </c>
      <c r="L46" s="4">
        <v>2</v>
      </c>
      <c r="M46" s="4">
        <v>3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222</v>
      </c>
      <c r="F47" s="4">
        <f>ROUND(Source!AO43,O47)</f>
        <v>0</v>
      </c>
      <c r="G47" s="4" t="s">
        <v>101</v>
      </c>
      <c r="H47" s="4" t="s">
        <v>102</v>
      </c>
      <c r="I47" s="4"/>
      <c r="J47" s="4"/>
      <c r="K47" s="4">
        <v>222</v>
      </c>
      <c r="L47" s="4">
        <v>3</v>
      </c>
      <c r="M47" s="4">
        <v>3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225</v>
      </c>
      <c r="F48" s="4">
        <f>ROUND(Source!AV43,O48)</f>
        <v>1569827.5</v>
      </c>
      <c r="G48" s="4" t="s">
        <v>103</v>
      </c>
      <c r="H48" s="4" t="s">
        <v>104</v>
      </c>
      <c r="I48" s="4"/>
      <c r="J48" s="4"/>
      <c r="K48" s="4">
        <v>225</v>
      </c>
      <c r="L48" s="4">
        <v>4</v>
      </c>
      <c r="M48" s="4">
        <v>3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226</v>
      </c>
      <c r="F49" s="4">
        <f>ROUND(Source!AW43,O49)</f>
        <v>1569827.5</v>
      </c>
      <c r="G49" s="4" t="s">
        <v>105</v>
      </c>
      <c r="H49" s="4" t="s">
        <v>106</v>
      </c>
      <c r="I49" s="4"/>
      <c r="J49" s="4"/>
      <c r="K49" s="4">
        <v>226</v>
      </c>
      <c r="L49" s="4">
        <v>5</v>
      </c>
      <c r="M49" s="4">
        <v>3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227</v>
      </c>
      <c r="F50" s="4">
        <f>ROUND(Source!AX43,O50)</f>
        <v>0</v>
      </c>
      <c r="G50" s="4" t="s">
        <v>107</v>
      </c>
      <c r="H50" s="4" t="s">
        <v>108</v>
      </c>
      <c r="I50" s="4"/>
      <c r="J50" s="4"/>
      <c r="K50" s="4">
        <v>227</v>
      </c>
      <c r="L50" s="4">
        <v>6</v>
      </c>
      <c r="M50" s="4">
        <v>3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228</v>
      </c>
      <c r="F51" s="4">
        <f>ROUND(Source!AY43,O51)</f>
        <v>1569827.5</v>
      </c>
      <c r="G51" s="4" t="s">
        <v>109</v>
      </c>
      <c r="H51" s="4" t="s">
        <v>110</v>
      </c>
      <c r="I51" s="4"/>
      <c r="J51" s="4"/>
      <c r="K51" s="4">
        <v>228</v>
      </c>
      <c r="L51" s="4">
        <v>7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216</v>
      </c>
      <c r="F52" s="4">
        <f>ROUND(Source!AP43,O52)</f>
        <v>0</v>
      </c>
      <c r="G52" s="4" t="s">
        <v>111</v>
      </c>
      <c r="H52" s="4" t="s">
        <v>112</v>
      </c>
      <c r="I52" s="4"/>
      <c r="J52" s="4"/>
      <c r="K52" s="4">
        <v>216</v>
      </c>
      <c r="L52" s="4">
        <v>8</v>
      </c>
      <c r="M52" s="4">
        <v>3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223</v>
      </c>
      <c r="F53" s="4">
        <f>ROUND(Source!AQ43,O53)</f>
        <v>0</v>
      </c>
      <c r="G53" s="4" t="s">
        <v>113</v>
      </c>
      <c r="H53" s="4" t="s">
        <v>114</v>
      </c>
      <c r="I53" s="4"/>
      <c r="J53" s="4"/>
      <c r="K53" s="4">
        <v>223</v>
      </c>
      <c r="L53" s="4">
        <v>9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229</v>
      </c>
      <c r="F54" s="4">
        <f>ROUND(Source!AZ43,O54)</f>
        <v>0</v>
      </c>
      <c r="G54" s="4" t="s">
        <v>115</v>
      </c>
      <c r="H54" s="4" t="s">
        <v>116</v>
      </c>
      <c r="I54" s="4"/>
      <c r="J54" s="4"/>
      <c r="K54" s="4">
        <v>229</v>
      </c>
      <c r="L54" s="4">
        <v>10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203</v>
      </c>
      <c r="F55" s="4">
        <f>ROUND(Source!Q43,O55)</f>
        <v>9882.8799999999992</v>
      </c>
      <c r="G55" s="4" t="s">
        <v>117</v>
      </c>
      <c r="H55" s="4" t="s">
        <v>118</v>
      </c>
      <c r="I55" s="4"/>
      <c r="J55" s="4"/>
      <c r="K55" s="4">
        <v>203</v>
      </c>
      <c r="L55" s="4">
        <v>11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231</v>
      </c>
      <c r="F56" s="4">
        <f>ROUND(Source!BB43,O56)</f>
        <v>0</v>
      </c>
      <c r="G56" s="4" t="s">
        <v>119</v>
      </c>
      <c r="H56" s="4" t="s">
        <v>120</v>
      </c>
      <c r="I56" s="4"/>
      <c r="J56" s="4"/>
      <c r="K56" s="4">
        <v>231</v>
      </c>
      <c r="L56" s="4">
        <v>12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204</v>
      </c>
      <c r="F57" s="4">
        <f>ROUND(Source!R43,O57)</f>
        <v>2879.44</v>
      </c>
      <c r="G57" s="4" t="s">
        <v>121</v>
      </c>
      <c r="H57" s="4" t="s">
        <v>122</v>
      </c>
      <c r="I57" s="4"/>
      <c r="J57" s="4"/>
      <c r="K57" s="4">
        <v>204</v>
      </c>
      <c r="L57" s="4">
        <v>13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205</v>
      </c>
      <c r="F58" s="4">
        <f>ROUND(Source!S43,O58)</f>
        <v>75239.759999999995</v>
      </c>
      <c r="G58" s="4" t="s">
        <v>123</v>
      </c>
      <c r="H58" s="4" t="s">
        <v>124</v>
      </c>
      <c r="I58" s="4"/>
      <c r="J58" s="4"/>
      <c r="K58" s="4">
        <v>205</v>
      </c>
      <c r="L58" s="4">
        <v>14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232</v>
      </c>
      <c r="F59" s="4">
        <f>ROUND(Source!BC43,O59)</f>
        <v>0</v>
      </c>
      <c r="G59" s="4" t="s">
        <v>125</v>
      </c>
      <c r="H59" s="4" t="s">
        <v>126</v>
      </c>
      <c r="I59" s="4"/>
      <c r="J59" s="4"/>
      <c r="K59" s="4">
        <v>232</v>
      </c>
      <c r="L59" s="4">
        <v>15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214</v>
      </c>
      <c r="F60" s="4">
        <f>ROUND(Source!AS43,O60)</f>
        <v>1775696.95</v>
      </c>
      <c r="G60" s="4" t="s">
        <v>127</v>
      </c>
      <c r="H60" s="4" t="s">
        <v>128</v>
      </c>
      <c r="I60" s="4"/>
      <c r="J60" s="4"/>
      <c r="K60" s="4">
        <v>214</v>
      </c>
      <c r="L60" s="4">
        <v>16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215</v>
      </c>
      <c r="F61" s="4">
        <f>ROUND(Source!AT43,O61)</f>
        <v>0</v>
      </c>
      <c r="G61" s="4" t="s">
        <v>129</v>
      </c>
      <c r="H61" s="4" t="s">
        <v>130</v>
      </c>
      <c r="I61" s="4"/>
      <c r="J61" s="4"/>
      <c r="K61" s="4">
        <v>215</v>
      </c>
      <c r="L61" s="4">
        <v>17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217</v>
      </c>
      <c r="F62" s="4">
        <f>ROUND(Source!AU43,O62)</f>
        <v>0</v>
      </c>
      <c r="G62" s="4" t="s">
        <v>131</v>
      </c>
      <c r="H62" s="4" t="s">
        <v>132</v>
      </c>
      <c r="I62" s="4"/>
      <c r="J62" s="4"/>
      <c r="K62" s="4">
        <v>217</v>
      </c>
      <c r="L62" s="4">
        <v>18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230</v>
      </c>
      <c r="F63" s="4">
        <f>ROUND(Source!BA43,O63)</f>
        <v>0</v>
      </c>
      <c r="G63" s="4" t="s">
        <v>133</v>
      </c>
      <c r="H63" s="4" t="s">
        <v>134</v>
      </c>
      <c r="I63" s="4"/>
      <c r="J63" s="4"/>
      <c r="K63" s="4">
        <v>230</v>
      </c>
      <c r="L63" s="4">
        <v>19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206</v>
      </c>
      <c r="F64" s="4">
        <f>ROUND(Source!T43,O64)</f>
        <v>0</v>
      </c>
      <c r="G64" s="4" t="s">
        <v>135</v>
      </c>
      <c r="H64" s="4" t="s">
        <v>136</v>
      </c>
      <c r="I64" s="4"/>
      <c r="J64" s="4"/>
      <c r="K64" s="4">
        <v>206</v>
      </c>
      <c r="L64" s="4">
        <v>20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06" x14ac:dyDescent="0.2">
      <c r="A65" s="4">
        <v>50</v>
      </c>
      <c r="B65" s="4">
        <v>0</v>
      </c>
      <c r="C65" s="4">
        <v>0</v>
      </c>
      <c r="D65" s="4">
        <v>1</v>
      </c>
      <c r="E65" s="4">
        <v>207</v>
      </c>
      <c r="F65" s="4">
        <f>Source!U43</f>
        <v>1321.2653982499999</v>
      </c>
      <c r="G65" s="4" t="s">
        <v>137</v>
      </c>
      <c r="H65" s="4" t="s">
        <v>138</v>
      </c>
      <c r="I65" s="4"/>
      <c r="J65" s="4"/>
      <c r="K65" s="4">
        <v>207</v>
      </c>
      <c r="L65" s="4">
        <v>21</v>
      </c>
      <c r="M65" s="4">
        <v>3</v>
      </c>
      <c r="N65" s="4" t="s">
        <v>3</v>
      </c>
      <c r="O65" s="4">
        <v>-1</v>
      </c>
      <c r="P65" s="4"/>
      <c r="Q65" s="4"/>
      <c r="R65" s="4"/>
      <c r="S65" s="4"/>
      <c r="T65" s="4"/>
      <c r="U65" s="4"/>
      <c r="V65" s="4"/>
      <c r="W65" s="4"/>
    </row>
    <row r="66" spans="1:206" x14ac:dyDescent="0.2">
      <c r="A66" s="4">
        <v>50</v>
      </c>
      <c r="B66" s="4">
        <v>0</v>
      </c>
      <c r="C66" s="4">
        <v>0</v>
      </c>
      <c r="D66" s="4">
        <v>1</v>
      </c>
      <c r="E66" s="4">
        <v>208</v>
      </c>
      <c r="F66" s="4">
        <f>Source!V43</f>
        <v>34.030349999999999</v>
      </c>
      <c r="G66" s="4" t="s">
        <v>139</v>
      </c>
      <c r="H66" s="4" t="s">
        <v>140</v>
      </c>
      <c r="I66" s="4"/>
      <c r="J66" s="4"/>
      <c r="K66" s="4">
        <v>208</v>
      </c>
      <c r="L66" s="4">
        <v>22</v>
      </c>
      <c r="M66" s="4">
        <v>3</v>
      </c>
      <c r="N66" s="4" t="s">
        <v>3</v>
      </c>
      <c r="O66" s="4">
        <v>-1</v>
      </c>
      <c r="P66" s="4"/>
      <c r="Q66" s="4"/>
      <c r="R66" s="4"/>
      <c r="S66" s="4"/>
      <c r="T66" s="4"/>
      <c r="U66" s="4"/>
      <c r="V66" s="4"/>
      <c r="W66" s="4"/>
    </row>
    <row r="67" spans="1:206" x14ac:dyDescent="0.2">
      <c r="A67" s="4">
        <v>50</v>
      </c>
      <c r="B67" s="4">
        <v>0</v>
      </c>
      <c r="C67" s="4">
        <v>0</v>
      </c>
      <c r="D67" s="4">
        <v>1</v>
      </c>
      <c r="E67" s="4">
        <v>209</v>
      </c>
      <c r="F67" s="4">
        <f>ROUND(Source!W43,O67)</f>
        <v>0</v>
      </c>
      <c r="G67" s="4" t="s">
        <v>141</v>
      </c>
      <c r="H67" s="4" t="s">
        <v>142</v>
      </c>
      <c r="I67" s="4"/>
      <c r="J67" s="4"/>
      <c r="K67" s="4">
        <v>209</v>
      </c>
      <c r="L67" s="4">
        <v>23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06" x14ac:dyDescent="0.2">
      <c r="A68" s="4">
        <v>50</v>
      </c>
      <c r="B68" s="4">
        <v>0</v>
      </c>
      <c r="C68" s="4">
        <v>0</v>
      </c>
      <c r="D68" s="4">
        <v>1</v>
      </c>
      <c r="E68" s="4">
        <v>210</v>
      </c>
      <c r="F68" s="4">
        <f>ROUND(Source!X43,O68)</f>
        <v>78082.880000000005</v>
      </c>
      <c r="G68" s="4" t="s">
        <v>143</v>
      </c>
      <c r="H68" s="4" t="s">
        <v>144</v>
      </c>
      <c r="I68" s="4"/>
      <c r="J68" s="4"/>
      <c r="K68" s="4">
        <v>210</v>
      </c>
      <c r="L68" s="4">
        <v>24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06" x14ac:dyDescent="0.2">
      <c r="A69" s="4">
        <v>50</v>
      </c>
      <c r="B69" s="4">
        <v>0</v>
      </c>
      <c r="C69" s="4">
        <v>0</v>
      </c>
      <c r="D69" s="4">
        <v>1</v>
      </c>
      <c r="E69" s="4">
        <v>211</v>
      </c>
      <c r="F69" s="4">
        <f>ROUND(Source!Y43,O69)</f>
        <v>42663.93</v>
      </c>
      <c r="G69" s="4" t="s">
        <v>145</v>
      </c>
      <c r="H69" s="4" t="s">
        <v>146</v>
      </c>
      <c r="I69" s="4"/>
      <c r="J69" s="4"/>
      <c r="K69" s="4">
        <v>211</v>
      </c>
      <c r="L69" s="4">
        <v>25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06" x14ac:dyDescent="0.2">
      <c r="A70" s="4">
        <v>50</v>
      </c>
      <c r="B70" s="4">
        <v>0</v>
      </c>
      <c r="C70" s="4">
        <v>0</v>
      </c>
      <c r="D70" s="4">
        <v>1</v>
      </c>
      <c r="E70" s="4">
        <v>224</v>
      </c>
      <c r="F70" s="4">
        <f>ROUND(Source!AR43,O70)</f>
        <v>1775696.95</v>
      </c>
      <c r="G70" s="4" t="s">
        <v>147</v>
      </c>
      <c r="H70" s="4" t="s">
        <v>148</v>
      </c>
      <c r="I70" s="4"/>
      <c r="J70" s="4"/>
      <c r="K70" s="4">
        <v>224</v>
      </c>
      <c r="L70" s="4">
        <v>26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06" x14ac:dyDescent="0.2">
      <c r="A71" s="4">
        <v>50</v>
      </c>
      <c r="B71" s="4">
        <v>1</v>
      </c>
      <c r="C71" s="4">
        <v>0</v>
      </c>
      <c r="D71" s="4">
        <v>2</v>
      </c>
      <c r="E71" s="4">
        <v>0</v>
      </c>
      <c r="F71" s="4">
        <f>ROUND(F70,O71)</f>
        <v>1775696.95</v>
      </c>
      <c r="G71" s="4" t="s">
        <v>149</v>
      </c>
      <c r="H71" s="4" t="s">
        <v>150</v>
      </c>
      <c r="I71" s="4"/>
      <c r="J71" s="4"/>
      <c r="K71" s="4">
        <v>212</v>
      </c>
      <c r="L71" s="4">
        <v>27</v>
      </c>
      <c r="M71" s="4">
        <v>0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06" x14ac:dyDescent="0.2">
      <c r="A72" s="4">
        <v>50</v>
      </c>
      <c r="B72" s="4">
        <v>1</v>
      </c>
      <c r="C72" s="4">
        <v>0</v>
      </c>
      <c r="D72" s="4">
        <v>2</v>
      </c>
      <c r="E72" s="4">
        <v>0</v>
      </c>
      <c r="F72" s="4">
        <f>ROUND(F71*0.18,O72)</f>
        <v>319625.45</v>
      </c>
      <c r="G72" s="4" t="s">
        <v>151</v>
      </c>
      <c r="H72" s="4" t="s">
        <v>152</v>
      </c>
      <c r="I72" s="4"/>
      <c r="J72" s="4"/>
      <c r="K72" s="4">
        <v>212</v>
      </c>
      <c r="L72" s="4">
        <v>28</v>
      </c>
      <c r="M72" s="4">
        <v>0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06" x14ac:dyDescent="0.2">
      <c r="A73" s="4">
        <v>50</v>
      </c>
      <c r="B73" s="4">
        <v>1</v>
      </c>
      <c r="C73" s="4">
        <v>0</v>
      </c>
      <c r="D73" s="4">
        <v>2</v>
      </c>
      <c r="E73" s="4">
        <v>213</v>
      </c>
      <c r="F73" s="4">
        <f>ROUND(F71+F72,O73)</f>
        <v>2095322.4</v>
      </c>
      <c r="G73" s="4" t="s">
        <v>153</v>
      </c>
      <c r="H73" s="4" t="s">
        <v>147</v>
      </c>
      <c r="I73" s="4"/>
      <c r="J73" s="4"/>
      <c r="K73" s="4">
        <v>212</v>
      </c>
      <c r="L73" s="4">
        <v>29</v>
      </c>
      <c r="M73" s="4">
        <v>0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5" spans="1:206" x14ac:dyDescent="0.2">
      <c r="A75" s="2">
        <v>51</v>
      </c>
      <c r="B75" s="2">
        <f>B12</f>
        <v>133</v>
      </c>
      <c r="C75" s="2">
        <f>A12</f>
        <v>1</v>
      </c>
      <c r="D75" s="2">
        <f>ROW(A12)</f>
        <v>12</v>
      </c>
      <c r="E75" s="2"/>
      <c r="F75" s="2" t="str">
        <f>IF(F12&lt;&gt;"",F12,"")</f>
        <v>Новый объект</v>
      </c>
      <c r="G75" s="2" t="str">
        <f>IF(G12&lt;&gt;"",G12,"")</f>
        <v>на капитальный ремонт оконных проемов с заменой деревянных оконных блоков на оконные блоки из ПВХ в помещениях № 1, № 2 ,№ 21, № 22, № 24, № 25, № 26 1-го этажа, №10, №11, №13, №14, №15 2-го этажа, № 3-№ 7 3-го этажа, №3-№7 4-го этажа в здании учебного  корпуса Уральского технологического колледжа-филиала НИЯУ МИФИ ( УрТК НИЯУ МИФИ) по адресу: Свердловская обл., г. Заречный, ул. Ленина 27</v>
      </c>
      <c r="H75" s="2">
        <v>0</v>
      </c>
      <c r="I75" s="2"/>
      <c r="J75" s="2"/>
      <c r="K75" s="2"/>
      <c r="L75" s="2"/>
      <c r="M75" s="2"/>
      <c r="N75" s="2"/>
      <c r="O75" s="2">
        <f t="shared" ref="O75:T75" si="52">ROUND(O43,2)</f>
        <v>1654950.14</v>
      </c>
      <c r="P75" s="2">
        <f t="shared" si="52"/>
        <v>1569827.5</v>
      </c>
      <c r="Q75" s="2">
        <f t="shared" si="52"/>
        <v>9882.8799999999992</v>
      </c>
      <c r="R75" s="2">
        <f t="shared" si="52"/>
        <v>2879.44</v>
      </c>
      <c r="S75" s="2">
        <f t="shared" si="52"/>
        <v>75239.759999999995</v>
      </c>
      <c r="T75" s="2">
        <f t="shared" si="52"/>
        <v>0</v>
      </c>
      <c r="U75" s="2">
        <f>U43</f>
        <v>1321.2653982499999</v>
      </c>
      <c r="V75" s="2">
        <f>V43</f>
        <v>34.030349999999999</v>
      </c>
      <c r="W75" s="2">
        <f>ROUND(W43,2)</f>
        <v>0</v>
      </c>
      <c r="X75" s="2">
        <f>ROUND(X43,2)</f>
        <v>78082.880000000005</v>
      </c>
      <c r="Y75" s="2">
        <f>ROUND(Y43,2)</f>
        <v>42663.93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>
        <f t="shared" ref="AO75:BC75" si="53">ROUND(AO43,2)</f>
        <v>0</v>
      </c>
      <c r="AP75" s="2">
        <f t="shared" si="53"/>
        <v>0</v>
      </c>
      <c r="AQ75" s="2">
        <f t="shared" si="53"/>
        <v>0</v>
      </c>
      <c r="AR75" s="2">
        <f t="shared" si="53"/>
        <v>1775696.95</v>
      </c>
      <c r="AS75" s="2">
        <f t="shared" si="53"/>
        <v>1775696.95</v>
      </c>
      <c r="AT75" s="2">
        <f t="shared" si="53"/>
        <v>0</v>
      </c>
      <c r="AU75" s="2">
        <f t="shared" si="53"/>
        <v>0</v>
      </c>
      <c r="AV75" s="2">
        <f t="shared" si="53"/>
        <v>1569827.5</v>
      </c>
      <c r="AW75" s="2">
        <f t="shared" si="53"/>
        <v>1569827.5</v>
      </c>
      <c r="AX75" s="2">
        <f t="shared" si="53"/>
        <v>0</v>
      </c>
      <c r="AY75" s="2">
        <f t="shared" si="53"/>
        <v>1569827.5</v>
      </c>
      <c r="AZ75" s="2">
        <f t="shared" si="53"/>
        <v>0</v>
      </c>
      <c r="BA75" s="2">
        <f t="shared" si="53"/>
        <v>0</v>
      </c>
      <c r="BB75" s="2">
        <f t="shared" si="53"/>
        <v>0</v>
      </c>
      <c r="BC75" s="2">
        <f t="shared" si="53"/>
        <v>0</v>
      </c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>
        <v>0</v>
      </c>
    </row>
    <row r="77" spans="1:206" x14ac:dyDescent="0.2">
      <c r="A77" s="4">
        <v>50</v>
      </c>
      <c r="B77" s="4">
        <v>0</v>
      </c>
      <c r="C77" s="4">
        <v>0</v>
      </c>
      <c r="D77" s="4">
        <v>1</v>
      </c>
      <c r="E77" s="4">
        <v>201</v>
      </c>
      <c r="F77" s="4">
        <f>ROUND(Source!O75,O77)</f>
        <v>1654950.14</v>
      </c>
      <c r="G77" s="4" t="s">
        <v>97</v>
      </c>
      <c r="H77" s="4" t="s">
        <v>98</v>
      </c>
      <c r="I77" s="4"/>
      <c r="J77" s="4"/>
      <c r="K77" s="4">
        <v>201</v>
      </c>
      <c r="L77" s="4">
        <v>1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06" x14ac:dyDescent="0.2">
      <c r="A78" s="4">
        <v>50</v>
      </c>
      <c r="B78" s="4">
        <v>0</v>
      </c>
      <c r="C78" s="4">
        <v>0</v>
      </c>
      <c r="D78" s="4">
        <v>1</v>
      </c>
      <c r="E78" s="4">
        <v>202</v>
      </c>
      <c r="F78" s="4">
        <f>ROUND(Source!P75,O78)</f>
        <v>1569827.5</v>
      </c>
      <c r="G78" s="4" t="s">
        <v>99</v>
      </c>
      <c r="H78" s="4" t="s">
        <v>100</v>
      </c>
      <c r="I78" s="4"/>
      <c r="J78" s="4"/>
      <c r="K78" s="4">
        <v>202</v>
      </c>
      <c r="L78" s="4">
        <v>2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06" x14ac:dyDescent="0.2">
      <c r="A79" s="4">
        <v>50</v>
      </c>
      <c r="B79" s="4">
        <v>0</v>
      </c>
      <c r="C79" s="4">
        <v>0</v>
      </c>
      <c r="D79" s="4">
        <v>1</v>
      </c>
      <c r="E79" s="4">
        <v>222</v>
      </c>
      <c r="F79" s="4">
        <f>ROUND(Source!AO75,O79)</f>
        <v>0</v>
      </c>
      <c r="G79" s="4" t="s">
        <v>101</v>
      </c>
      <c r="H79" s="4" t="s">
        <v>102</v>
      </c>
      <c r="I79" s="4"/>
      <c r="J79" s="4"/>
      <c r="K79" s="4">
        <v>222</v>
      </c>
      <c r="L79" s="4">
        <v>3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06" x14ac:dyDescent="0.2">
      <c r="A80" s="4">
        <v>50</v>
      </c>
      <c r="B80" s="4">
        <v>0</v>
      </c>
      <c r="C80" s="4">
        <v>0</v>
      </c>
      <c r="D80" s="4">
        <v>1</v>
      </c>
      <c r="E80" s="4">
        <v>225</v>
      </c>
      <c r="F80" s="4">
        <f>ROUND(Source!AV75,O80)</f>
        <v>1569827.5</v>
      </c>
      <c r="G80" s="4" t="s">
        <v>103</v>
      </c>
      <c r="H80" s="4" t="s">
        <v>104</v>
      </c>
      <c r="I80" s="4"/>
      <c r="J80" s="4"/>
      <c r="K80" s="4">
        <v>225</v>
      </c>
      <c r="L80" s="4">
        <v>4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226</v>
      </c>
      <c r="F81" s="4">
        <f>ROUND(Source!AW75,O81)</f>
        <v>1569827.5</v>
      </c>
      <c r="G81" s="4" t="s">
        <v>105</v>
      </c>
      <c r="H81" s="4" t="s">
        <v>106</v>
      </c>
      <c r="I81" s="4"/>
      <c r="J81" s="4"/>
      <c r="K81" s="4">
        <v>226</v>
      </c>
      <c r="L81" s="4">
        <v>5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227</v>
      </c>
      <c r="F82" s="4">
        <f>ROUND(Source!AX75,O82)</f>
        <v>0</v>
      </c>
      <c r="G82" s="4" t="s">
        <v>107</v>
      </c>
      <c r="H82" s="4" t="s">
        <v>108</v>
      </c>
      <c r="I82" s="4"/>
      <c r="J82" s="4"/>
      <c r="K82" s="4">
        <v>227</v>
      </c>
      <c r="L82" s="4">
        <v>6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228</v>
      </c>
      <c r="F83" s="4">
        <f>ROUND(Source!AY75,O83)</f>
        <v>1569827.5</v>
      </c>
      <c r="G83" s="4" t="s">
        <v>109</v>
      </c>
      <c r="H83" s="4" t="s">
        <v>110</v>
      </c>
      <c r="I83" s="4"/>
      <c r="J83" s="4"/>
      <c r="K83" s="4">
        <v>228</v>
      </c>
      <c r="L83" s="4">
        <v>7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216</v>
      </c>
      <c r="F84" s="4">
        <f>ROUND(Source!AP75,O84)</f>
        <v>0</v>
      </c>
      <c r="G84" s="4" t="s">
        <v>111</v>
      </c>
      <c r="H84" s="4" t="s">
        <v>112</v>
      </c>
      <c r="I84" s="4"/>
      <c r="J84" s="4"/>
      <c r="K84" s="4">
        <v>216</v>
      </c>
      <c r="L84" s="4">
        <v>8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223</v>
      </c>
      <c r="F85" s="4">
        <f>ROUND(Source!AQ75,O85)</f>
        <v>0</v>
      </c>
      <c r="G85" s="4" t="s">
        <v>113</v>
      </c>
      <c r="H85" s="4" t="s">
        <v>114</v>
      </c>
      <c r="I85" s="4"/>
      <c r="J85" s="4"/>
      <c r="K85" s="4">
        <v>223</v>
      </c>
      <c r="L85" s="4">
        <v>9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229</v>
      </c>
      <c r="F86" s="4">
        <f>ROUND(Source!AZ75,O86)</f>
        <v>0</v>
      </c>
      <c r="G86" s="4" t="s">
        <v>115</v>
      </c>
      <c r="H86" s="4" t="s">
        <v>116</v>
      </c>
      <c r="I86" s="4"/>
      <c r="J86" s="4"/>
      <c r="K86" s="4">
        <v>229</v>
      </c>
      <c r="L86" s="4">
        <v>10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203</v>
      </c>
      <c r="F87" s="4">
        <f>ROUND(Source!Q75,O87)</f>
        <v>9882.8799999999992</v>
      </c>
      <c r="G87" s="4" t="s">
        <v>117</v>
      </c>
      <c r="H87" s="4" t="s">
        <v>118</v>
      </c>
      <c r="I87" s="4"/>
      <c r="J87" s="4"/>
      <c r="K87" s="4">
        <v>203</v>
      </c>
      <c r="L87" s="4">
        <v>11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231</v>
      </c>
      <c r="F88" s="4">
        <f>ROUND(Source!BB75,O88)</f>
        <v>0</v>
      </c>
      <c r="G88" s="4" t="s">
        <v>119</v>
      </c>
      <c r="H88" s="4" t="s">
        <v>120</v>
      </c>
      <c r="I88" s="4"/>
      <c r="J88" s="4"/>
      <c r="K88" s="4">
        <v>231</v>
      </c>
      <c r="L88" s="4">
        <v>12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204</v>
      </c>
      <c r="F89" s="4">
        <f>ROUND(Source!R75,O89)</f>
        <v>2879.44</v>
      </c>
      <c r="G89" s="4" t="s">
        <v>121</v>
      </c>
      <c r="H89" s="4" t="s">
        <v>122</v>
      </c>
      <c r="I89" s="4"/>
      <c r="J89" s="4"/>
      <c r="K89" s="4">
        <v>204</v>
      </c>
      <c r="L89" s="4">
        <v>13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205</v>
      </c>
      <c r="F90" s="4">
        <f>ROUND(Source!S75,O90)</f>
        <v>75239.759999999995</v>
      </c>
      <c r="G90" s="4" t="s">
        <v>123</v>
      </c>
      <c r="H90" s="4" t="s">
        <v>124</v>
      </c>
      <c r="I90" s="4"/>
      <c r="J90" s="4"/>
      <c r="K90" s="4">
        <v>205</v>
      </c>
      <c r="L90" s="4">
        <v>14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232</v>
      </c>
      <c r="F91" s="4">
        <f>ROUND(Source!BC75,O91)</f>
        <v>0</v>
      </c>
      <c r="G91" s="4" t="s">
        <v>125</v>
      </c>
      <c r="H91" s="4" t="s">
        <v>126</v>
      </c>
      <c r="I91" s="4"/>
      <c r="J91" s="4"/>
      <c r="K91" s="4">
        <v>232</v>
      </c>
      <c r="L91" s="4">
        <v>15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214</v>
      </c>
      <c r="F92" s="4">
        <f>ROUND(Source!AS75,O92)</f>
        <v>1775696.95</v>
      </c>
      <c r="G92" s="4" t="s">
        <v>127</v>
      </c>
      <c r="H92" s="4" t="s">
        <v>128</v>
      </c>
      <c r="I92" s="4"/>
      <c r="J92" s="4"/>
      <c r="K92" s="4">
        <v>214</v>
      </c>
      <c r="L92" s="4">
        <v>16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215</v>
      </c>
      <c r="F93" s="4">
        <f>ROUND(Source!AT75,O93)</f>
        <v>0</v>
      </c>
      <c r="G93" s="4" t="s">
        <v>129</v>
      </c>
      <c r="H93" s="4" t="s">
        <v>130</v>
      </c>
      <c r="I93" s="4"/>
      <c r="J93" s="4"/>
      <c r="K93" s="4">
        <v>215</v>
      </c>
      <c r="L93" s="4">
        <v>17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217</v>
      </c>
      <c r="F94" s="4">
        <f>ROUND(Source!AU75,O94)</f>
        <v>0</v>
      </c>
      <c r="G94" s="4" t="s">
        <v>131</v>
      </c>
      <c r="H94" s="4" t="s">
        <v>132</v>
      </c>
      <c r="I94" s="4"/>
      <c r="J94" s="4"/>
      <c r="K94" s="4">
        <v>217</v>
      </c>
      <c r="L94" s="4">
        <v>18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230</v>
      </c>
      <c r="F95" s="4">
        <f>ROUND(Source!BA75,O95)</f>
        <v>0</v>
      </c>
      <c r="G95" s="4" t="s">
        <v>133</v>
      </c>
      <c r="H95" s="4" t="s">
        <v>134</v>
      </c>
      <c r="I95" s="4"/>
      <c r="J95" s="4"/>
      <c r="K95" s="4">
        <v>230</v>
      </c>
      <c r="L95" s="4">
        <v>19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206</v>
      </c>
      <c r="F96" s="4">
        <f>ROUND(Source!T75,O96)</f>
        <v>0</v>
      </c>
      <c r="G96" s="4" t="s">
        <v>135</v>
      </c>
      <c r="H96" s="4" t="s">
        <v>136</v>
      </c>
      <c r="I96" s="4"/>
      <c r="J96" s="4"/>
      <c r="K96" s="4">
        <v>206</v>
      </c>
      <c r="L96" s="4">
        <v>20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207</v>
      </c>
      <c r="F97" s="4">
        <f>Source!U75</f>
        <v>1321.2653982499999</v>
      </c>
      <c r="G97" s="4" t="s">
        <v>137</v>
      </c>
      <c r="H97" s="4" t="s">
        <v>138</v>
      </c>
      <c r="I97" s="4"/>
      <c r="J97" s="4"/>
      <c r="K97" s="4">
        <v>207</v>
      </c>
      <c r="L97" s="4">
        <v>21</v>
      </c>
      <c r="M97" s="4">
        <v>3</v>
      </c>
      <c r="N97" s="4" t="s">
        <v>3</v>
      </c>
      <c r="O97" s="4">
        <v>-1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208</v>
      </c>
      <c r="F98" s="4">
        <f>Source!V75</f>
        <v>34.030349999999999</v>
      </c>
      <c r="G98" s="4" t="s">
        <v>139</v>
      </c>
      <c r="H98" s="4" t="s">
        <v>140</v>
      </c>
      <c r="I98" s="4"/>
      <c r="J98" s="4"/>
      <c r="K98" s="4">
        <v>208</v>
      </c>
      <c r="L98" s="4">
        <v>22</v>
      </c>
      <c r="M98" s="4">
        <v>3</v>
      </c>
      <c r="N98" s="4" t="s">
        <v>3</v>
      </c>
      <c r="O98" s="4">
        <v>-1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209</v>
      </c>
      <c r="F99" s="4">
        <f>ROUND(Source!W75,O99)</f>
        <v>0</v>
      </c>
      <c r="G99" s="4" t="s">
        <v>141</v>
      </c>
      <c r="H99" s="4" t="s">
        <v>142</v>
      </c>
      <c r="I99" s="4"/>
      <c r="J99" s="4"/>
      <c r="K99" s="4">
        <v>209</v>
      </c>
      <c r="L99" s="4">
        <v>23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210</v>
      </c>
      <c r="F100" s="4">
        <f>ROUND(Source!X75,O100)</f>
        <v>78082.880000000005</v>
      </c>
      <c r="G100" s="4" t="s">
        <v>143</v>
      </c>
      <c r="H100" s="4" t="s">
        <v>144</v>
      </c>
      <c r="I100" s="4"/>
      <c r="J100" s="4"/>
      <c r="K100" s="4">
        <v>210</v>
      </c>
      <c r="L100" s="4">
        <v>24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211</v>
      </c>
      <c r="F101" s="4">
        <f>ROUND(Source!Y75,O101)</f>
        <v>42663.93</v>
      </c>
      <c r="G101" s="4" t="s">
        <v>145</v>
      </c>
      <c r="H101" s="4" t="s">
        <v>146</v>
      </c>
      <c r="I101" s="4"/>
      <c r="J101" s="4"/>
      <c r="K101" s="4">
        <v>211</v>
      </c>
      <c r="L101" s="4">
        <v>25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224</v>
      </c>
      <c r="F102" s="4">
        <f>ROUND(Source!AR75,O102)</f>
        <v>1775696.95</v>
      </c>
      <c r="G102" s="4" t="s">
        <v>147</v>
      </c>
      <c r="H102" s="4" t="s">
        <v>148</v>
      </c>
      <c r="I102" s="4"/>
      <c r="J102" s="4"/>
      <c r="K102" s="4">
        <v>224</v>
      </c>
      <c r="L102" s="4">
        <v>26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5" spans="1:23" x14ac:dyDescent="0.2">
      <c r="A105">
        <v>70</v>
      </c>
      <c r="B105">
        <v>1</v>
      </c>
      <c r="D105">
        <v>1</v>
      </c>
      <c r="E105" t="s">
        <v>154</v>
      </c>
      <c r="F105" t="s">
        <v>155</v>
      </c>
      <c r="G105">
        <v>0</v>
      </c>
      <c r="H105">
        <v>0</v>
      </c>
      <c r="I105" t="s">
        <v>3</v>
      </c>
      <c r="J105">
        <v>1</v>
      </c>
      <c r="K105">
        <v>0</v>
      </c>
      <c r="L105" t="s">
        <v>3</v>
      </c>
      <c r="M105" t="s">
        <v>3</v>
      </c>
      <c r="N105">
        <v>0</v>
      </c>
    </row>
    <row r="106" spans="1:23" x14ac:dyDescent="0.2">
      <c r="A106">
        <v>70</v>
      </c>
      <c r="B106">
        <v>1</v>
      </c>
      <c r="D106">
        <v>2</v>
      </c>
      <c r="E106" t="s">
        <v>156</v>
      </c>
      <c r="F106" t="s">
        <v>157</v>
      </c>
      <c r="G106">
        <v>1</v>
      </c>
      <c r="H106">
        <v>0</v>
      </c>
      <c r="I106" t="s">
        <v>3</v>
      </c>
      <c r="J106">
        <v>1</v>
      </c>
      <c r="K106">
        <v>0</v>
      </c>
      <c r="L106" t="s">
        <v>3</v>
      </c>
      <c r="M106" t="s">
        <v>3</v>
      </c>
      <c r="N106">
        <v>0</v>
      </c>
    </row>
    <row r="107" spans="1:23" x14ac:dyDescent="0.2">
      <c r="A107">
        <v>70</v>
      </c>
      <c r="B107">
        <v>1</v>
      </c>
      <c r="D107">
        <v>3</v>
      </c>
      <c r="E107" t="s">
        <v>158</v>
      </c>
      <c r="F107" t="s">
        <v>159</v>
      </c>
      <c r="G107">
        <v>0</v>
      </c>
      <c r="H107">
        <v>0</v>
      </c>
      <c r="I107" t="s">
        <v>3</v>
      </c>
      <c r="J107">
        <v>1</v>
      </c>
      <c r="K107">
        <v>0</v>
      </c>
      <c r="L107" t="s">
        <v>3</v>
      </c>
      <c r="M107" t="s">
        <v>3</v>
      </c>
      <c r="N107">
        <v>0</v>
      </c>
    </row>
    <row r="108" spans="1:23" x14ac:dyDescent="0.2">
      <c r="A108">
        <v>70</v>
      </c>
      <c r="B108">
        <v>1</v>
      </c>
      <c r="D108">
        <v>4</v>
      </c>
      <c r="E108" t="s">
        <v>160</v>
      </c>
      <c r="F108" t="s">
        <v>161</v>
      </c>
      <c r="G108">
        <v>0</v>
      </c>
      <c r="H108">
        <v>0</v>
      </c>
      <c r="I108" t="s">
        <v>162</v>
      </c>
      <c r="J108">
        <v>0</v>
      </c>
      <c r="K108">
        <v>0</v>
      </c>
      <c r="L108" t="s">
        <v>3</v>
      </c>
      <c r="M108" t="s">
        <v>3</v>
      </c>
      <c r="N108">
        <v>0</v>
      </c>
    </row>
    <row r="109" spans="1:23" x14ac:dyDescent="0.2">
      <c r="A109">
        <v>70</v>
      </c>
      <c r="B109">
        <v>1</v>
      </c>
      <c r="D109">
        <v>5</v>
      </c>
      <c r="E109" t="s">
        <v>163</v>
      </c>
      <c r="F109" t="s">
        <v>164</v>
      </c>
      <c r="G109">
        <v>0</v>
      </c>
      <c r="H109">
        <v>0</v>
      </c>
      <c r="I109" t="s">
        <v>165</v>
      </c>
      <c r="J109">
        <v>0</v>
      </c>
      <c r="K109">
        <v>0</v>
      </c>
      <c r="L109" t="s">
        <v>3</v>
      </c>
      <c r="M109" t="s">
        <v>3</v>
      </c>
      <c r="N109">
        <v>0</v>
      </c>
    </row>
    <row r="110" spans="1:23" x14ac:dyDescent="0.2">
      <c r="A110">
        <v>70</v>
      </c>
      <c r="B110">
        <v>1</v>
      </c>
      <c r="D110">
        <v>6</v>
      </c>
      <c r="E110" t="s">
        <v>166</v>
      </c>
      <c r="F110" t="s">
        <v>167</v>
      </c>
      <c r="G110">
        <v>0</v>
      </c>
      <c r="H110">
        <v>0</v>
      </c>
      <c r="I110" t="s">
        <v>168</v>
      </c>
      <c r="J110">
        <v>0</v>
      </c>
      <c r="K110">
        <v>0</v>
      </c>
      <c r="L110" t="s">
        <v>3</v>
      </c>
      <c r="M110" t="s">
        <v>3</v>
      </c>
      <c r="N110">
        <v>0</v>
      </c>
    </row>
    <row r="111" spans="1:23" x14ac:dyDescent="0.2">
      <c r="A111">
        <v>70</v>
      </c>
      <c r="B111">
        <v>1</v>
      </c>
      <c r="D111">
        <v>7</v>
      </c>
      <c r="E111" t="s">
        <v>169</v>
      </c>
      <c r="F111" t="s">
        <v>170</v>
      </c>
      <c r="G111">
        <v>0</v>
      </c>
      <c r="H111">
        <v>0</v>
      </c>
      <c r="I111" t="s">
        <v>3</v>
      </c>
      <c r="J111">
        <v>0</v>
      </c>
      <c r="K111">
        <v>0</v>
      </c>
      <c r="L111" t="s">
        <v>3</v>
      </c>
      <c r="M111" t="s">
        <v>3</v>
      </c>
      <c r="N111">
        <v>0</v>
      </c>
    </row>
    <row r="112" spans="1:23" x14ac:dyDescent="0.2">
      <c r="A112">
        <v>70</v>
      </c>
      <c r="B112">
        <v>1</v>
      </c>
      <c r="D112">
        <v>8</v>
      </c>
      <c r="E112" t="s">
        <v>171</v>
      </c>
      <c r="F112" t="s">
        <v>172</v>
      </c>
      <c r="G112">
        <v>0</v>
      </c>
      <c r="H112">
        <v>0</v>
      </c>
      <c r="I112" t="s">
        <v>173</v>
      </c>
      <c r="J112">
        <v>0</v>
      </c>
      <c r="K112">
        <v>0</v>
      </c>
      <c r="L112" t="s">
        <v>3</v>
      </c>
      <c r="M112" t="s">
        <v>3</v>
      </c>
      <c r="N112">
        <v>0</v>
      </c>
    </row>
    <row r="113" spans="1:14" x14ac:dyDescent="0.2">
      <c r="A113">
        <v>70</v>
      </c>
      <c r="B113">
        <v>1</v>
      </c>
      <c r="D113">
        <v>9</v>
      </c>
      <c r="E113" t="s">
        <v>174</v>
      </c>
      <c r="F113" t="s">
        <v>175</v>
      </c>
      <c r="G113">
        <v>0</v>
      </c>
      <c r="H113">
        <v>0</v>
      </c>
      <c r="I113" t="s">
        <v>176</v>
      </c>
      <c r="J113">
        <v>0</v>
      </c>
      <c r="K113">
        <v>0</v>
      </c>
      <c r="L113" t="s">
        <v>3</v>
      </c>
      <c r="M113" t="s">
        <v>3</v>
      </c>
      <c r="N113">
        <v>0</v>
      </c>
    </row>
    <row r="114" spans="1:14" x14ac:dyDescent="0.2">
      <c r="A114">
        <v>70</v>
      </c>
      <c r="B114">
        <v>1</v>
      </c>
      <c r="D114">
        <v>10</v>
      </c>
      <c r="E114" t="s">
        <v>177</v>
      </c>
      <c r="F114" t="s">
        <v>178</v>
      </c>
      <c r="G114">
        <v>0</v>
      </c>
      <c r="H114">
        <v>0</v>
      </c>
      <c r="I114" t="s">
        <v>179</v>
      </c>
      <c r="J114">
        <v>0</v>
      </c>
      <c r="K114">
        <v>0</v>
      </c>
      <c r="L114" t="s">
        <v>3</v>
      </c>
      <c r="M114" t="s">
        <v>3</v>
      </c>
      <c r="N114">
        <v>0</v>
      </c>
    </row>
    <row r="115" spans="1:14" x14ac:dyDescent="0.2">
      <c r="A115">
        <v>70</v>
      </c>
      <c r="B115">
        <v>1</v>
      </c>
      <c r="D115">
        <v>11</v>
      </c>
      <c r="E115" t="s">
        <v>180</v>
      </c>
      <c r="F115" t="s">
        <v>181</v>
      </c>
      <c r="G115">
        <v>0</v>
      </c>
      <c r="H115">
        <v>0</v>
      </c>
      <c r="I115" t="s">
        <v>182</v>
      </c>
      <c r="J115">
        <v>0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12</v>
      </c>
      <c r="E116" t="s">
        <v>183</v>
      </c>
      <c r="F116" t="s">
        <v>184</v>
      </c>
      <c r="G116">
        <v>0</v>
      </c>
      <c r="H116">
        <v>0</v>
      </c>
      <c r="I116" t="s">
        <v>3</v>
      </c>
      <c r="J116">
        <v>0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1</v>
      </c>
      <c r="E117" t="s">
        <v>185</v>
      </c>
      <c r="F117" t="s">
        <v>186</v>
      </c>
      <c r="G117">
        <v>0.9</v>
      </c>
      <c r="H117">
        <v>1</v>
      </c>
      <c r="I117" t="s">
        <v>187</v>
      </c>
      <c r="J117">
        <v>0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2</v>
      </c>
      <c r="E118" t="s">
        <v>188</v>
      </c>
      <c r="F118" t="s">
        <v>189</v>
      </c>
      <c r="G118">
        <v>0.85</v>
      </c>
      <c r="H118">
        <v>1</v>
      </c>
      <c r="I118" t="s">
        <v>190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3</v>
      </c>
      <c r="E119" t="s">
        <v>191</v>
      </c>
      <c r="F119" t="s">
        <v>192</v>
      </c>
      <c r="G119">
        <v>1</v>
      </c>
      <c r="H119">
        <v>0.85</v>
      </c>
      <c r="I119" t="s">
        <v>193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4</v>
      </c>
      <c r="E120" t="s">
        <v>194</v>
      </c>
      <c r="F120" t="s">
        <v>195</v>
      </c>
      <c r="G120">
        <v>1</v>
      </c>
      <c r="H120">
        <v>0</v>
      </c>
      <c r="I120" t="s">
        <v>3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5</v>
      </c>
      <c r="E121" t="s">
        <v>196</v>
      </c>
      <c r="F121" t="s">
        <v>197</v>
      </c>
      <c r="G121">
        <v>1</v>
      </c>
      <c r="H121">
        <v>0.8</v>
      </c>
      <c r="I121" t="s">
        <v>198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6</v>
      </c>
      <c r="E122" t="s">
        <v>199</v>
      </c>
      <c r="F122" t="s">
        <v>200</v>
      </c>
      <c r="G122">
        <v>0.85</v>
      </c>
      <c r="H122">
        <v>0</v>
      </c>
      <c r="I122" t="s">
        <v>3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7</v>
      </c>
      <c r="E123" t="s">
        <v>201</v>
      </c>
      <c r="F123" t="s">
        <v>202</v>
      </c>
      <c r="G123">
        <v>0.8</v>
      </c>
      <c r="H123">
        <v>0</v>
      </c>
      <c r="I123" t="s">
        <v>3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8</v>
      </c>
      <c r="E124" t="s">
        <v>203</v>
      </c>
      <c r="F124" t="s">
        <v>204</v>
      </c>
      <c r="G124">
        <v>0.94</v>
      </c>
      <c r="H124">
        <v>0</v>
      </c>
      <c r="I124" t="s">
        <v>3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9</v>
      </c>
      <c r="E125" t="s">
        <v>205</v>
      </c>
      <c r="F125" t="s">
        <v>206</v>
      </c>
      <c r="G125">
        <v>0.9</v>
      </c>
      <c r="H125">
        <v>0</v>
      </c>
      <c r="I125" t="s">
        <v>3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10</v>
      </c>
      <c r="E126" t="s">
        <v>207</v>
      </c>
      <c r="F126" t="s">
        <v>208</v>
      </c>
      <c r="G126">
        <v>0.6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11</v>
      </c>
      <c r="E127" t="s">
        <v>209</v>
      </c>
      <c r="F127" t="s">
        <v>210</v>
      </c>
      <c r="G127">
        <v>1.2</v>
      </c>
      <c r="H127">
        <v>0</v>
      </c>
      <c r="I127" t="s">
        <v>3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12</v>
      </c>
      <c r="E128" t="s">
        <v>211</v>
      </c>
      <c r="F128" t="s">
        <v>212</v>
      </c>
      <c r="G128">
        <v>0</v>
      </c>
      <c r="H128">
        <v>0</v>
      </c>
      <c r="I128" t="s">
        <v>3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13</v>
      </c>
      <c r="E129" t="s">
        <v>213</v>
      </c>
      <c r="F129" t="s">
        <v>214</v>
      </c>
      <c r="G129">
        <v>0.94</v>
      </c>
      <c r="H129">
        <v>0</v>
      </c>
      <c r="I129" t="s">
        <v>3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1" spans="1:34" x14ac:dyDescent="0.2">
      <c r="A131">
        <v>-1</v>
      </c>
    </row>
    <row r="133" spans="1:34" x14ac:dyDescent="0.2">
      <c r="A133" s="3">
        <v>75</v>
      </c>
      <c r="B133" s="3" t="s">
        <v>215</v>
      </c>
      <c r="C133" s="3">
        <v>2017</v>
      </c>
      <c r="D133" s="3">
        <v>4</v>
      </c>
      <c r="E133" s="3">
        <v>0</v>
      </c>
      <c r="F133" s="3">
        <v>0</v>
      </c>
      <c r="G133" s="3">
        <v>0</v>
      </c>
      <c r="H133" s="3">
        <v>1</v>
      </c>
      <c r="I133" s="3">
        <v>0</v>
      </c>
      <c r="J133" s="3">
        <v>1</v>
      </c>
      <c r="K133" s="3">
        <v>0</v>
      </c>
      <c r="L133" s="3">
        <v>0</v>
      </c>
      <c r="M133" s="3">
        <v>0</v>
      </c>
      <c r="N133" s="3">
        <v>39107596</v>
      </c>
      <c r="O133" s="3">
        <v>1</v>
      </c>
    </row>
    <row r="134" spans="1:34" x14ac:dyDescent="0.2">
      <c r="A134" s="5">
        <v>3</v>
      </c>
      <c r="B134" s="5" t="s">
        <v>216</v>
      </c>
      <c r="C134" s="5">
        <v>6.61</v>
      </c>
      <c r="D134" s="5">
        <v>1</v>
      </c>
      <c r="E134" s="5">
        <v>1</v>
      </c>
      <c r="F134" s="5">
        <v>1</v>
      </c>
      <c r="G134" s="5">
        <v>1</v>
      </c>
      <c r="H134" s="5">
        <v>1</v>
      </c>
      <c r="I134" s="5">
        <v>1</v>
      </c>
      <c r="J134" s="5">
        <v>1</v>
      </c>
      <c r="K134" s="5">
        <v>1</v>
      </c>
      <c r="L134" s="5">
        <v>1</v>
      </c>
      <c r="M134" s="5">
        <v>6.61</v>
      </c>
      <c r="N134" s="5">
        <v>1</v>
      </c>
      <c r="O134" s="5">
        <v>1</v>
      </c>
      <c r="P134" s="5">
        <v>1</v>
      </c>
      <c r="Q134" s="5">
        <v>1</v>
      </c>
      <c r="R134" s="5">
        <v>1</v>
      </c>
      <c r="S134" s="5" t="s">
        <v>3</v>
      </c>
      <c r="T134" s="5" t="s">
        <v>3</v>
      </c>
      <c r="U134" s="5" t="s">
        <v>3</v>
      </c>
      <c r="V134" s="5" t="s">
        <v>3</v>
      </c>
      <c r="W134" s="5" t="s">
        <v>3</v>
      </c>
      <c r="X134" s="5" t="s">
        <v>3</v>
      </c>
      <c r="Y134" s="5" t="s">
        <v>3</v>
      </c>
      <c r="Z134" s="5" t="s">
        <v>3</v>
      </c>
      <c r="AA134" s="5" t="s">
        <v>3</v>
      </c>
      <c r="AB134" s="5" t="s">
        <v>3</v>
      </c>
      <c r="AC134" s="5" t="s">
        <v>3</v>
      </c>
      <c r="AD134" s="5" t="s">
        <v>3</v>
      </c>
      <c r="AE134" s="5" t="s">
        <v>3</v>
      </c>
      <c r="AF134" s="5" t="s">
        <v>3</v>
      </c>
      <c r="AG134" s="5" t="s">
        <v>3</v>
      </c>
      <c r="AH134" s="5" t="s">
        <v>3</v>
      </c>
    </row>
    <row r="138" spans="1:34" x14ac:dyDescent="0.2">
      <c r="A138">
        <v>65</v>
      </c>
      <c r="C138">
        <v>1</v>
      </c>
      <c r="D138">
        <v>0</v>
      </c>
      <c r="E13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217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279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7</v>
      </c>
      <c r="CB12" s="1" t="s">
        <v>7</v>
      </c>
      <c r="CC12" s="1" t="s">
        <v>7</v>
      </c>
      <c r="CD12" s="1" t="s">
        <v>7</v>
      </c>
      <c r="CE12" s="1" t="s">
        <v>9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39107596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10</v>
      </c>
      <c r="D16" s="6" t="s">
        <v>10</v>
      </c>
      <c r="E16" s="7">
        <f>(Source!F60)/1000</f>
        <v>1775.69695</v>
      </c>
      <c r="F16" s="7">
        <f>(Source!F61)/1000</f>
        <v>0</v>
      </c>
      <c r="G16" s="7">
        <f>(Source!F52)/1000</f>
        <v>0</v>
      </c>
      <c r="H16" s="7">
        <f>(Source!F62)/1000+(Source!F63)/1000</f>
        <v>0</v>
      </c>
      <c r="I16" s="7">
        <f>E16+F16+G16+H16</f>
        <v>1775.69695</v>
      </c>
      <c r="J16" s="7">
        <f>(Source!F58)/1000</f>
        <v>75.23975999999999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1654950.14</v>
      </c>
      <c r="AU16" s="7">
        <v>1569827.5</v>
      </c>
      <c r="AV16" s="7">
        <v>0</v>
      </c>
      <c r="AW16" s="7">
        <v>0</v>
      </c>
      <c r="AX16" s="7">
        <v>0</v>
      </c>
      <c r="AY16" s="7">
        <v>9882.8799999999992</v>
      </c>
      <c r="AZ16" s="7">
        <v>2879.44</v>
      </c>
      <c r="BA16" s="7">
        <v>75239.759999999995</v>
      </c>
      <c r="BB16" s="7">
        <v>1775696.95</v>
      </c>
      <c r="BC16" s="7">
        <v>0</v>
      </c>
      <c r="BD16" s="7">
        <v>0</v>
      </c>
      <c r="BE16" s="7">
        <v>0</v>
      </c>
      <c r="BF16" s="7">
        <v>1321.2653982499999</v>
      </c>
      <c r="BG16" s="7">
        <v>34.030349999999999</v>
      </c>
      <c r="BH16" s="7">
        <v>0</v>
      </c>
      <c r="BI16" s="7">
        <v>78082.880000000005</v>
      </c>
      <c r="BJ16" s="7">
        <v>42663.93</v>
      </c>
      <c r="BK16" s="7">
        <v>1775696.95</v>
      </c>
    </row>
    <row r="18" spans="1:19" x14ac:dyDescent="0.2">
      <c r="A18">
        <v>51</v>
      </c>
      <c r="E18" s="8">
        <f>SUMIF(A16:A17,3,E16:E17)</f>
        <v>1775.69695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1775.69695</v>
      </c>
      <c r="J18" s="8">
        <f>SUMIF(A16:A17,3,J16:J17)</f>
        <v>75.23975999999999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1654950.14</v>
      </c>
      <c r="G20" s="4" t="s">
        <v>97</v>
      </c>
      <c r="H20" s="4" t="s">
        <v>98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1569827.5</v>
      </c>
      <c r="G21" s="4" t="s">
        <v>99</v>
      </c>
      <c r="H21" s="4" t="s">
        <v>100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101</v>
      </c>
      <c r="H22" s="4" t="s">
        <v>102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1569827.5</v>
      </c>
      <c r="G23" s="4" t="s">
        <v>103</v>
      </c>
      <c r="H23" s="4" t="s">
        <v>104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1569827.5</v>
      </c>
      <c r="G24" s="4" t="s">
        <v>105</v>
      </c>
      <c r="H24" s="4" t="s">
        <v>106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107</v>
      </c>
      <c r="H25" s="4" t="s">
        <v>108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1569827.5</v>
      </c>
      <c r="G26" s="4" t="s">
        <v>109</v>
      </c>
      <c r="H26" s="4" t="s">
        <v>110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111</v>
      </c>
      <c r="H27" s="4" t="s">
        <v>112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113</v>
      </c>
      <c r="H28" s="4" t="s">
        <v>114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115</v>
      </c>
      <c r="H29" s="4" t="s">
        <v>116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9882.8799999999992</v>
      </c>
      <c r="G30" s="4" t="s">
        <v>117</v>
      </c>
      <c r="H30" s="4" t="s">
        <v>118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119</v>
      </c>
      <c r="H31" s="4" t="s">
        <v>120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2879.44</v>
      </c>
      <c r="G32" s="4" t="s">
        <v>121</v>
      </c>
      <c r="H32" s="4" t="s">
        <v>122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75239.759999999995</v>
      </c>
      <c r="G33" s="4" t="s">
        <v>123</v>
      </c>
      <c r="H33" s="4" t="s">
        <v>124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125</v>
      </c>
      <c r="H34" s="4" t="s">
        <v>126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1775696.95</v>
      </c>
      <c r="G35" s="4" t="s">
        <v>127</v>
      </c>
      <c r="H35" s="4" t="s">
        <v>128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129</v>
      </c>
      <c r="H36" s="4" t="s">
        <v>130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131</v>
      </c>
      <c r="H37" s="4" t="s">
        <v>132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133</v>
      </c>
      <c r="H38" s="4" t="s">
        <v>134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135</v>
      </c>
      <c r="H39" s="4" t="s">
        <v>136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1321.2653982499999</v>
      </c>
      <c r="G40" s="4" t="s">
        <v>137</v>
      </c>
      <c r="H40" s="4" t="s">
        <v>138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34.030349999999999</v>
      </c>
      <c r="G41" s="4" t="s">
        <v>139</v>
      </c>
      <c r="H41" s="4" t="s">
        <v>140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141</v>
      </c>
      <c r="H42" s="4" t="s">
        <v>142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78082.880000000005</v>
      </c>
      <c r="G43" s="4" t="s">
        <v>143</v>
      </c>
      <c r="H43" s="4" t="s">
        <v>144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42663.93</v>
      </c>
      <c r="G44" s="4" t="s">
        <v>145</v>
      </c>
      <c r="H44" s="4" t="s">
        <v>146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1775696.95</v>
      </c>
      <c r="G45" s="4" t="s">
        <v>147</v>
      </c>
      <c r="H45" s="4" t="s">
        <v>148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215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39107596</v>
      </c>
      <c r="O50" s="3">
        <v>1</v>
      </c>
    </row>
    <row r="51" spans="1:34" x14ac:dyDescent="0.2">
      <c r="A51" s="5">
        <v>3</v>
      </c>
      <c r="B51" s="5" t="s">
        <v>216</v>
      </c>
      <c r="C51" s="5">
        <v>6.61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6.61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39107596</v>
      </c>
      <c r="C1">
        <v>39107613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218</v>
      </c>
      <c r="J1" t="s">
        <v>3</v>
      </c>
      <c r="K1" t="s">
        <v>219</v>
      </c>
      <c r="L1">
        <v>1191</v>
      </c>
      <c r="N1">
        <v>1013</v>
      </c>
      <c r="O1" t="s">
        <v>220</v>
      </c>
      <c r="P1" t="s">
        <v>220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53.47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6.61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188.54</v>
      </c>
      <c r="AU1" t="s">
        <v>3</v>
      </c>
      <c r="AV1">
        <v>1</v>
      </c>
      <c r="AW1">
        <v>2</v>
      </c>
      <c r="AX1">
        <v>39107614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465.22244999999992</v>
      </c>
      <c r="CY1">
        <f>AD1</f>
        <v>53.47</v>
      </c>
      <c r="CZ1">
        <f>AH1</f>
        <v>8.09</v>
      </c>
      <c r="DA1">
        <f>AL1</f>
        <v>6.61</v>
      </c>
      <c r="DB1">
        <v>0</v>
      </c>
    </row>
    <row r="2" spans="1:106" x14ac:dyDescent="0.2">
      <c r="A2">
        <f>ROW(Source!A24)</f>
        <v>24</v>
      </c>
      <c r="B2">
        <v>39107596</v>
      </c>
      <c r="C2">
        <v>39107613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221</v>
      </c>
      <c r="J2" t="s">
        <v>3</v>
      </c>
      <c r="K2" t="s">
        <v>222</v>
      </c>
      <c r="L2">
        <v>1191</v>
      </c>
      <c r="N2">
        <v>1013</v>
      </c>
      <c r="O2" t="s">
        <v>220</v>
      </c>
      <c r="P2" t="s">
        <v>220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6.61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39107615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19.09845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39107596</v>
      </c>
      <c r="C3">
        <v>39107613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223</v>
      </c>
      <c r="J3" t="s">
        <v>224</v>
      </c>
      <c r="K3" t="s">
        <v>225</v>
      </c>
      <c r="L3">
        <v>1368</v>
      </c>
      <c r="N3">
        <v>1011</v>
      </c>
      <c r="O3" t="s">
        <v>226</v>
      </c>
      <c r="P3" t="s">
        <v>226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206.63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6.61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39107616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19.09845</v>
      </c>
      <c r="CY3">
        <f>AB3</f>
        <v>206.63</v>
      </c>
      <c r="CZ3">
        <f>AF3</f>
        <v>31.26</v>
      </c>
      <c r="DA3">
        <f>AJ3</f>
        <v>6.61</v>
      </c>
      <c r="DB3">
        <v>0</v>
      </c>
    </row>
    <row r="4" spans="1:106" x14ac:dyDescent="0.2">
      <c r="A4">
        <f>ROW(Source!A25)</f>
        <v>25</v>
      </c>
      <c r="B4">
        <v>39107596</v>
      </c>
      <c r="C4">
        <v>39107617</v>
      </c>
      <c r="D4">
        <v>37070495</v>
      </c>
      <c r="E4">
        <v>1</v>
      </c>
      <c r="F4">
        <v>1</v>
      </c>
      <c r="G4">
        <v>1</v>
      </c>
      <c r="H4">
        <v>1</v>
      </c>
      <c r="I4" t="s">
        <v>227</v>
      </c>
      <c r="J4" t="s">
        <v>3</v>
      </c>
      <c r="K4" t="s">
        <v>228</v>
      </c>
      <c r="L4">
        <v>1191</v>
      </c>
      <c r="N4">
        <v>1013</v>
      </c>
      <c r="O4" t="s">
        <v>220</v>
      </c>
      <c r="P4" t="s">
        <v>220</v>
      </c>
      <c r="Q4">
        <v>1</v>
      </c>
      <c r="W4">
        <v>0</v>
      </c>
      <c r="X4">
        <v>-784637506</v>
      </c>
      <c r="Y4">
        <v>171.53399999999999</v>
      </c>
      <c r="AA4">
        <v>0</v>
      </c>
      <c r="AB4">
        <v>0</v>
      </c>
      <c r="AC4">
        <v>0</v>
      </c>
      <c r="AD4">
        <v>57.77</v>
      </c>
      <c r="AE4">
        <v>0</v>
      </c>
      <c r="AF4">
        <v>0</v>
      </c>
      <c r="AG4">
        <v>0</v>
      </c>
      <c r="AH4">
        <v>8.74</v>
      </c>
      <c r="AI4">
        <v>1</v>
      </c>
      <c r="AJ4">
        <v>1</v>
      </c>
      <c r="AK4">
        <v>1</v>
      </c>
      <c r="AL4">
        <v>6.61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149.16</v>
      </c>
      <c r="AU4" t="s">
        <v>26</v>
      </c>
      <c r="AV4">
        <v>1</v>
      </c>
      <c r="AW4">
        <v>2</v>
      </c>
      <c r="AX4">
        <v>39107618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423.26014499999997</v>
      </c>
      <c r="CY4">
        <f>AD4</f>
        <v>57.77</v>
      </c>
      <c r="CZ4">
        <f>AH4</f>
        <v>8.74</v>
      </c>
      <c r="DA4">
        <f>AL4</f>
        <v>6.61</v>
      </c>
      <c r="DB4">
        <v>0</v>
      </c>
    </row>
    <row r="5" spans="1:106" x14ac:dyDescent="0.2">
      <c r="A5">
        <f>ROW(Source!A25)</f>
        <v>25</v>
      </c>
      <c r="B5">
        <v>39107596</v>
      </c>
      <c r="C5">
        <v>39107617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221</v>
      </c>
      <c r="J5" t="s">
        <v>3</v>
      </c>
      <c r="K5" t="s">
        <v>222</v>
      </c>
      <c r="L5">
        <v>1191</v>
      </c>
      <c r="N5">
        <v>1013</v>
      </c>
      <c r="O5" t="s">
        <v>220</v>
      </c>
      <c r="P5" t="s">
        <v>220</v>
      </c>
      <c r="Q5">
        <v>1</v>
      </c>
      <c r="W5">
        <v>0</v>
      </c>
      <c r="X5">
        <v>-1417349443</v>
      </c>
      <c r="Y5">
        <v>4.2300000000000004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6.61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4.2300000000000004</v>
      </c>
      <c r="AU5" t="s">
        <v>3</v>
      </c>
      <c r="AV5">
        <v>2</v>
      </c>
      <c r="AW5">
        <v>2</v>
      </c>
      <c r="AX5">
        <v>39107619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10.437525000000001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39107596</v>
      </c>
      <c r="C6">
        <v>39107617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223</v>
      </c>
      <c r="J6" t="s">
        <v>224</v>
      </c>
      <c r="K6" t="s">
        <v>225</v>
      </c>
      <c r="L6">
        <v>1368</v>
      </c>
      <c r="N6">
        <v>1011</v>
      </c>
      <c r="O6" t="s">
        <v>226</v>
      </c>
      <c r="P6" t="s">
        <v>226</v>
      </c>
      <c r="Q6">
        <v>1</v>
      </c>
      <c r="W6">
        <v>0</v>
      </c>
      <c r="X6">
        <v>1188625873</v>
      </c>
      <c r="Y6">
        <v>0.82500000000000007</v>
      </c>
      <c r="AA6">
        <v>0</v>
      </c>
      <c r="AB6">
        <v>206.63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6.61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0.66</v>
      </c>
      <c r="AU6" t="s">
        <v>25</v>
      </c>
      <c r="AV6">
        <v>0</v>
      </c>
      <c r="AW6">
        <v>2</v>
      </c>
      <c r="AX6">
        <v>39107620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2.0356874999999999</v>
      </c>
      <c r="CY6">
        <f>AB6</f>
        <v>206.63</v>
      </c>
      <c r="CZ6">
        <f>AF6</f>
        <v>31.26</v>
      </c>
      <c r="DA6">
        <f>AJ6</f>
        <v>6.61</v>
      </c>
      <c r="DB6">
        <v>0</v>
      </c>
    </row>
    <row r="7" spans="1:106" x14ac:dyDescent="0.2">
      <c r="A7">
        <f>ROW(Source!A25)</f>
        <v>25</v>
      </c>
      <c r="B7">
        <v>39107596</v>
      </c>
      <c r="C7">
        <v>39107617</v>
      </c>
      <c r="D7">
        <v>36883554</v>
      </c>
      <c r="E7">
        <v>1</v>
      </c>
      <c r="F7">
        <v>1</v>
      </c>
      <c r="G7">
        <v>1</v>
      </c>
      <c r="H7">
        <v>2</v>
      </c>
      <c r="I7" t="s">
        <v>229</v>
      </c>
      <c r="J7" t="s">
        <v>230</v>
      </c>
      <c r="K7" t="s">
        <v>231</v>
      </c>
      <c r="L7">
        <v>1368</v>
      </c>
      <c r="N7">
        <v>1011</v>
      </c>
      <c r="O7" t="s">
        <v>226</v>
      </c>
      <c r="P7" t="s">
        <v>226</v>
      </c>
      <c r="Q7">
        <v>1</v>
      </c>
      <c r="W7">
        <v>0</v>
      </c>
      <c r="X7">
        <v>1372534845</v>
      </c>
      <c r="Y7">
        <v>4.4624999999999995</v>
      </c>
      <c r="AA7">
        <v>0</v>
      </c>
      <c r="AB7">
        <v>434.34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6.61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3.57</v>
      </c>
      <c r="AU7" t="s">
        <v>25</v>
      </c>
      <c r="AV7">
        <v>0</v>
      </c>
      <c r="AW7">
        <v>2</v>
      </c>
      <c r="AX7">
        <v>39107621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11.011218749999998</v>
      </c>
      <c r="CY7">
        <f>AB7</f>
        <v>434.34</v>
      </c>
      <c r="CZ7">
        <f>AF7</f>
        <v>65.709999999999994</v>
      </c>
      <c r="DA7">
        <f>AJ7</f>
        <v>6.61</v>
      </c>
      <c r="DB7">
        <v>0</v>
      </c>
    </row>
    <row r="8" spans="1:106" x14ac:dyDescent="0.2">
      <c r="A8">
        <f>ROW(Source!A25)</f>
        <v>25</v>
      </c>
      <c r="B8">
        <v>39107596</v>
      </c>
      <c r="C8">
        <v>39107617</v>
      </c>
      <c r="D8">
        <v>36802057</v>
      </c>
      <c r="E8">
        <v>1</v>
      </c>
      <c r="F8">
        <v>1</v>
      </c>
      <c r="G8">
        <v>1</v>
      </c>
      <c r="H8">
        <v>3</v>
      </c>
      <c r="I8" t="s">
        <v>232</v>
      </c>
      <c r="J8" t="s">
        <v>233</v>
      </c>
      <c r="K8" t="s">
        <v>234</v>
      </c>
      <c r="L8">
        <v>1301</v>
      </c>
      <c r="N8">
        <v>1003</v>
      </c>
      <c r="O8" t="s">
        <v>46</v>
      </c>
      <c r="P8" t="s">
        <v>46</v>
      </c>
      <c r="Q8">
        <v>1</v>
      </c>
      <c r="W8">
        <v>0</v>
      </c>
      <c r="X8">
        <v>751777312</v>
      </c>
      <c r="Y8">
        <v>253</v>
      </c>
      <c r="AA8">
        <v>42.17</v>
      </c>
      <c r="AB8">
        <v>0</v>
      </c>
      <c r="AC8">
        <v>0</v>
      </c>
      <c r="AD8">
        <v>0</v>
      </c>
      <c r="AE8">
        <v>6.38</v>
      </c>
      <c r="AF8">
        <v>0</v>
      </c>
      <c r="AG8">
        <v>0</v>
      </c>
      <c r="AH8">
        <v>0</v>
      </c>
      <c r="AI8">
        <v>6.61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253</v>
      </c>
      <c r="AU8" t="s">
        <v>3</v>
      </c>
      <c r="AV8">
        <v>0</v>
      </c>
      <c r="AW8">
        <v>2</v>
      </c>
      <c r="AX8">
        <v>39107622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624.27749999999992</v>
      </c>
      <c r="CY8">
        <f t="shared" ref="CY8:CY15" si="0">AA8</f>
        <v>42.17</v>
      </c>
      <c r="CZ8">
        <f t="shared" ref="CZ8:CZ15" si="1">AE8</f>
        <v>6.38</v>
      </c>
      <c r="DA8">
        <f t="shared" ref="DA8:DA15" si="2">AI8</f>
        <v>6.61</v>
      </c>
      <c r="DB8">
        <v>0</v>
      </c>
    </row>
    <row r="9" spans="1:106" x14ac:dyDescent="0.2">
      <c r="A9">
        <f>ROW(Source!A25)</f>
        <v>25</v>
      </c>
      <c r="B9">
        <v>39107596</v>
      </c>
      <c r="C9">
        <v>39107617</v>
      </c>
      <c r="D9">
        <v>36802058</v>
      </c>
      <c r="E9">
        <v>1</v>
      </c>
      <c r="F9">
        <v>1</v>
      </c>
      <c r="G9">
        <v>1</v>
      </c>
      <c r="H9">
        <v>3</v>
      </c>
      <c r="I9" t="s">
        <v>235</v>
      </c>
      <c r="J9" t="s">
        <v>236</v>
      </c>
      <c r="K9" t="s">
        <v>237</v>
      </c>
      <c r="L9">
        <v>1301</v>
      </c>
      <c r="N9">
        <v>1003</v>
      </c>
      <c r="O9" t="s">
        <v>46</v>
      </c>
      <c r="P9" t="s">
        <v>46</v>
      </c>
      <c r="Q9">
        <v>1</v>
      </c>
      <c r="W9">
        <v>0</v>
      </c>
      <c r="X9">
        <v>1744203244</v>
      </c>
      <c r="Y9">
        <v>59</v>
      </c>
      <c r="AA9">
        <v>52.55</v>
      </c>
      <c r="AB9">
        <v>0</v>
      </c>
      <c r="AC9">
        <v>0</v>
      </c>
      <c r="AD9">
        <v>0</v>
      </c>
      <c r="AE9">
        <v>7.95</v>
      </c>
      <c r="AF9">
        <v>0</v>
      </c>
      <c r="AG9">
        <v>0</v>
      </c>
      <c r="AH9">
        <v>0</v>
      </c>
      <c r="AI9">
        <v>6.61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59</v>
      </c>
      <c r="AU9" t="s">
        <v>3</v>
      </c>
      <c r="AV9">
        <v>0</v>
      </c>
      <c r="AW9">
        <v>2</v>
      </c>
      <c r="AX9">
        <v>39107623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145.58249999999998</v>
      </c>
      <c r="CY9">
        <f t="shared" si="0"/>
        <v>52.55</v>
      </c>
      <c r="CZ9">
        <f t="shared" si="1"/>
        <v>7.95</v>
      </c>
      <c r="DA9">
        <f t="shared" si="2"/>
        <v>6.61</v>
      </c>
      <c r="DB9">
        <v>0</v>
      </c>
    </row>
    <row r="10" spans="1:106" x14ac:dyDescent="0.2">
      <c r="A10">
        <f>ROW(Source!A25)</f>
        <v>25</v>
      </c>
      <c r="B10">
        <v>39107596</v>
      </c>
      <c r="C10">
        <v>39107617</v>
      </c>
      <c r="D10">
        <v>36802146</v>
      </c>
      <c r="E10">
        <v>1</v>
      </c>
      <c r="F10">
        <v>1</v>
      </c>
      <c r="G10">
        <v>1</v>
      </c>
      <c r="H10">
        <v>3</v>
      </c>
      <c r="I10" t="s">
        <v>238</v>
      </c>
      <c r="J10" t="s">
        <v>239</v>
      </c>
      <c r="K10" t="s">
        <v>240</v>
      </c>
      <c r="L10">
        <v>1302</v>
      </c>
      <c r="N10">
        <v>1003</v>
      </c>
      <c r="O10" t="s">
        <v>241</v>
      </c>
      <c r="P10" t="s">
        <v>241</v>
      </c>
      <c r="Q10">
        <v>10</v>
      </c>
      <c r="W10">
        <v>0</v>
      </c>
      <c r="X10">
        <v>-405326455</v>
      </c>
      <c r="Y10">
        <v>15.9</v>
      </c>
      <c r="AA10">
        <v>423.7</v>
      </c>
      <c r="AB10">
        <v>0</v>
      </c>
      <c r="AC10">
        <v>0</v>
      </c>
      <c r="AD10">
        <v>0</v>
      </c>
      <c r="AE10">
        <v>64.099999999999994</v>
      </c>
      <c r="AF10">
        <v>0</v>
      </c>
      <c r="AG10">
        <v>0</v>
      </c>
      <c r="AH10">
        <v>0</v>
      </c>
      <c r="AI10">
        <v>6.61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15.9</v>
      </c>
      <c r="AU10" t="s">
        <v>3</v>
      </c>
      <c r="AV10">
        <v>0</v>
      </c>
      <c r="AW10">
        <v>2</v>
      </c>
      <c r="AX10">
        <v>39107624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39.233249999999998</v>
      </c>
      <c r="CY10">
        <f t="shared" si="0"/>
        <v>423.7</v>
      </c>
      <c r="CZ10">
        <f t="shared" si="1"/>
        <v>64.099999999999994</v>
      </c>
      <c r="DA10">
        <f t="shared" si="2"/>
        <v>6.61</v>
      </c>
      <c r="DB10">
        <v>0</v>
      </c>
    </row>
    <row r="11" spans="1:106" x14ac:dyDescent="0.2">
      <c r="A11">
        <f>ROW(Source!A25)</f>
        <v>25</v>
      </c>
      <c r="B11">
        <v>39107596</v>
      </c>
      <c r="C11">
        <v>39107617</v>
      </c>
      <c r="D11">
        <v>36804571</v>
      </c>
      <c r="E11">
        <v>1</v>
      </c>
      <c r="F11">
        <v>1</v>
      </c>
      <c r="G11">
        <v>1</v>
      </c>
      <c r="H11">
        <v>3</v>
      </c>
      <c r="I11" t="s">
        <v>242</v>
      </c>
      <c r="J11" t="s">
        <v>243</v>
      </c>
      <c r="K11" t="s">
        <v>244</v>
      </c>
      <c r="L11">
        <v>1358</v>
      </c>
      <c r="N11">
        <v>1010</v>
      </c>
      <c r="O11" t="s">
        <v>245</v>
      </c>
      <c r="P11" t="s">
        <v>245</v>
      </c>
      <c r="Q11">
        <v>10</v>
      </c>
      <c r="W11">
        <v>0</v>
      </c>
      <c r="X11">
        <v>-858120743</v>
      </c>
      <c r="Y11">
        <v>41.2</v>
      </c>
      <c r="AA11">
        <v>46.47</v>
      </c>
      <c r="AB11">
        <v>0</v>
      </c>
      <c r="AC11">
        <v>0</v>
      </c>
      <c r="AD11">
        <v>0</v>
      </c>
      <c r="AE11">
        <v>7.03</v>
      </c>
      <c r="AF11">
        <v>0</v>
      </c>
      <c r="AG11">
        <v>0</v>
      </c>
      <c r="AH11">
        <v>0</v>
      </c>
      <c r="AI11">
        <v>6.61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41.2</v>
      </c>
      <c r="AU11" t="s">
        <v>3</v>
      </c>
      <c r="AV11">
        <v>0</v>
      </c>
      <c r="AW11">
        <v>2</v>
      </c>
      <c r="AX11">
        <v>39107625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101.661</v>
      </c>
      <c r="CY11">
        <f t="shared" si="0"/>
        <v>46.47</v>
      </c>
      <c r="CZ11">
        <f t="shared" si="1"/>
        <v>7.03</v>
      </c>
      <c r="DA11">
        <f t="shared" si="2"/>
        <v>6.61</v>
      </c>
      <c r="DB11">
        <v>0</v>
      </c>
    </row>
    <row r="12" spans="1:106" x14ac:dyDescent="0.2">
      <c r="A12">
        <f>ROW(Source!A25)</f>
        <v>25</v>
      </c>
      <c r="B12">
        <v>39107596</v>
      </c>
      <c r="C12">
        <v>39107617</v>
      </c>
      <c r="D12">
        <v>36796973</v>
      </c>
      <c r="E12">
        <v>17</v>
      </c>
      <c r="F12">
        <v>1</v>
      </c>
      <c r="G12">
        <v>1</v>
      </c>
      <c r="H12">
        <v>3</v>
      </c>
      <c r="I12" t="s">
        <v>36</v>
      </c>
      <c r="J12" t="s">
        <v>3</v>
      </c>
      <c r="K12" t="s">
        <v>37</v>
      </c>
      <c r="L12">
        <v>1327</v>
      </c>
      <c r="N12">
        <v>1005</v>
      </c>
      <c r="O12" t="s">
        <v>33</v>
      </c>
      <c r="P12" t="s">
        <v>33</v>
      </c>
      <c r="Q12">
        <v>1</v>
      </c>
      <c r="W12">
        <v>0</v>
      </c>
      <c r="X12">
        <v>1219964505</v>
      </c>
      <c r="Y12">
        <v>100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6.61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3</v>
      </c>
      <c r="AT12">
        <v>100</v>
      </c>
      <c r="AU12" t="s">
        <v>3</v>
      </c>
      <c r="AV12">
        <v>0</v>
      </c>
      <c r="AW12">
        <v>2</v>
      </c>
      <c r="AX12">
        <v>39107626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246.74999999999997</v>
      </c>
      <c r="CY12">
        <f t="shared" si="0"/>
        <v>0</v>
      </c>
      <c r="CZ12">
        <f t="shared" si="1"/>
        <v>0</v>
      </c>
      <c r="DA12">
        <f t="shared" si="2"/>
        <v>6.61</v>
      </c>
      <c r="DB12">
        <v>0</v>
      </c>
    </row>
    <row r="13" spans="1:106" x14ac:dyDescent="0.2">
      <c r="A13">
        <f>ROW(Source!A25)</f>
        <v>25</v>
      </c>
      <c r="B13">
        <v>39107596</v>
      </c>
      <c r="C13">
        <v>39107617</v>
      </c>
      <c r="D13">
        <v>36832273</v>
      </c>
      <c r="E13">
        <v>1</v>
      </c>
      <c r="F13">
        <v>1</v>
      </c>
      <c r="G13">
        <v>1</v>
      </c>
      <c r="H13">
        <v>3</v>
      </c>
      <c r="I13" t="s">
        <v>246</v>
      </c>
      <c r="J13" t="s">
        <v>247</v>
      </c>
      <c r="K13" t="s">
        <v>248</v>
      </c>
      <c r="L13">
        <v>1355</v>
      </c>
      <c r="N13">
        <v>1010</v>
      </c>
      <c r="O13" t="s">
        <v>249</v>
      </c>
      <c r="P13" t="s">
        <v>249</v>
      </c>
      <c r="Q13">
        <v>100</v>
      </c>
      <c r="W13">
        <v>0</v>
      </c>
      <c r="X13">
        <v>1709713925</v>
      </c>
      <c r="Y13">
        <v>8</v>
      </c>
      <c r="AA13">
        <v>330.5</v>
      </c>
      <c r="AB13">
        <v>0</v>
      </c>
      <c r="AC13">
        <v>0</v>
      </c>
      <c r="AD13">
        <v>0</v>
      </c>
      <c r="AE13">
        <v>50</v>
      </c>
      <c r="AF13">
        <v>0</v>
      </c>
      <c r="AG13">
        <v>0</v>
      </c>
      <c r="AH13">
        <v>0</v>
      </c>
      <c r="AI13">
        <v>6.61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8</v>
      </c>
      <c r="AU13" t="s">
        <v>3</v>
      </c>
      <c r="AV13">
        <v>0</v>
      </c>
      <c r="AW13">
        <v>2</v>
      </c>
      <c r="AX13">
        <v>39107627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19.739999999999998</v>
      </c>
      <c r="CY13">
        <f t="shared" si="0"/>
        <v>330.5</v>
      </c>
      <c r="CZ13">
        <f t="shared" si="1"/>
        <v>50</v>
      </c>
      <c r="DA13">
        <f t="shared" si="2"/>
        <v>6.61</v>
      </c>
      <c r="DB13">
        <v>0</v>
      </c>
    </row>
    <row r="14" spans="1:106" x14ac:dyDescent="0.2">
      <c r="A14">
        <f>ROW(Source!A25)</f>
        <v>25</v>
      </c>
      <c r="B14">
        <v>39107596</v>
      </c>
      <c r="C14">
        <v>39107617</v>
      </c>
      <c r="D14">
        <v>36838722</v>
      </c>
      <c r="E14">
        <v>1</v>
      </c>
      <c r="F14">
        <v>1</v>
      </c>
      <c r="G14">
        <v>1</v>
      </c>
      <c r="H14">
        <v>3</v>
      </c>
      <c r="I14" t="s">
        <v>250</v>
      </c>
      <c r="J14" t="s">
        <v>251</v>
      </c>
      <c r="K14" t="s">
        <v>252</v>
      </c>
      <c r="L14">
        <v>1354</v>
      </c>
      <c r="N14">
        <v>1010</v>
      </c>
      <c r="O14" t="s">
        <v>253</v>
      </c>
      <c r="P14" t="s">
        <v>253</v>
      </c>
      <c r="Q14">
        <v>1</v>
      </c>
      <c r="W14">
        <v>0</v>
      </c>
      <c r="X14">
        <v>-1018551266</v>
      </c>
      <c r="Y14">
        <v>71</v>
      </c>
      <c r="AA14">
        <v>442.87</v>
      </c>
      <c r="AB14">
        <v>0</v>
      </c>
      <c r="AC14">
        <v>0</v>
      </c>
      <c r="AD14">
        <v>0</v>
      </c>
      <c r="AE14">
        <v>67</v>
      </c>
      <c r="AF14">
        <v>0</v>
      </c>
      <c r="AG14">
        <v>0</v>
      </c>
      <c r="AH14">
        <v>0</v>
      </c>
      <c r="AI14">
        <v>6.61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71</v>
      </c>
      <c r="AU14" t="s">
        <v>3</v>
      </c>
      <c r="AV14">
        <v>0</v>
      </c>
      <c r="AW14">
        <v>2</v>
      </c>
      <c r="AX14">
        <v>39107628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175.1925</v>
      </c>
      <c r="CY14">
        <f t="shared" si="0"/>
        <v>442.87</v>
      </c>
      <c r="CZ14">
        <f t="shared" si="1"/>
        <v>67</v>
      </c>
      <c r="DA14">
        <f t="shared" si="2"/>
        <v>6.61</v>
      </c>
      <c r="DB14">
        <v>0</v>
      </c>
    </row>
    <row r="15" spans="1:106" x14ac:dyDescent="0.2">
      <c r="A15">
        <f>ROW(Source!A25)</f>
        <v>25</v>
      </c>
      <c r="B15">
        <v>39107596</v>
      </c>
      <c r="C15">
        <v>39107617</v>
      </c>
      <c r="D15">
        <v>0</v>
      </c>
      <c r="E15">
        <v>0</v>
      </c>
      <c r="F15">
        <v>1</v>
      </c>
      <c r="G15">
        <v>1</v>
      </c>
      <c r="H15">
        <v>3</v>
      </c>
      <c r="I15" t="s">
        <v>31</v>
      </c>
      <c r="J15" t="s">
        <v>3</v>
      </c>
      <c r="K15" t="s">
        <v>32</v>
      </c>
      <c r="L15">
        <v>1327</v>
      </c>
      <c r="N15">
        <v>1005</v>
      </c>
      <c r="O15" t="s">
        <v>33</v>
      </c>
      <c r="P15" t="s">
        <v>33</v>
      </c>
      <c r="Q15">
        <v>1</v>
      </c>
      <c r="W15">
        <v>0</v>
      </c>
      <c r="X15">
        <v>1819601786</v>
      </c>
      <c r="Y15">
        <v>100</v>
      </c>
      <c r="AA15">
        <v>3995.75</v>
      </c>
      <c r="AB15">
        <v>0</v>
      </c>
      <c r="AC15">
        <v>0</v>
      </c>
      <c r="AD15">
        <v>0</v>
      </c>
      <c r="AE15">
        <v>604.5</v>
      </c>
      <c r="AF15">
        <v>0</v>
      </c>
      <c r="AG15">
        <v>0</v>
      </c>
      <c r="AH15">
        <v>0</v>
      </c>
      <c r="AI15">
        <v>6.61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3</v>
      </c>
      <c r="AT15">
        <v>100</v>
      </c>
      <c r="AU15" t="s">
        <v>3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246.74999999999997</v>
      </c>
      <c r="CY15">
        <f t="shared" si="0"/>
        <v>3995.75</v>
      </c>
      <c r="CZ15">
        <f t="shared" si="1"/>
        <v>604.5</v>
      </c>
      <c r="DA15">
        <f t="shared" si="2"/>
        <v>6.61</v>
      </c>
      <c r="DB15">
        <v>0</v>
      </c>
    </row>
    <row r="16" spans="1:106" x14ac:dyDescent="0.2">
      <c r="A16">
        <f>ROW(Source!A28)</f>
        <v>28</v>
      </c>
      <c r="B16">
        <v>39107596</v>
      </c>
      <c r="C16">
        <v>39109798</v>
      </c>
      <c r="D16">
        <v>37065248</v>
      </c>
      <c r="E16">
        <v>1</v>
      </c>
      <c r="F16">
        <v>1</v>
      </c>
      <c r="G16">
        <v>1</v>
      </c>
      <c r="H16">
        <v>1</v>
      </c>
      <c r="I16" t="s">
        <v>254</v>
      </c>
      <c r="J16" t="s">
        <v>3</v>
      </c>
      <c r="K16" t="s">
        <v>255</v>
      </c>
      <c r="L16">
        <v>1191</v>
      </c>
      <c r="N16">
        <v>1013</v>
      </c>
      <c r="O16" t="s">
        <v>220</v>
      </c>
      <c r="P16" t="s">
        <v>220</v>
      </c>
      <c r="Q16">
        <v>1</v>
      </c>
      <c r="W16">
        <v>0</v>
      </c>
      <c r="X16">
        <v>-400197608</v>
      </c>
      <c r="Y16">
        <v>24.586999999999996</v>
      </c>
      <c r="AA16">
        <v>0</v>
      </c>
      <c r="AB16">
        <v>0</v>
      </c>
      <c r="AC16">
        <v>0</v>
      </c>
      <c r="AD16">
        <v>56.38</v>
      </c>
      <c r="AE16">
        <v>0</v>
      </c>
      <c r="AF16">
        <v>0</v>
      </c>
      <c r="AG16">
        <v>0</v>
      </c>
      <c r="AH16">
        <v>8.5299999999999994</v>
      </c>
      <c r="AI16">
        <v>1</v>
      </c>
      <c r="AJ16">
        <v>1</v>
      </c>
      <c r="AK16">
        <v>1</v>
      </c>
      <c r="AL16">
        <v>6.61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21.38</v>
      </c>
      <c r="AU16" t="s">
        <v>26</v>
      </c>
      <c r="AV16">
        <v>1</v>
      </c>
      <c r="AW16">
        <v>2</v>
      </c>
      <c r="AX16">
        <v>39271673</v>
      </c>
      <c r="AY16">
        <v>1</v>
      </c>
      <c r="AZ16">
        <v>0</v>
      </c>
      <c r="BA16">
        <v>15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28.889724999999995</v>
      </c>
      <c r="CY16">
        <f>AD16</f>
        <v>56.38</v>
      </c>
      <c r="CZ16">
        <f>AH16</f>
        <v>8.5299999999999994</v>
      </c>
      <c r="DA16">
        <f>AL16</f>
        <v>6.61</v>
      </c>
      <c r="DB16">
        <v>0</v>
      </c>
    </row>
    <row r="17" spans="1:106" x14ac:dyDescent="0.2">
      <c r="A17">
        <f>ROW(Source!A28)</f>
        <v>28</v>
      </c>
      <c r="B17">
        <v>39107596</v>
      </c>
      <c r="C17">
        <v>39109798</v>
      </c>
      <c r="D17">
        <v>37064876</v>
      </c>
      <c r="E17">
        <v>1</v>
      </c>
      <c r="F17">
        <v>1</v>
      </c>
      <c r="G17">
        <v>1</v>
      </c>
      <c r="H17">
        <v>1</v>
      </c>
      <c r="I17" t="s">
        <v>221</v>
      </c>
      <c r="J17" t="s">
        <v>3</v>
      </c>
      <c r="K17" t="s">
        <v>222</v>
      </c>
      <c r="L17">
        <v>1191</v>
      </c>
      <c r="N17">
        <v>1013</v>
      </c>
      <c r="O17" t="s">
        <v>220</v>
      </c>
      <c r="P17" t="s">
        <v>220</v>
      </c>
      <c r="Q17">
        <v>1</v>
      </c>
      <c r="W17">
        <v>0</v>
      </c>
      <c r="X17">
        <v>-1417349443</v>
      </c>
      <c r="Y17">
        <v>0.37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6.61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0.37</v>
      </c>
      <c r="AU17" t="s">
        <v>3</v>
      </c>
      <c r="AV17">
        <v>2</v>
      </c>
      <c r="AW17">
        <v>2</v>
      </c>
      <c r="AX17">
        <v>39271674</v>
      </c>
      <c r="AY17">
        <v>1</v>
      </c>
      <c r="AZ17">
        <v>2048</v>
      </c>
      <c r="BA17">
        <v>16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0.43475000000000003</v>
      </c>
      <c r="CY17">
        <f>AD17</f>
        <v>0</v>
      </c>
      <c r="CZ17">
        <f>AH17</f>
        <v>0</v>
      </c>
      <c r="DA17">
        <f>AL17</f>
        <v>1</v>
      </c>
      <c r="DB17">
        <v>0</v>
      </c>
    </row>
    <row r="18" spans="1:106" x14ac:dyDescent="0.2">
      <c r="A18">
        <f>ROW(Source!A28)</f>
        <v>28</v>
      </c>
      <c r="B18">
        <v>39107596</v>
      </c>
      <c r="C18">
        <v>39109798</v>
      </c>
      <c r="D18">
        <v>36882452</v>
      </c>
      <c r="E18">
        <v>1</v>
      </c>
      <c r="F18">
        <v>1</v>
      </c>
      <c r="G18">
        <v>1</v>
      </c>
      <c r="H18">
        <v>2</v>
      </c>
      <c r="I18" t="s">
        <v>223</v>
      </c>
      <c r="J18" t="s">
        <v>224</v>
      </c>
      <c r="K18" t="s">
        <v>225</v>
      </c>
      <c r="L18">
        <v>1368</v>
      </c>
      <c r="N18">
        <v>1011</v>
      </c>
      <c r="O18" t="s">
        <v>226</v>
      </c>
      <c r="P18" t="s">
        <v>226</v>
      </c>
      <c r="Q18">
        <v>1</v>
      </c>
      <c r="W18">
        <v>0</v>
      </c>
      <c r="X18">
        <v>1188625873</v>
      </c>
      <c r="Y18">
        <v>8.7500000000000008E-2</v>
      </c>
      <c r="AA18">
        <v>0</v>
      </c>
      <c r="AB18">
        <v>206.63</v>
      </c>
      <c r="AC18">
        <v>13.5</v>
      </c>
      <c r="AD18">
        <v>0</v>
      </c>
      <c r="AE18">
        <v>0</v>
      </c>
      <c r="AF18">
        <v>31.26</v>
      </c>
      <c r="AG18">
        <v>13.5</v>
      </c>
      <c r="AH18">
        <v>0</v>
      </c>
      <c r="AI18">
        <v>1</v>
      </c>
      <c r="AJ18">
        <v>6.61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7.0000000000000007E-2</v>
      </c>
      <c r="AU18" t="s">
        <v>25</v>
      </c>
      <c r="AV18">
        <v>0</v>
      </c>
      <c r="AW18">
        <v>2</v>
      </c>
      <c r="AX18">
        <v>39271675</v>
      </c>
      <c r="AY18">
        <v>1</v>
      </c>
      <c r="AZ18">
        <v>0</v>
      </c>
      <c r="BA18">
        <v>17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0.10281250000000001</v>
      </c>
      <c r="CY18">
        <f>AB18</f>
        <v>206.63</v>
      </c>
      <c r="CZ18">
        <f>AF18</f>
        <v>31.26</v>
      </c>
      <c r="DA18">
        <f>AJ18</f>
        <v>6.61</v>
      </c>
      <c r="DB18">
        <v>0</v>
      </c>
    </row>
    <row r="19" spans="1:106" x14ac:dyDescent="0.2">
      <c r="A19">
        <f>ROW(Source!A28)</f>
        <v>28</v>
      </c>
      <c r="B19">
        <v>39107596</v>
      </c>
      <c r="C19">
        <v>39109798</v>
      </c>
      <c r="D19">
        <v>36883554</v>
      </c>
      <c r="E19">
        <v>1</v>
      </c>
      <c r="F19">
        <v>1</v>
      </c>
      <c r="G19">
        <v>1</v>
      </c>
      <c r="H19">
        <v>2</v>
      </c>
      <c r="I19" t="s">
        <v>229</v>
      </c>
      <c r="J19" t="s">
        <v>230</v>
      </c>
      <c r="K19" t="s">
        <v>231</v>
      </c>
      <c r="L19">
        <v>1368</v>
      </c>
      <c r="N19">
        <v>1011</v>
      </c>
      <c r="O19" t="s">
        <v>226</v>
      </c>
      <c r="P19" t="s">
        <v>226</v>
      </c>
      <c r="Q19">
        <v>1</v>
      </c>
      <c r="W19">
        <v>0</v>
      </c>
      <c r="X19">
        <v>1372534845</v>
      </c>
      <c r="Y19">
        <v>0.375</v>
      </c>
      <c r="AA19">
        <v>0</v>
      </c>
      <c r="AB19">
        <v>434.34</v>
      </c>
      <c r="AC19">
        <v>11.6</v>
      </c>
      <c r="AD19">
        <v>0</v>
      </c>
      <c r="AE19">
        <v>0</v>
      </c>
      <c r="AF19">
        <v>65.709999999999994</v>
      </c>
      <c r="AG19">
        <v>11.6</v>
      </c>
      <c r="AH19">
        <v>0</v>
      </c>
      <c r="AI19">
        <v>1</v>
      </c>
      <c r="AJ19">
        <v>6.61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0.3</v>
      </c>
      <c r="AU19" t="s">
        <v>25</v>
      </c>
      <c r="AV19">
        <v>0</v>
      </c>
      <c r="AW19">
        <v>2</v>
      </c>
      <c r="AX19">
        <v>39271676</v>
      </c>
      <c r="AY19">
        <v>1</v>
      </c>
      <c r="AZ19">
        <v>0</v>
      </c>
      <c r="BA19">
        <v>18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0.44062500000000004</v>
      </c>
      <c r="CY19">
        <f>AB19</f>
        <v>434.34</v>
      </c>
      <c r="CZ19">
        <f>AF19</f>
        <v>65.709999999999994</v>
      </c>
      <c r="DA19">
        <f>AJ19</f>
        <v>6.61</v>
      </c>
      <c r="DB19">
        <v>0</v>
      </c>
    </row>
    <row r="20" spans="1:106" x14ac:dyDescent="0.2">
      <c r="A20">
        <f>ROW(Source!A28)</f>
        <v>28</v>
      </c>
      <c r="B20">
        <v>39107596</v>
      </c>
      <c r="C20">
        <v>39109798</v>
      </c>
      <c r="D20">
        <v>36832273</v>
      </c>
      <c r="E20">
        <v>1</v>
      </c>
      <c r="F20">
        <v>1</v>
      </c>
      <c r="G20">
        <v>1</v>
      </c>
      <c r="H20">
        <v>3</v>
      </c>
      <c r="I20" t="s">
        <v>246</v>
      </c>
      <c r="J20" t="s">
        <v>247</v>
      </c>
      <c r="K20" t="s">
        <v>248</v>
      </c>
      <c r="L20">
        <v>1355</v>
      </c>
      <c r="N20">
        <v>1010</v>
      </c>
      <c r="O20" t="s">
        <v>249</v>
      </c>
      <c r="P20" t="s">
        <v>249</v>
      </c>
      <c r="Q20">
        <v>100</v>
      </c>
      <c r="W20">
        <v>0</v>
      </c>
      <c r="X20">
        <v>1709713925</v>
      </c>
      <c r="Y20">
        <v>4</v>
      </c>
      <c r="AA20">
        <v>330.5</v>
      </c>
      <c r="AB20">
        <v>0</v>
      </c>
      <c r="AC20">
        <v>0</v>
      </c>
      <c r="AD20">
        <v>0</v>
      </c>
      <c r="AE20">
        <v>50</v>
      </c>
      <c r="AF20">
        <v>0</v>
      </c>
      <c r="AG20">
        <v>0</v>
      </c>
      <c r="AH20">
        <v>0</v>
      </c>
      <c r="AI20">
        <v>6.61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4</v>
      </c>
      <c r="AU20" t="s">
        <v>3</v>
      </c>
      <c r="AV20">
        <v>0</v>
      </c>
      <c r="AW20">
        <v>2</v>
      </c>
      <c r="AX20">
        <v>39271678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4.7</v>
      </c>
      <c r="CY20">
        <f>AA20</f>
        <v>330.5</v>
      </c>
      <c r="CZ20">
        <f>AE20</f>
        <v>50</v>
      </c>
      <c r="DA20">
        <f>AI20</f>
        <v>6.61</v>
      </c>
      <c r="DB20">
        <v>0</v>
      </c>
    </row>
    <row r="21" spans="1:106" x14ac:dyDescent="0.2">
      <c r="A21">
        <f>ROW(Source!A28)</f>
        <v>28</v>
      </c>
      <c r="B21">
        <v>39107596</v>
      </c>
      <c r="C21">
        <v>39109798</v>
      </c>
      <c r="D21">
        <v>36838722</v>
      </c>
      <c r="E21">
        <v>1</v>
      </c>
      <c r="F21">
        <v>1</v>
      </c>
      <c r="G21">
        <v>1</v>
      </c>
      <c r="H21">
        <v>3</v>
      </c>
      <c r="I21" t="s">
        <v>250</v>
      </c>
      <c r="J21" t="s">
        <v>251</v>
      </c>
      <c r="K21" t="s">
        <v>252</v>
      </c>
      <c r="L21">
        <v>1354</v>
      </c>
      <c r="N21">
        <v>1010</v>
      </c>
      <c r="O21" t="s">
        <v>253</v>
      </c>
      <c r="P21" t="s">
        <v>253</v>
      </c>
      <c r="Q21">
        <v>1</v>
      </c>
      <c r="W21">
        <v>0</v>
      </c>
      <c r="X21">
        <v>-1018551266</v>
      </c>
      <c r="Y21">
        <v>90.7</v>
      </c>
      <c r="AA21">
        <v>442.87</v>
      </c>
      <c r="AB21">
        <v>0</v>
      </c>
      <c r="AC21">
        <v>0</v>
      </c>
      <c r="AD21">
        <v>0</v>
      </c>
      <c r="AE21">
        <v>67</v>
      </c>
      <c r="AF21">
        <v>0</v>
      </c>
      <c r="AG21">
        <v>0</v>
      </c>
      <c r="AH21">
        <v>0</v>
      </c>
      <c r="AI21">
        <v>6.61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90.7</v>
      </c>
      <c r="AU21" t="s">
        <v>3</v>
      </c>
      <c r="AV21">
        <v>0</v>
      </c>
      <c r="AW21">
        <v>2</v>
      </c>
      <c r="AX21">
        <v>39271679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106.57250000000001</v>
      </c>
      <c r="CY21">
        <f>AA21</f>
        <v>442.87</v>
      </c>
      <c r="CZ21">
        <f>AE21</f>
        <v>67</v>
      </c>
      <c r="DA21">
        <f>AI21</f>
        <v>6.61</v>
      </c>
      <c r="DB21">
        <v>0</v>
      </c>
    </row>
    <row r="22" spans="1:106" x14ac:dyDescent="0.2">
      <c r="A22">
        <f>ROW(Source!A28)</f>
        <v>28</v>
      </c>
      <c r="B22">
        <v>39107596</v>
      </c>
      <c r="C22">
        <v>39109798</v>
      </c>
      <c r="D22">
        <v>0</v>
      </c>
      <c r="E22">
        <v>0</v>
      </c>
      <c r="F22">
        <v>1</v>
      </c>
      <c r="G22">
        <v>1</v>
      </c>
      <c r="H22">
        <v>3</v>
      </c>
      <c r="I22" t="s">
        <v>31</v>
      </c>
      <c r="J22" t="s">
        <v>3</v>
      </c>
      <c r="K22" t="s">
        <v>45</v>
      </c>
      <c r="L22">
        <v>1301</v>
      </c>
      <c r="N22">
        <v>1003</v>
      </c>
      <c r="O22" t="s">
        <v>46</v>
      </c>
      <c r="P22" t="s">
        <v>46</v>
      </c>
      <c r="Q22">
        <v>1</v>
      </c>
      <c r="W22">
        <v>0</v>
      </c>
      <c r="X22">
        <v>-1329279680</v>
      </c>
      <c r="Y22">
        <v>100</v>
      </c>
      <c r="AA22">
        <v>2106.21</v>
      </c>
      <c r="AB22">
        <v>0</v>
      </c>
      <c r="AC22">
        <v>0</v>
      </c>
      <c r="AD22">
        <v>0</v>
      </c>
      <c r="AE22">
        <v>318.64</v>
      </c>
      <c r="AF22">
        <v>0</v>
      </c>
      <c r="AG22">
        <v>0</v>
      </c>
      <c r="AH22">
        <v>0</v>
      </c>
      <c r="AI22">
        <v>6.61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100</v>
      </c>
      <c r="AU22" t="s">
        <v>3</v>
      </c>
      <c r="AV22">
        <v>0</v>
      </c>
      <c r="AW22">
        <v>1</v>
      </c>
      <c r="AX22">
        <v>-1</v>
      </c>
      <c r="AY22">
        <v>0</v>
      </c>
      <c r="AZ22">
        <v>0</v>
      </c>
      <c r="BA22" t="s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117.5</v>
      </c>
      <c r="CY22">
        <f>AA22</f>
        <v>2106.21</v>
      </c>
      <c r="CZ22">
        <f>AE22</f>
        <v>318.64</v>
      </c>
      <c r="DA22">
        <f>AI22</f>
        <v>6.61</v>
      </c>
      <c r="DB22">
        <v>0</v>
      </c>
    </row>
    <row r="23" spans="1:106" x14ac:dyDescent="0.2">
      <c r="A23">
        <f>ROW(Source!A30)</f>
        <v>30</v>
      </c>
      <c r="B23">
        <v>39107596</v>
      </c>
      <c r="C23">
        <v>39107639</v>
      </c>
      <c r="D23">
        <v>37065248</v>
      </c>
      <c r="E23">
        <v>1</v>
      </c>
      <c r="F23">
        <v>1</v>
      </c>
      <c r="G23">
        <v>1</v>
      </c>
      <c r="H23">
        <v>1</v>
      </c>
      <c r="I23" t="s">
        <v>254</v>
      </c>
      <c r="J23" t="s">
        <v>3</v>
      </c>
      <c r="K23" t="s">
        <v>255</v>
      </c>
      <c r="L23">
        <v>1191</v>
      </c>
      <c r="N23">
        <v>1013</v>
      </c>
      <c r="O23" t="s">
        <v>220</v>
      </c>
      <c r="P23" t="s">
        <v>220</v>
      </c>
      <c r="Q23">
        <v>1</v>
      </c>
      <c r="W23">
        <v>0</v>
      </c>
      <c r="X23">
        <v>-400197608</v>
      </c>
      <c r="Y23">
        <v>41.41</v>
      </c>
      <c r="AA23">
        <v>0</v>
      </c>
      <c r="AB23">
        <v>0</v>
      </c>
      <c r="AC23">
        <v>0</v>
      </c>
      <c r="AD23">
        <v>56.38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6.61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41.41</v>
      </c>
      <c r="AU23" t="s">
        <v>3</v>
      </c>
      <c r="AV23">
        <v>1</v>
      </c>
      <c r="AW23">
        <v>2</v>
      </c>
      <c r="AX23">
        <v>39107640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Y23*Source!I30</f>
        <v>48.656749999999995</v>
      </c>
      <c r="CY23">
        <f>AD23</f>
        <v>56.38</v>
      </c>
      <c r="CZ23">
        <f>AH23</f>
        <v>8.5299999999999994</v>
      </c>
      <c r="DA23">
        <f>AL23</f>
        <v>6.61</v>
      </c>
      <c r="DB23">
        <v>0</v>
      </c>
    </row>
    <row r="24" spans="1:106" x14ac:dyDescent="0.2">
      <c r="A24">
        <f>ROW(Source!A30)</f>
        <v>30</v>
      </c>
      <c r="B24">
        <v>39107596</v>
      </c>
      <c r="C24">
        <v>39107639</v>
      </c>
      <c r="D24">
        <v>37064876</v>
      </c>
      <c r="E24">
        <v>1</v>
      </c>
      <c r="F24">
        <v>1</v>
      </c>
      <c r="G24">
        <v>1</v>
      </c>
      <c r="H24">
        <v>1</v>
      </c>
      <c r="I24" t="s">
        <v>221</v>
      </c>
      <c r="J24" t="s">
        <v>3</v>
      </c>
      <c r="K24" t="s">
        <v>222</v>
      </c>
      <c r="L24">
        <v>1191</v>
      </c>
      <c r="N24">
        <v>1013</v>
      </c>
      <c r="O24" t="s">
        <v>220</v>
      </c>
      <c r="P24" t="s">
        <v>220</v>
      </c>
      <c r="Q24">
        <v>1</v>
      </c>
      <c r="W24">
        <v>0</v>
      </c>
      <c r="X24">
        <v>-1417349443</v>
      </c>
      <c r="Y24">
        <v>0.12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6.61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0.12</v>
      </c>
      <c r="AU24" t="s">
        <v>3</v>
      </c>
      <c r="AV24">
        <v>2</v>
      </c>
      <c r="AW24">
        <v>2</v>
      </c>
      <c r="AX24">
        <v>39107641</v>
      </c>
      <c r="AY24">
        <v>1</v>
      </c>
      <c r="AZ24">
        <v>0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Y24*Source!I30</f>
        <v>0.14099999999999999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ROW(Source!A30)</f>
        <v>30</v>
      </c>
      <c r="B25">
        <v>39107596</v>
      </c>
      <c r="C25">
        <v>39107639</v>
      </c>
      <c r="D25">
        <v>36882452</v>
      </c>
      <c r="E25">
        <v>1</v>
      </c>
      <c r="F25">
        <v>1</v>
      </c>
      <c r="G25">
        <v>1</v>
      </c>
      <c r="H25">
        <v>2</v>
      </c>
      <c r="I25" t="s">
        <v>223</v>
      </c>
      <c r="J25" t="s">
        <v>224</v>
      </c>
      <c r="K25" t="s">
        <v>225</v>
      </c>
      <c r="L25">
        <v>1368</v>
      </c>
      <c r="N25">
        <v>1011</v>
      </c>
      <c r="O25" t="s">
        <v>226</v>
      </c>
      <c r="P25" t="s">
        <v>226</v>
      </c>
      <c r="Q25">
        <v>1</v>
      </c>
      <c r="W25">
        <v>0</v>
      </c>
      <c r="X25">
        <v>1188625873</v>
      </c>
      <c r="Y25">
        <v>0.08</v>
      </c>
      <c r="AA25">
        <v>0</v>
      </c>
      <c r="AB25">
        <v>206.63</v>
      </c>
      <c r="AC25">
        <v>13.5</v>
      </c>
      <c r="AD25">
        <v>0</v>
      </c>
      <c r="AE25">
        <v>0</v>
      </c>
      <c r="AF25">
        <v>31.26</v>
      </c>
      <c r="AG25">
        <v>13.5</v>
      </c>
      <c r="AH25">
        <v>0</v>
      </c>
      <c r="AI25">
        <v>1</v>
      </c>
      <c r="AJ25">
        <v>6.61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0.08</v>
      </c>
      <c r="AU25" t="s">
        <v>3</v>
      </c>
      <c r="AV25">
        <v>0</v>
      </c>
      <c r="AW25">
        <v>2</v>
      </c>
      <c r="AX25">
        <v>39107642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9.4E-2</v>
      </c>
      <c r="CY25">
        <f>AB25</f>
        <v>206.63</v>
      </c>
      <c r="CZ25">
        <f>AF25</f>
        <v>31.26</v>
      </c>
      <c r="DA25">
        <f>AJ25</f>
        <v>6.61</v>
      </c>
      <c r="DB25">
        <v>0</v>
      </c>
    </row>
    <row r="26" spans="1:106" x14ac:dyDescent="0.2">
      <c r="A26">
        <f>ROW(Source!A30)</f>
        <v>30</v>
      </c>
      <c r="B26">
        <v>39107596</v>
      </c>
      <c r="C26">
        <v>39107639</v>
      </c>
      <c r="D26">
        <v>36883554</v>
      </c>
      <c r="E26">
        <v>1</v>
      </c>
      <c r="F26">
        <v>1</v>
      </c>
      <c r="G26">
        <v>1</v>
      </c>
      <c r="H26">
        <v>2</v>
      </c>
      <c r="I26" t="s">
        <v>229</v>
      </c>
      <c r="J26" t="s">
        <v>230</v>
      </c>
      <c r="K26" t="s">
        <v>231</v>
      </c>
      <c r="L26">
        <v>1368</v>
      </c>
      <c r="N26">
        <v>1011</v>
      </c>
      <c r="O26" t="s">
        <v>226</v>
      </c>
      <c r="P26" t="s">
        <v>226</v>
      </c>
      <c r="Q26">
        <v>1</v>
      </c>
      <c r="W26">
        <v>0</v>
      </c>
      <c r="X26">
        <v>1372534845</v>
      </c>
      <c r="Y26">
        <v>0.04</v>
      </c>
      <c r="AA26">
        <v>0</v>
      </c>
      <c r="AB26">
        <v>434.34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6.61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0.04</v>
      </c>
      <c r="AU26" t="s">
        <v>3</v>
      </c>
      <c r="AV26">
        <v>0</v>
      </c>
      <c r="AW26">
        <v>2</v>
      </c>
      <c r="AX26">
        <v>39107643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4.7E-2</v>
      </c>
      <c r="CY26">
        <f>AB26</f>
        <v>434.34</v>
      </c>
      <c r="CZ26">
        <f>AF26</f>
        <v>65.709999999999994</v>
      </c>
      <c r="DA26">
        <f>AJ26</f>
        <v>6.61</v>
      </c>
      <c r="DB26">
        <v>0</v>
      </c>
    </row>
    <row r="27" spans="1:106" x14ac:dyDescent="0.2">
      <c r="A27">
        <f>ROW(Source!A30)</f>
        <v>30</v>
      </c>
      <c r="B27">
        <v>39107596</v>
      </c>
      <c r="C27">
        <v>39107639</v>
      </c>
      <c r="D27">
        <v>36804545</v>
      </c>
      <c r="E27">
        <v>1</v>
      </c>
      <c r="F27">
        <v>1</v>
      </c>
      <c r="G27">
        <v>1</v>
      </c>
      <c r="H27">
        <v>3</v>
      </c>
      <c r="I27" t="s">
        <v>256</v>
      </c>
      <c r="J27" t="s">
        <v>257</v>
      </c>
      <c r="K27" t="s">
        <v>258</v>
      </c>
      <c r="L27">
        <v>1348</v>
      </c>
      <c r="N27">
        <v>1009</v>
      </c>
      <c r="O27" t="s">
        <v>61</v>
      </c>
      <c r="P27" t="s">
        <v>61</v>
      </c>
      <c r="Q27">
        <v>1000</v>
      </c>
      <c r="W27">
        <v>0</v>
      </c>
      <c r="X27">
        <v>1174701286</v>
      </c>
      <c r="Y27">
        <v>4.0000000000000001E-3</v>
      </c>
      <c r="AA27">
        <v>79174.58</v>
      </c>
      <c r="AB27">
        <v>0</v>
      </c>
      <c r="AC27">
        <v>0</v>
      </c>
      <c r="AD27">
        <v>0</v>
      </c>
      <c r="AE27">
        <v>11978</v>
      </c>
      <c r="AF27">
        <v>0</v>
      </c>
      <c r="AG27">
        <v>0</v>
      </c>
      <c r="AH27">
        <v>0</v>
      </c>
      <c r="AI27">
        <v>6.61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4.0000000000000001E-3</v>
      </c>
      <c r="AU27" t="s">
        <v>3</v>
      </c>
      <c r="AV27">
        <v>0</v>
      </c>
      <c r="AW27">
        <v>2</v>
      </c>
      <c r="AX27">
        <v>39107645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4.7000000000000002E-3</v>
      </c>
      <c r="CY27">
        <f>AA27</f>
        <v>79174.58</v>
      </c>
      <c r="CZ27">
        <f>AE27</f>
        <v>11978</v>
      </c>
      <c r="DA27">
        <f>AI27</f>
        <v>6.61</v>
      </c>
      <c r="DB27">
        <v>0</v>
      </c>
    </row>
    <row r="28" spans="1:106" x14ac:dyDescent="0.2">
      <c r="A28">
        <f>ROW(Source!A30)</f>
        <v>30</v>
      </c>
      <c r="B28">
        <v>39107596</v>
      </c>
      <c r="C28">
        <v>39107639</v>
      </c>
      <c r="D28">
        <v>36825632</v>
      </c>
      <c r="E28">
        <v>1</v>
      </c>
      <c r="F28">
        <v>1</v>
      </c>
      <c r="G28">
        <v>1</v>
      </c>
      <c r="H28">
        <v>3</v>
      </c>
      <c r="I28" t="s">
        <v>259</v>
      </c>
      <c r="J28" t="s">
        <v>260</v>
      </c>
      <c r="K28" t="s">
        <v>261</v>
      </c>
      <c r="L28">
        <v>1348</v>
      </c>
      <c r="N28">
        <v>1009</v>
      </c>
      <c r="O28" t="s">
        <v>61</v>
      </c>
      <c r="P28" t="s">
        <v>61</v>
      </c>
      <c r="Q28">
        <v>1000</v>
      </c>
      <c r="W28">
        <v>0</v>
      </c>
      <c r="X28">
        <v>-740471490</v>
      </c>
      <c r="Y28">
        <v>6.0000000000000001E-3</v>
      </c>
      <c r="AA28">
        <v>53032.03</v>
      </c>
      <c r="AB28">
        <v>0</v>
      </c>
      <c r="AC28">
        <v>0</v>
      </c>
      <c r="AD28">
        <v>0</v>
      </c>
      <c r="AE28">
        <v>8023</v>
      </c>
      <c r="AF28">
        <v>0</v>
      </c>
      <c r="AG28">
        <v>0</v>
      </c>
      <c r="AH28">
        <v>0</v>
      </c>
      <c r="AI28">
        <v>6.61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6.0000000000000001E-3</v>
      </c>
      <c r="AU28" t="s">
        <v>3</v>
      </c>
      <c r="AV28">
        <v>0</v>
      </c>
      <c r="AW28">
        <v>2</v>
      </c>
      <c r="AX28">
        <v>39107646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7.0500000000000007E-3</v>
      </c>
      <c r="CY28">
        <f>AA28</f>
        <v>53032.03</v>
      </c>
      <c r="CZ28">
        <f>AE28</f>
        <v>8023</v>
      </c>
      <c r="DA28">
        <f>AI28</f>
        <v>6.61</v>
      </c>
      <c r="DB28">
        <v>0</v>
      </c>
    </row>
    <row r="29" spans="1:106" x14ac:dyDescent="0.2">
      <c r="A29">
        <f>ROW(Source!A30)</f>
        <v>30</v>
      </c>
      <c r="B29">
        <v>39107596</v>
      </c>
      <c r="C29">
        <v>39107639</v>
      </c>
      <c r="D29">
        <v>36799076</v>
      </c>
      <c r="E29">
        <v>17</v>
      </c>
      <c r="F29">
        <v>1</v>
      </c>
      <c r="G29">
        <v>1</v>
      </c>
      <c r="H29">
        <v>3</v>
      </c>
      <c r="I29" t="s">
        <v>59</v>
      </c>
      <c r="J29" t="s">
        <v>3</v>
      </c>
      <c r="K29" t="s">
        <v>60</v>
      </c>
      <c r="L29">
        <v>1348</v>
      </c>
      <c r="N29">
        <v>1009</v>
      </c>
      <c r="O29" t="s">
        <v>61</v>
      </c>
      <c r="P29" t="s">
        <v>61</v>
      </c>
      <c r="Q29">
        <v>1000</v>
      </c>
      <c r="W29">
        <v>0</v>
      </c>
      <c r="X29">
        <v>789990620</v>
      </c>
      <c r="Y29">
        <v>0.184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6.61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0.184</v>
      </c>
      <c r="AU29" t="s">
        <v>3</v>
      </c>
      <c r="AV29">
        <v>0</v>
      </c>
      <c r="AW29">
        <v>2</v>
      </c>
      <c r="AX29">
        <v>39107647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0.2162</v>
      </c>
      <c r="CY29">
        <f>AA29</f>
        <v>0</v>
      </c>
      <c r="CZ29">
        <f>AE29</f>
        <v>0</v>
      </c>
      <c r="DA29">
        <f>AI29</f>
        <v>6.61</v>
      </c>
      <c r="DB29">
        <v>0</v>
      </c>
    </row>
    <row r="30" spans="1:106" x14ac:dyDescent="0.2">
      <c r="A30">
        <f>ROW(Source!A30)</f>
        <v>30</v>
      </c>
      <c r="B30">
        <v>39107596</v>
      </c>
      <c r="C30">
        <v>39107639</v>
      </c>
      <c r="D30">
        <v>0</v>
      </c>
      <c r="E30">
        <v>0</v>
      </c>
      <c r="F30">
        <v>1</v>
      </c>
      <c r="G30">
        <v>1</v>
      </c>
      <c r="H30">
        <v>3</v>
      </c>
      <c r="I30" t="s">
        <v>31</v>
      </c>
      <c r="J30" t="s">
        <v>3</v>
      </c>
      <c r="K30" t="s">
        <v>56</v>
      </c>
      <c r="L30">
        <v>1301</v>
      </c>
      <c r="N30">
        <v>1003</v>
      </c>
      <c r="O30" t="s">
        <v>46</v>
      </c>
      <c r="P30" t="s">
        <v>46</v>
      </c>
      <c r="Q30">
        <v>1</v>
      </c>
      <c r="W30">
        <v>0</v>
      </c>
      <c r="X30">
        <v>-42574877</v>
      </c>
      <c r="Y30">
        <v>100</v>
      </c>
      <c r="AA30">
        <v>256.47000000000003</v>
      </c>
      <c r="AB30">
        <v>0</v>
      </c>
      <c r="AC30">
        <v>0</v>
      </c>
      <c r="AD30">
        <v>0</v>
      </c>
      <c r="AE30">
        <v>38.799999999999997</v>
      </c>
      <c r="AF30">
        <v>0</v>
      </c>
      <c r="AG30">
        <v>0</v>
      </c>
      <c r="AH30">
        <v>0</v>
      </c>
      <c r="AI30">
        <v>6.61</v>
      </c>
      <c r="AJ30">
        <v>1</v>
      </c>
      <c r="AK30">
        <v>1</v>
      </c>
      <c r="AL30">
        <v>1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100</v>
      </c>
      <c r="AU30" t="s">
        <v>3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117.5</v>
      </c>
      <c r="CY30">
        <f>AA30</f>
        <v>256.47000000000003</v>
      </c>
      <c r="CZ30">
        <f>AE30</f>
        <v>38.799999999999997</v>
      </c>
      <c r="DA30">
        <f>AI30</f>
        <v>6.61</v>
      </c>
      <c r="DB30">
        <v>0</v>
      </c>
    </row>
    <row r="31" spans="1:106" x14ac:dyDescent="0.2">
      <c r="A31">
        <f>ROW(Source!A33)</f>
        <v>33</v>
      </c>
      <c r="B31">
        <v>39107596</v>
      </c>
      <c r="C31">
        <v>39109788</v>
      </c>
      <c r="D31">
        <v>37071037</v>
      </c>
      <c r="E31">
        <v>1</v>
      </c>
      <c r="F31">
        <v>1</v>
      </c>
      <c r="G31">
        <v>1</v>
      </c>
      <c r="H31">
        <v>1</v>
      </c>
      <c r="I31" t="s">
        <v>262</v>
      </c>
      <c r="J31" t="s">
        <v>3</v>
      </c>
      <c r="K31" t="s">
        <v>263</v>
      </c>
      <c r="L31">
        <v>1191</v>
      </c>
      <c r="N31">
        <v>1013</v>
      </c>
      <c r="O31" t="s">
        <v>220</v>
      </c>
      <c r="P31" t="s">
        <v>220</v>
      </c>
      <c r="Q31">
        <v>1</v>
      </c>
      <c r="W31">
        <v>0</v>
      </c>
      <c r="X31">
        <v>1069510174</v>
      </c>
      <c r="Y31">
        <v>18.767999999999997</v>
      </c>
      <c r="AA31">
        <v>0</v>
      </c>
      <c r="AB31">
        <v>0</v>
      </c>
      <c r="AC31">
        <v>0</v>
      </c>
      <c r="AD31">
        <v>63.59</v>
      </c>
      <c r="AE31">
        <v>0</v>
      </c>
      <c r="AF31">
        <v>0</v>
      </c>
      <c r="AG31">
        <v>0</v>
      </c>
      <c r="AH31">
        <v>9.6199999999999992</v>
      </c>
      <c r="AI31">
        <v>1</v>
      </c>
      <c r="AJ31">
        <v>1</v>
      </c>
      <c r="AK31">
        <v>1</v>
      </c>
      <c r="AL31">
        <v>6.61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16.32</v>
      </c>
      <c r="AU31" t="s">
        <v>26</v>
      </c>
      <c r="AV31">
        <v>1</v>
      </c>
      <c r="AW31">
        <v>2</v>
      </c>
      <c r="AX31">
        <v>39109789</v>
      </c>
      <c r="AY31">
        <v>1</v>
      </c>
      <c r="AZ31">
        <v>0</v>
      </c>
      <c r="BA31">
        <v>30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29.550215999999995</v>
      </c>
      <c r="CY31">
        <f>AD31</f>
        <v>63.59</v>
      </c>
      <c r="CZ31">
        <f>AH31</f>
        <v>9.6199999999999992</v>
      </c>
      <c r="DA31">
        <f>AL31</f>
        <v>6.61</v>
      </c>
      <c r="DB31">
        <v>0</v>
      </c>
    </row>
    <row r="32" spans="1:106" x14ac:dyDescent="0.2">
      <c r="A32">
        <f>ROW(Source!A33)</f>
        <v>33</v>
      </c>
      <c r="B32">
        <v>39107596</v>
      </c>
      <c r="C32">
        <v>39109788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221</v>
      </c>
      <c r="J32" t="s">
        <v>3</v>
      </c>
      <c r="K32" t="s">
        <v>222</v>
      </c>
      <c r="L32">
        <v>1191</v>
      </c>
      <c r="N32">
        <v>1013</v>
      </c>
      <c r="O32" t="s">
        <v>220</v>
      </c>
      <c r="P32" t="s">
        <v>220</v>
      </c>
      <c r="Q32">
        <v>1</v>
      </c>
      <c r="W32">
        <v>0</v>
      </c>
      <c r="X32">
        <v>-1417349443</v>
      </c>
      <c r="Y32">
        <v>0.03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6.61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0.03</v>
      </c>
      <c r="AU32" t="s">
        <v>3</v>
      </c>
      <c r="AV32">
        <v>2</v>
      </c>
      <c r="AW32">
        <v>2</v>
      </c>
      <c r="AX32">
        <v>39109790</v>
      </c>
      <c r="AY32">
        <v>1</v>
      </c>
      <c r="AZ32">
        <v>2048</v>
      </c>
      <c r="BA32">
        <v>31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4.7234999999999999E-2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ROW(Source!A33)</f>
        <v>33</v>
      </c>
      <c r="B33">
        <v>39107596</v>
      </c>
      <c r="C33">
        <v>39109788</v>
      </c>
      <c r="D33">
        <v>36882452</v>
      </c>
      <c r="E33">
        <v>1</v>
      </c>
      <c r="F33">
        <v>1</v>
      </c>
      <c r="G33">
        <v>1</v>
      </c>
      <c r="H33">
        <v>2</v>
      </c>
      <c r="I33" t="s">
        <v>223</v>
      </c>
      <c r="J33" t="s">
        <v>224</v>
      </c>
      <c r="K33" t="s">
        <v>225</v>
      </c>
      <c r="L33">
        <v>1368</v>
      </c>
      <c r="N33">
        <v>1011</v>
      </c>
      <c r="O33" t="s">
        <v>226</v>
      </c>
      <c r="P33" t="s">
        <v>226</v>
      </c>
      <c r="Q33">
        <v>1</v>
      </c>
      <c r="W33">
        <v>0</v>
      </c>
      <c r="X33">
        <v>1188625873</v>
      </c>
      <c r="Y33">
        <v>1.2500000000000001E-2</v>
      </c>
      <c r="AA33">
        <v>0</v>
      </c>
      <c r="AB33">
        <v>206.63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6.61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0.01</v>
      </c>
      <c r="AU33" t="s">
        <v>25</v>
      </c>
      <c r="AV33">
        <v>0</v>
      </c>
      <c r="AW33">
        <v>2</v>
      </c>
      <c r="AX33">
        <v>39109791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1.9681250000000001E-2</v>
      </c>
      <c r="CY33">
        <f>AB33</f>
        <v>206.63</v>
      </c>
      <c r="CZ33">
        <f>AF33</f>
        <v>31.26</v>
      </c>
      <c r="DA33">
        <f>AJ33</f>
        <v>6.61</v>
      </c>
      <c r="DB33">
        <v>0</v>
      </c>
    </row>
    <row r="34" spans="1:106" x14ac:dyDescent="0.2">
      <c r="A34">
        <f>ROW(Source!A33)</f>
        <v>33</v>
      </c>
      <c r="B34">
        <v>39107596</v>
      </c>
      <c r="C34">
        <v>39109788</v>
      </c>
      <c r="D34">
        <v>36883554</v>
      </c>
      <c r="E34">
        <v>1</v>
      </c>
      <c r="F34">
        <v>1</v>
      </c>
      <c r="G34">
        <v>1</v>
      </c>
      <c r="H34">
        <v>2</v>
      </c>
      <c r="I34" t="s">
        <v>229</v>
      </c>
      <c r="J34" t="s">
        <v>230</v>
      </c>
      <c r="K34" t="s">
        <v>231</v>
      </c>
      <c r="L34">
        <v>1368</v>
      </c>
      <c r="N34">
        <v>1011</v>
      </c>
      <c r="O34" t="s">
        <v>226</v>
      </c>
      <c r="P34" t="s">
        <v>226</v>
      </c>
      <c r="Q34">
        <v>1</v>
      </c>
      <c r="W34">
        <v>0</v>
      </c>
      <c r="X34">
        <v>1372534845</v>
      </c>
      <c r="Y34">
        <v>2.5000000000000001E-2</v>
      </c>
      <c r="AA34">
        <v>0</v>
      </c>
      <c r="AB34">
        <v>434.34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6.61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0.02</v>
      </c>
      <c r="AU34" t="s">
        <v>25</v>
      </c>
      <c r="AV34">
        <v>0</v>
      </c>
      <c r="AW34">
        <v>2</v>
      </c>
      <c r="AX34">
        <v>39109792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3.9362500000000002E-2</v>
      </c>
      <c r="CY34">
        <f>AB34</f>
        <v>434.34</v>
      </c>
      <c r="CZ34">
        <f>AF34</f>
        <v>65.709999999999994</v>
      </c>
      <c r="DA34">
        <f>AJ34</f>
        <v>6.61</v>
      </c>
      <c r="DB34">
        <v>0</v>
      </c>
    </row>
    <row r="35" spans="1:106" x14ac:dyDescent="0.2">
      <c r="A35">
        <f>ROW(Source!A33)</f>
        <v>33</v>
      </c>
      <c r="B35">
        <v>39107596</v>
      </c>
      <c r="C35">
        <v>39109788</v>
      </c>
      <c r="D35">
        <v>36805524</v>
      </c>
      <c r="E35">
        <v>1</v>
      </c>
      <c r="F35">
        <v>1</v>
      </c>
      <c r="G35">
        <v>1</v>
      </c>
      <c r="H35">
        <v>3</v>
      </c>
      <c r="I35" t="s">
        <v>264</v>
      </c>
      <c r="J35" t="s">
        <v>265</v>
      </c>
      <c r="K35" t="s">
        <v>266</v>
      </c>
      <c r="L35">
        <v>1346</v>
      </c>
      <c r="N35">
        <v>1009</v>
      </c>
      <c r="O35" t="s">
        <v>267</v>
      </c>
      <c r="P35" t="s">
        <v>267</v>
      </c>
      <c r="Q35">
        <v>1</v>
      </c>
      <c r="W35">
        <v>0</v>
      </c>
      <c r="X35">
        <v>813963326</v>
      </c>
      <c r="Y35">
        <v>0.2</v>
      </c>
      <c r="AA35">
        <v>12.03</v>
      </c>
      <c r="AB35">
        <v>0</v>
      </c>
      <c r="AC35">
        <v>0</v>
      </c>
      <c r="AD35">
        <v>0</v>
      </c>
      <c r="AE35">
        <v>1.82</v>
      </c>
      <c r="AF35">
        <v>0</v>
      </c>
      <c r="AG35">
        <v>0</v>
      </c>
      <c r="AH35">
        <v>0</v>
      </c>
      <c r="AI35">
        <v>6.61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0.2</v>
      </c>
      <c r="AU35" t="s">
        <v>3</v>
      </c>
      <c r="AV35">
        <v>0</v>
      </c>
      <c r="AW35">
        <v>2</v>
      </c>
      <c r="AX35">
        <v>39109793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Y35*Source!I33</f>
        <v>0.31490000000000001</v>
      </c>
      <c r="CY35">
        <f>AA35</f>
        <v>12.03</v>
      </c>
      <c r="CZ35">
        <f>AE35</f>
        <v>1.82</v>
      </c>
      <c r="DA35">
        <f>AI35</f>
        <v>6.61</v>
      </c>
      <c r="DB35">
        <v>0</v>
      </c>
    </row>
    <row r="36" spans="1:106" x14ac:dyDescent="0.2">
      <c r="A36">
        <f>ROW(Source!A33)</f>
        <v>33</v>
      </c>
      <c r="B36">
        <v>39107596</v>
      </c>
      <c r="C36">
        <v>39109788</v>
      </c>
      <c r="D36">
        <v>36837722</v>
      </c>
      <c r="E36">
        <v>1</v>
      </c>
      <c r="F36">
        <v>1</v>
      </c>
      <c r="G36">
        <v>1</v>
      </c>
      <c r="H36">
        <v>3</v>
      </c>
      <c r="I36" t="s">
        <v>69</v>
      </c>
      <c r="J36" t="s">
        <v>72</v>
      </c>
      <c r="K36" t="s">
        <v>70</v>
      </c>
      <c r="L36">
        <v>1296</v>
      </c>
      <c r="N36">
        <v>1002</v>
      </c>
      <c r="O36" t="s">
        <v>71</v>
      </c>
      <c r="P36" t="s">
        <v>71</v>
      </c>
      <c r="Q36">
        <v>1</v>
      </c>
      <c r="W36">
        <v>0</v>
      </c>
      <c r="X36">
        <v>-171317358</v>
      </c>
      <c r="Y36">
        <v>20</v>
      </c>
      <c r="AA36">
        <v>125.33</v>
      </c>
      <c r="AB36">
        <v>0</v>
      </c>
      <c r="AC36">
        <v>0</v>
      </c>
      <c r="AD36">
        <v>0</v>
      </c>
      <c r="AE36">
        <v>18.96</v>
      </c>
      <c r="AF36">
        <v>0</v>
      </c>
      <c r="AG36">
        <v>0</v>
      </c>
      <c r="AH36">
        <v>0</v>
      </c>
      <c r="AI36">
        <v>6.61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20</v>
      </c>
      <c r="AU36" t="s">
        <v>3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Y36*Source!I33</f>
        <v>31.490000000000002</v>
      </c>
      <c r="CY36">
        <f>AA36</f>
        <v>125.33</v>
      </c>
      <c r="CZ36">
        <f>AE36</f>
        <v>18.96</v>
      </c>
      <c r="DA36">
        <f>AI36</f>
        <v>6.61</v>
      </c>
      <c r="DB36">
        <v>0</v>
      </c>
    </row>
    <row r="37" spans="1:106" x14ac:dyDescent="0.2">
      <c r="A37">
        <f>ROW(Source!A33)</f>
        <v>33</v>
      </c>
      <c r="B37">
        <v>39107596</v>
      </c>
      <c r="C37">
        <v>39109788</v>
      </c>
      <c r="D37">
        <v>36797079</v>
      </c>
      <c r="E37">
        <v>17</v>
      </c>
      <c r="F37">
        <v>1</v>
      </c>
      <c r="G37">
        <v>1</v>
      </c>
      <c r="H37">
        <v>3</v>
      </c>
      <c r="I37" t="s">
        <v>74</v>
      </c>
      <c r="J37" t="s">
        <v>3</v>
      </c>
      <c r="K37" t="s">
        <v>75</v>
      </c>
      <c r="L37">
        <v>1348</v>
      </c>
      <c r="N37">
        <v>1009</v>
      </c>
      <c r="O37" t="s">
        <v>61</v>
      </c>
      <c r="P37" t="s">
        <v>61</v>
      </c>
      <c r="Q37">
        <v>1000</v>
      </c>
      <c r="W37">
        <v>0</v>
      </c>
      <c r="X37">
        <v>-1212923053</v>
      </c>
      <c r="Y37">
        <v>0.02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6.61</v>
      </c>
      <c r="AJ37">
        <v>1</v>
      </c>
      <c r="AK37">
        <v>1</v>
      </c>
      <c r="AL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39109794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Y37*Source!I33</f>
        <v>3.1490000000000004E-2</v>
      </c>
      <c r="CY37">
        <f>AA37</f>
        <v>0</v>
      </c>
      <c r="CZ37">
        <f>AE37</f>
        <v>0</v>
      </c>
      <c r="DA37">
        <f>AI37</f>
        <v>6.61</v>
      </c>
      <c r="DB37">
        <v>0</v>
      </c>
    </row>
    <row r="38" spans="1:106" x14ac:dyDescent="0.2">
      <c r="A38">
        <f>ROW(Source!A36)</f>
        <v>36</v>
      </c>
      <c r="B38">
        <v>39107596</v>
      </c>
      <c r="C38">
        <v>39107650</v>
      </c>
      <c r="D38">
        <v>37072767</v>
      </c>
      <c r="E38">
        <v>1</v>
      </c>
      <c r="F38">
        <v>1</v>
      </c>
      <c r="G38">
        <v>1</v>
      </c>
      <c r="H38">
        <v>1</v>
      </c>
      <c r="I38" t="s">
        <v>268</v>
      </c>
      <c r="J38" t="s">
        <v>3</v>
      </c>
      <c r="K38" t="s">
        <v>269</v>
      </c>
      <c r="L38">
        <v>1191</v>
      </c>
      <c r="N38">
        <v>1013</v>
      </c>
      <c r="O38" t="s">
        <v>220</v>
      </c>
      <c r="P38" t="s">
        <v>220</v>
      </c>
      <c r="Q38">
        <v>1</v>
      </c>
      <c r="W38">
        <v>0</v>
      </c>
      <c r="X38">
        <v>-1027537862</v>
      </c>
      <c r="Y38">
        <v>191.44049999999999</v>
      </c>
      <c r="AA38">
        <v>0</v>
      </c>
      <c r="AB38">
        <v>0</v>
      </c>
      <c r="AC38">
        <v>0</v>
      </c>
      <c r="AD38">
        <v>60.68</v>
      </c>
      <c r="AE38">
        <v>0</v>
      </c>
      <c r="AF38">
        <v>0</v>
      </c>
      <c r="AG38">
        <v>0</v>
      </c>
      <c r="AH38">
        <v>9.18</v>
      </c>
      <c r="AI38">
        <v>1</v>
      </c>
      <c r="AJ38">
        <v>1</v>
      </c>
      <c r="AK38">
        <v>1</v>
      </c>
      <c r="AL38">
        <v>6.61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166.47</v>
      </c>
      <c r="AU38" t="s">
        <v>26</v>
      </c>
      <c r="AV38">
        <v>1</v>
      </c>
      <c r="AW38">
        <v>2</v>
      </c>
      <c r="AX38">
        <v>39107651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Y38*Source!I36</f>
        <v>301.42306724999997</v>
      </c>
      <c r="CY38">
        <f>AD38</f>
        <v>60.68</v>
      </c>
      <c r="CZ38">
        <f>AH38</f>
        <v>9.18</v>
      </c>
      <c r="DA38">
        <f>AL38</f>
        <v>6.61</v>
      </c>
      <c r="DB38">
        <v>0</v>
      </c>
    </row>
    <row r="39" spans="1:106" x14ac:dyDescent="0.2">
      <c r="A39">
        <f>ROW(Source!A36)</f>
        <v>36</v>
      </c>
      <c r="B39">
        <v>39107596</v>
      </c>
      <c r="C39">
        <v>39107650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221</v>
      </c>
      <c r="J39" t="s">
        <v>3</v>
      </c>
      <c r="K39" t="s">
        <v>222</v>
      </c>
      <c r="L39">
        <v>1191</v>
      </c>
      <c r="N39">
        <v>1013</v>
      </c>
      <c r="O39" t="s">
        <v>220</v>
      </c>
      <c r="P39" t="s">
        <v>220</v>
      </c>
      <c r="Q39">
        <v>1</v>
      </c>
      <c r="W39">
        <v>0</v>
      </c>
      <c r="X39">
        <v>-1417349443</v>
      </c>
      <c r="Y39">
        <v>0.57999999999999996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6.61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0.57999999999999996</v>
      </c>
      <c r="AU39" t="s">
        <v>3</v>
      </c>
      <c r="AV39">
        <v>2</v>
      </c>
      <c r="AW39">
        <v>2</v>
      </c>
      <c r="AX39">
        <v>39107652</v>
      </c>
      <c r="AY39">
        <v>1</v>
      </c>
      <c r="AZ39">
        <v>2048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Y39*Source!I36</f>
        <v>0.91320999999999997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ROW(Source!A36)</f>
        <v>36</v>
      </c>
      <c r="B40">
        <v>39107596</v>
      </c>
      <c r="C40">
        <v>39107650</v>
      </c>
      <c r="D40">
        <v>36882452</v>
      </c>
      <c r="E40">
        <v>1</v>
      </c>
      <c r="F40">
        <v>1</v>
      </c>
      <c r="G40">
        <v>1</v>
      </c>
      <c r="H40">
        <v>2</v>
      </c>
      <c r="I40" t="s">
        <v>223</v>
      </c>
      <c r="J40" t="s">
        <v>224</v>
      </c>
      <c r="K40" t="s">
        <v>225</v>
      </c>
      <c r="L40">
        <v>1368</v>
      </c>
      <c r="N40">
        <v>1011</v>
      </c>
      <c r="O40" t="s">
        <v>226</v>
      </c>
      <c r="P40" t="s">
        <v>226</v>
      </c>
      <c r="Q40">
        <v>1</v>
      </c>
      <c r="W40">
        <v>0</v>
      </c>
      <c r="X40">
        <v>1188625873</v>
      </c>
      <c r="Y40">
        <v>0.1</v>
      </c>
      <c r="AA40">
        <v>0</v>
      </c>
      <c r="AB40">
        <v>206.63</v>
      </c>
      <c r="AC40">
        <v>13.5</v>
      </c>
      <c r="AD40">
        <v>0</v>
      </c>
      <c r="AE40">
        <v>0</v>
      </c>
      <c r="AF40">
        <v>31.26</v>
      </c>
      <c r="AG40">
        <v>13.5</v>
      </c>
      <c r="AH40">
        <v>0</v>
      </c>
      <c r="AI40">
        <v>1</v>
      </c>
      <c r="AJ40">
        <v>6.61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0.08</v>
      </c>
      <c r="AU40" t="s">
        <v>25</v>
      </c>
      <c r="AV40">
        <v>0</v>
      </c>
      <c r="AW40">
        <v>2</v>
      </c>
      <c r="AX40">
        <v>39107653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Y40*Source!I36</f>
        <v>0.15745000000000001</v>
      </c>
      <c r="CY40">
        <f>AB40</f>
        <v>206.63</v>
      </c>
      <c r="CZ40">
        <f>AF40</f>
        <v>31.26</v>
      </c>
      <c r="DA40">
        <f>AJ40</f>
        <v>6.61</v>
      </c>
      <c r="DB40">
        <v>0</v>
      </c>
    </row>
    <row r="41" spans="1:106" x14ac:dyDescent="0.2">
      <c r="A41">
        <f>ROW(Source!A36)</f>
        <v>36</v>
      </c>
      <c r="B41">
        <v>39107596</v>
      </c>
      <c r="C41">
        <v>39107650</v>
      </c>
      <c r="D41">
        <v>36883554</v>
      </c>
      <c r="E41">
        <v>1</v>
      </c>
      <c r="F41">
        <v>1</v>
      </c>
      <c r="G41">
        <v>1</v>
      </c>
      <c r="H41">
        <v>2</v>
      </c>
      <c r="I41" t="s">
        <v>229</v>
      </c>
      <c r="J41" t="s">
        <v>230</v>
      </c>
      <c r="K41" t="s">
        <v>231</v>
      </c>
      <c r="L41">
        <v>1368</v>
      </c>
      <c r="N41">
        <v>1011</v>
      </c>
      <c r="O41" t="s">
        <v>226</v>
      </c>
      <c r="P41" t="s">
        <v>226</v>
      </c>
      <c r="Q41">
        <v>1</v>
      </c>
      <c r="W41">
        <v>0</v>
      </c>
      <c r="X41">
        <v>1372534845</v>
      </c>
      <c r="Y41">
        <v>0.625</v>
      </c>
      <c r="AA41">
        <v>0</v>
      </c>
      <c r="AB41">
        <v>434.34</v>
      </c>
      <c r="AC41">
        <v>11.6</v>
      </c>
      <c r="AD41">
        <v>0</v>
      </c>
      <c r="AE41">
        <v>0</v>
      </c>
      <c r="AF41">
        <v>65.709999999999994</v>
      </c>
      <c r="AG41">
        <v>11.6</v>
      </c>
      <c r="AH41">
        <v>0</v>
      </c>
      <c r="AI41">
        <v>1</v>
      </c>
      <c r="AJ41">
        <v>6.61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0.5</v>
      </c>
      <c r="AU41" t="s">
        <v>25</v>
      </c>
      <c r="AV41">
        <v>0</v>
      </c>
      <c r="AW41">
        <v>2</v>
      </c>
      <c r="AX41">
        <v>39107654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Y41*Source!I36</f>
        <v>0.98406250000000006</v>
      </c>
      <c r="CY41">
        <f>AB41</f>
        <v>434.34</v>
      </c>
      <c r="CZ41">
        <f>AF41</f>
        <v>65.709999999999994</v>
      </c>
      <c r="DA41">
        <f>AJ41</f>
        <v>6.61</v>
      </c>
      <c r="DB41">
        <v>0</v>
      </c>
    </row>
    <row r="42" spans="1:106" x14ac:dyDescent="0.2">
      <c r="A42">
        <f>ROW(Source!A36)</f>
        <v>36</v>
      </c>
      <c r="B42">
        <v>39107596</v>
      </c>
      <c r="C42">
        <v>39107650</v>
      </c>
      <c r="D42">
        <v>36797506</v>
      </c>
      <c r="E42">
        <v>17</v>
      </c>
      <c r="F42">
        <v>1</v>
      </c>
      <c r="G42">
        <v>1</v>
      </c>
      <c r="H42">
        <v>3</v>
      </c>
      <c r="I42" t="s">
        <v>84</v>
      </c>
      <c r="J42" t="s">
        <v>3</v>
      </c>
      <c r="K42" t="s">
        <v>85</v>
      </c>
      <c r="L42">
        <v>1327</v>
      </c>
      <c r="N42">
        <v>1005</v>
      </c>
      <c r="O42" t="s">
        <v>33</v>
      </c>
      <c r="P42" t="s">
        <v>33</v>
      </c>
      <c r="Q42">
        <v>1</v>
      </c>
      <c r="W42">
        <v>0</v>
      </c>
      <c r="X42">
        <v>-112006704</v>
      </c>
      <c r="Y42">
        <v>105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6.61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105</v>
      </c>
      <c r="AU42" t="s">
        <v>3</v>
      </c>
      <c r="AV42">
        <v>0</v>
      </c>
      <c r="AW42">
        <v>2</v>
      </c>
      <c r="AX42">
        <v>39107655</v>
      </c>
      <c r="AY42">
        <v>1</v>
      </c>
      <c r="AZ42">
        <v>0</v>
      </c>
      <c r="BA42">
        <v>40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Y42*Source!I36</f>
        <v>165.32249999999999</v>
      </c>
      <c r="CY42">
        <f>AA42</f>
        <v>0</v>
      </c>
      <c r="CZ42">
        <f>AE42</f>
        <v>0</v>
      </c>
      <c r="DA42">
        <f>AI42</f>
        <v>6.61</v>
      </c>
      <c r="DB42">
        <v>0</v>
      </c>
    </row>
    <row r="43" spans="1:106" x14ac:dyDescent="0.2">
      <c r="A43">
        <f>ROW(Source!A36)</f>
        <v>36</v>
      </c>
      <c r="B43">
        <v>39107596</v>
      </c>
      <c r="C43">
        <v>39107650</v>
      </c>
      <c r="D43">
        <v>36805524</v>
      </c>
      <c r="E43">
        <v>1</v>
      </c>
      <c r="F43">
        <v>1</v>
      </c>
      <c r="G43">
        <v>1</v>
      </c>
      <c r="H43">
        <v>3</v>
      </c>
      <c r="I43" t="s">
        <v>264</v>
      </c>
      <c r="J43" t="s">
        <v>265</v>
      </c>
      <c r="K43" t="s">
        <v>266</v>
      </c>
      <c r="L43">
        <v>1346</v>
      </c>
      <c r="N43">
        <v>1009</v>
      </c>
      <c r="O43" t="s">
        <v>267</v>
      </c>
      <c r="P43" t="s">
        <v>267</v>
      </c>
      <c r="Q43">
        <v>1</v>
      </c>
      <c r="W43">
        <v>0</v>
      </c>
      <c r="X43">
        <v>813963326</v>
      </c>
      <c r="Y43">
        <v>0.2</v>
      </c>
      <c r="AA43">
        <v>12.03</v>
      </c>
      <c r="AB43">
        <v>0</v>
      </c>
      <c r="AC43">
        <v>0</v>
      </c>
      <c r="AD43">
        <v>0</v>
      </c>
      <c r="AE43">
        <v>1.82</v>
      </c>
      <c r="AF43">
        <v>0</v>
      </c>
      <c r="AG43">
        <v>0</v>
      </c>
      <c r="AH43">
        <v>0</v>
      </c>
      <c r="AI43">
        <v>6.61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0.2</v>
      </c>
      <c r="AU43" t="s">
        <v>3</v>
      </c>
      <c r="AV43">
        <v>0</v>
      </c>
      <c r="AW43">
        <v>2</v>
      </c>
      <c r="AX43">
        <v>39107656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Y43*Source!I36</f>
        <v>0.31490000000000001</v>
      </c>
      <c r="CY43">
        <f>AA43</f>
        <v>12.03</v>
      </c>
      <c r="CZ43">
        <f>AE43</f>
        <v>1.82</v>
      </c>
      <c r="DA43">
        <f>AI43</f>
        <v>6.61</v>
      </c>
      <c r="DB43">
        <v>0</v>
      </c>
    </row>
    <row r="44" spans="1:106" x14ac:dyDescent="0.2">
      <c r="A44">
        <f>ROW(Source!A36)</f>
        <v>36</v>
      </c>
      <c r="B44">
        <v>39107596</v>
      </c>
      <c r="C44">
        <v>39107650</v>
      </c>
      <c r="D44">
        <v>0</v>
      </c>
      <c r="E44">
        <v>0</v>
      </c>
      <c r="F44">
        <v>1</v>
      </c>
      <c r="G44">
        <v>1</v>
      </c>
      <c r="H44">
        <v>3</v>
      </c>
      <c r="I44" t="s">
        <v>31</v>
      </c>
      <c r="J44" t="s">
        <v>3</v>
      </c>
      <c r="K44" t="s">
        <v>81</v>
      </c>
      <c r="L44">
        <v>1327</v>
      </c>
      <c r="N44">
        <v>1005</v>
      </c>
      <c r="O44" t="s">
        <v>33</v>
      </c>
      <c r="P44" t="s">
        <v>33</v>
      </c>
      <c r="Q44">
        <v>1</v>
      </c>
      <c r="W44">
        <v>0</v>
      </c>
      <c r="X44">
        <v>776745865</v>
      </c>
      <c r="Y44">
        <v>105</v>
      </c>
      <c r="AA44">
        <v>583.92999999999995</v>
      </c>
      <c r="AB44">
        <v>0</v>
      </c>
      <c r="AC44">
        <v>0</v>
      </c>
      <c r="AD44">
        <v>0</v>
      </c>
      <c r="AE44">
        <v>88.34</v>
      </c>
      <c r="AF44">
        <v>0</v>
      </c>
      <c r="AG44">
        <v>0</v>
      </c>
      <c r="AH44">
        <v>0</v>
      </c>
      <c r="AI44">
        <v>6.61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105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Y44*Source!I36</f>
        <v>165.32249999999999</v>
      </c>
      <c r="CY44">
        <f>AA44</f>
        <v>583.92999999999995</v>
      </c>
      <c r="CZ44">
        <f>AE44</f>
        <v>88.34</v>
      </c>
      <c r="DA44">
        <f>AI44</f>
        <v>6.61</v>
      </c>
      <c r="DB44">
        <v>0</v>
      </c>
    </row>
    <row r="45" spans="1:106" x14ac:dyDescent="0.2">
      <c r="A45">
        <f>ROW(Source!A39)</f>
        <v>39</v>
      </c>
      <c r="B45">
        <v>39107596</v>
      </c>
      <c r="C45">
        <v>39107662</v>
      </c>
      <c r="D45">
        <v>37065248</v>
      </c>
      <c r="E45">
        <v>1</v>
      </c>
      <c r="F45">
        <v>1</v>
      </c>
      <c r="G45">
        <v>1</v>
      </c>
      <c r="H45">
        <v>1</v>
      </c>
      <c r="I45" t="s">
        <v>254</v>
      </c>
      <c r="J45" t="s">
        <v>3</v>
      </c>
      <c r="K45" t="s">
        <v>255</v>
      </c>
      <c r="L45">
        <v>1191</v>
      </c>
      <c r="N45">
        <v>1013</v>
      </c>
      <c r="O45" t="s">
        <v>220</v>
      </c>
      <c r="P45" t="s">
        <v>220</v>
      </c>
      <c r="Q45">
        <v>1</v>
      </c>
      <c r="W45">
        <v>0</v>
      </c>
      <c r="X45">
        <v>-400197608</v>
      </c>
      <c r="Y45">
        <v>7.7049999999999992</v>
      </c>
      <c r="AA45">
        <v>0</v>
      </c>
      <c r="AB45">
        <v>0</v>
      </c>
      <c r="AC45">
        <v>0</v>
      </c>
      <c r="AD45">
        <v>56.38</v>
      </c>
      <c r="AE45">
        <v>0</v>
      </c>
      <c r="AF45">
        <v>0</v>
      </c>
      <c r="AG45">
        <v>0</v>
      </c>
      <c r="AH45">
        <v>8.5299999999999994</v>
      </c>
      <c r="AI45">
        <v>1</v>
      </c>
      <c r="AJ45">
        <v>1</v>
      </c>
      <c r="AK45">
        <v>1</v>
      </c>
      <c r="AL45">
        <v>6.61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6.7</v>
      </c>
      <c r="AU45" t="s">
        <v>26</v>
      </c>
      <c r="AV45">
        <v>1</v>
      </c>
      <c r="AW45">
        <v>2</v>
      </c>
      <c r="AX45">
        <v>39107663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Y45*Source!I39</f>
        <v>24.263044999999998</v>
      </c>
      <c r="CY45">
        <f>AD45</f>
        <v>56.38</v>
      </c>
      <c r="CZ45">
        <f>AH45</f>
        <v>8.5299999999999994</v>
      </c>
      <c r="DA45">
        <f>AL45</f>
        <v>6.61</v>
      </c>
      <c r="DB45">
        <v>0</v>
      </c>
    </row>
    <row r="46" spans="1:106" x14ac:dyDescent="0.2">
      <c r="A46">
        <f>ROW(Source!A39)</f>
        <v>39</v>
      </c>
      <c r="B46">
        <v>39107596</v>
      </c>
      <c r="C46">
        <v>39107662</v>
      </c>
      <c r="D46">
        <v>36796979</v>
      </c>
      <c r="E46">
        <v>17</v>
      </c>
      <c r="F46">
        <v>1</v>
      </c>
      <c r="G46">
        <v>1</v>
      </c>
      <c r="H46">
        <v>3</v>
      </c>
      <c r="I46" t="s">
        <v>94</v>
      </c>
      <c r="J46" t="s">
        <v>3</v>
      </c>
      <c r="K46" t="s">
        <v>95</v>
      </c>
      <c r="L46">
        <v>2233</v>
      </c>
      <c r="N46">
        <v>1013</v>
      </c>
      <c r="O46" t="s">
        <v>96</v>
      </c>
      <c r="P46" t="s">
        <v>96</v>
      </c>
      <c r="Q46">
        <v>1</v>
      </c>
      <c r="W46">
        <v>0</v>
      </c>
      <c r="X46">
        <v>-1710570218</v>
      </c>
      <c r="Y46">
        <v>100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6.61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3</v>
      </c>
      <c r="AT46">
        <v>100</v>
      </c>
      <c r="AU46" t="s">
        <v>3</v>
      </c>
      <c r="AV46">
        <v>0</v>
      </c>
      <c r="AW46">
        <v>2</v>
      </c>
      <c r="AX46">
        <v>39107664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Y46*Source!I39</f>
        <v>314.89999999999998</v>
      </c>
      <c r="CY46">
        <f>AA46</f>
        <v>0</v>
      </c>
      <c r="CZ46">
        <f>AE46</f>
        <v>0</v>
      </c>
      <c r="DA46">
        <f>AI46</f>
        <v>6.61</v>
      </c>
      <c r="DB46">
        <v>0</v>
      </c>
    </row>
    <row r="47" spans="1:106" x14ac:dyDescent="0.2">
      <c r="A47">
        <f>ROW(Source!A39)</f>
        <v>39</v>
      </c>
      <c r="B47">
        <v>39107596</v>
      </c>
      <c r="C47">
        <v>39107662</v>
      </c>
      <c r="D47">
        <v>36836997</v>
      </c>
      <c r="E47">
        <v>1</v>
      </c>
      <c r="F47">
        <v>1</v>
      </c>
      <c r="G47">
        <v>1</v>
      </c>
      <c r="H47">
        <v>3</v>
      </c>
      <c r="I47" t="s">
        <v>270</v>
      </c>
      <c r="J47" t="s">
        <v>271</v>
      </c>
      <c r="K47" t="s">
        <v>272</v>
      </c>
      <c r="L47">
        <v>1346</v>
      </c>
      <c r="N47">
        <v>1009</v>
      </c>
      <c r="O47" t="s">
        <v>267</v>
      </c>
      <c r="P47" t="s">
        <v>267</v>
      </c>
      <c r="Q47">
        <v>1</v>
      </c>
      <c r="W47">
        <v>0</v>
      </c>
      <c r="X47">
        <v>-1230081286</v>
      </c>
      <c r="Y47">
        <v>0.8</v>
      </c>
      <c r="AA47">
        <v>297.45</v>
      </c>
      <c r="AB47">
        <v>0</v>
      </c>
      <c r="AC47">
        <v>0</v>
      </c>
      <c r="AD47">
        <v>0</v>
      </c>
      <c r="AE47">
        <v>45</v>
      </c>
      <c r="AF47">
        <v>0</v>
      </c>
      <c r="AG47">
        <v>0</v>
      </c>
      <c r="AH47">
        <v>0</v>
      </c>
      <c r="AI47">
        <v>6.61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0.8</v>
      </c>
      <c r="AU47" t="s">
        <v>3</v>
      </c>
      <c r="AV47">
        <v>0</v>
      </c>
      <c r="AW47">
        <v>2</v>
      </c>
      <c r="AX47">
        <v>39107665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Y47*Source!I39</f>
        <v>2.5192000000000001</v>
      </c>
      <c r="CY47">
        <f>AA47</f>
        <v>297.45</v>
      </c>
      <c r="CZ47">
        <f>AE47</f>
        <v>45</v>
      </c>
      <c r="DA47">
        <f>AI47</f>
        <v>6.61</v>
      </c>
      <c r="DB47">
        <v>0</v>
      </c>
    </row>
    <row r="48" spans="1:106" x14ac:dyDescent="0.2">
      <c r="A48">
        <f>ROW(Source!A39)</f>
        <v>39</v>
      </c>
      <c r="B48">
        <v>39107596</v>
      </c>
      <c r="C48">
        <v>39107662</v>
      </c>
      <c r="D48">
        <v>0</v>
      </c>
      <c r="E48">
        <v>0</v>
      </c>
      <c r="F48">
        <v>1</v>
      </c>
      <c r="G48">
        <v>1</v>
      </c>
      <c r="H48">
        <v>3</v>
      </c>
      <c r="I48" t="s">
        <v>31</v>
      </c>
      <c r="J48" t="s">
        <v>3</v>
      </c>
      <c r="K48" t="s">
        <v>91</v>
      </c>
      <c r="L48">
        <v>1301</v>
      </c>
      <c r="N48">
        <v>1003</v>
      </c>
      <c r="O48" t="s">
        <v>46</v>
      </c>
      <c r="P48" t="s">
        <v>46</v>
      </c>
      <c r="Q48">
        <v>1</v>
      </c>
      <c r="W48">
        <v>0</v>
      </c>
      <c r="X48">
        <v>1094464084</v>
      </c>
      <c r="Y48">
        <v>100</v>
      </c>
      <c r="AA48">
        <v>51.1</v>
      </c>
      <c r="AB48">
        <v>0</v>
      </c>
      <c r="AC48">
        <v>0</v>
      </c>
      <c r="AD48">
        <v>0</v>
      </c>
      <c r="AE48">
        <v>7.73</v>
      </c>
      <c r="AF48">
        <v>0</v>
      </c>
      <c r="AG48">
        <v>0</v>
      </c>
      <c r="AH48">
        <v>0</v>
      </c>
      <c r="AI48">
        <v>6.61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100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Y48*Source!I39</f>
        <v>314.89999999999998</v>
      </c>
      <c r="CY48">
        <f>AA48</f>
        <v>51.1</v>
      </c>
      <c r="CZ48">
        <f>AE48</f>
        <v>7.73</v>
      </c>
      <c r="DA48">
        <f>AI48</f>
        <v>6.61</v>
      </c>
      <c r="DB4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39107614</v>
      </c>
      <c r="C1">
        <v>39107613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218</v>
      </c>
      <c r="J1" t="s">
        <v>3</v>
      </c>
      <c r="K1" t="s">
        <v>219</v>
      </c>
      <c r="L1">
        <v>1191</v>
      </c>
      <c r="N1">
        <v>1013</v>
      </c>
      <c r="O1" t="s">
        <v>220</v>
      </c>
      <c r="P1" t="s">
        <v>220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188.54</v>
      </c>
      <c r="AH1">
        <v>2</v>
      </c>
      <c r="AI1">
        <v>39107614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39107615</v>
      </c>
      <c r="C2">
        <v>39107613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221</v>
      </c>
      <c r="J2" t="s">
        <v>3</v>
      </c>
      <c r="K2" t="s">
        <v>222</v>
      </c>
      <c r="L2">
        <v>1191</v>
      </c>
      <c r="N2">
        <v>1013</v>
      </c>
      <c r="O2" t="s">
        <v>220</v>
      </c>
      <c r="P2" t="s">
        <v>220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39107615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39107616</v>
      </c>
      <c r="C3">
        <v>39107613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223</v>
      </c>
      <c r="J3" t="s">
        <v>224</v>
      </c>
      <c r="K3" t="s">
        <v>225</v>
      </c>
      <c r="L3">
        <v>1368</v>
      </c>
      <c r="N3">
        <v>1011</v>
      </c>
      <c r="O3" t="s">
        <v>226</v>
      </c>
      <c r="P3" t="s">
        <v>226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39107616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39107618</v>
      </c>
      <c r="C4">
        <v>39107617</v>
      </c>
      <c r="D4">
        <v>37070495</v>
      </c>
      <c r="E4">
        <v>1</v>
      </c>
      <c r="F4">
        <v>1</v>
      </c>
      <c r="G4">
        <v>1</v>
      </c>
      <c r="H4">
        <v>1</v>
      </c>
      <c r="I4" t="s">
        <v>227</v>
      </c>
      <c r="J4" t="s">
        <v>3</v>
      </c>
      <c r="K4" t="s">
        <v>228</v>
      </c>
      <c r="L4">
        <v>1191</v>
      </c>
      <c r="N4">
        <v>1013</v>
      </c>
      <c r="O4" t="s">
        <v>220</v>
      </c>
      <c r="P4" t="s">
        <v>220</v>
      </c>
      <c r="Q4">
        <v>1</v>
      </c>
      <c r="X4">
        <v>149.16</v>
      </c>
      <c r="Y4">
        <v>0</v>
      </c>
      <c r="Z4">
        <v>0</v>
      </c>
      <c r="AA4">
        <v>0</v>
      </c>
      <c r="AB4">
        <v>8.74</v>
      </c>
      <c r="AC4">
        <v>0</v>
      </c>
      <c r="AD4">
        <v>1</v>
      </c>
      <c r="AE4">
        <v>1</v>
      </c>
      <c r="AF4" t="s">
        <v>26</v>
      </c>
      <c r="AG4">
        <v>171.53399999999999</v>
      </c>
      <c r="AH4">
        <v>2</v>
      </c>
      <c r="AI4">
        <v>39107618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39107619</v>
      </c>
      <c r="C5">
        <v>39107617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221</v>
      </c>
      <c r="J5" t="s">
        <v>3</v>
      </c>
      <c r="K5" t="s">
        <v>222</v>
      </c>
      <c r="L5">
        <v>1191</v>
      </c>
      <c r="N5">
        <v>1013</v>
      </c>
      <c r="O5" t="s">
        <v>220</v>
      </c>
      <c r="P5" t="s">
        <v>220</v>
      </c>
      <c r="Q5">
        <v>1</v>
      </c>
      <c r="X5">
        <v>4.2300000000000004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25</v>
      </c>
      <c r="AG5">
        <v>5.2875000000000005</v>
      </c>
      <c r="AH5">
        <v>2</v>
      </c>
      <c r="AI5">
        <v>39107619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39107620</v>
      </c>
      <c r="C6">
        <v>39107617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223</v>
      </c>
      <c r="J6" t="s">
        <v>224</v>
      </c>
      <c r="K6" t="s">
        <v>225</v>
      </c>
      <c r="L6">
        <v>1368</v>
      </c>
      <c r="N6">
        <v>1011</v>
      </c>
      <c r="O6" t="s">
        <v>226</v>
      </c>
      <c r="P6" t="s">
        <v>226</v>
      </c>
      <c r="Q6">
        <v>1</v>
      </c>
      <c r="X6">
        <v>0.66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25</v>
      </c>
      <c r="AG6">
        <v>0.82500000000000007</v>
      </c>
      <c r="AH6">
        <v>2</v>
      </c>
      <c r="AI6">
        <v>39107620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39107621</v>
      </c>
      <c r="C7">
        <v>39107617</v>
      </c>
      <c r="D7">
        <v>36883554</v>
      </c>
      <c r="E7">
        <v>1</v>
      </c>
      <c r="F7">
        <v>1</v>
      </c>
      <c r="G7">
        <v>1</v>
      </c>
      <c r="H7">
        <v>2</v>
      </c>
      <c r="I7" t="s">
        <v>229</v>
      </c>
      <c r="J7" t="s">
        <v>230</v>
      </c>
      <c r="K7" t="s">
        <v>231</v>
      </c>
      <c r="L7">
        <v>1368</v>
      </c>
      <c r="N7">
        <v>1011</v>
      </c>
      <c r="O7" t="s">
        <v>226</v>
      </c>
      <c r="P7" t="s">
        <v>226</v>
      </c>
      <c r="Q7">
        <v>1</v>
      </c>
      <c r="X7">
        <v>3.57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25</v>
      </c>
      <c r="AG7">
        <v>4.4624999999999995</v>
      </c>
      <c r="AH7">
        <v>2</v>
      </c>
      <c r="AI7">
        <v>39107621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ROW(Source!A25)</f>
        <v>25</v>
      </c>
      <c r="B8">
        <v>39107622</v>
      </c>
      <c r="C8">
        <v>39107617</v>
      </c>
      <c r="D8">
        <v>36802057</v>
      </c>
      <c r="E8">
        <v>1</v>
      </c>
      <c r="F8">
        <v>1</v>
      </c>
      <c r="G8">
        <v>1</v>
      </c>
      <c r="H8">
        <v>3</v>
      </c>
      <c r="I8" t="s">
        <v>232</v>
      </c>
      <c r="J8" t="s">
        <v>233</v>
      </c>
      <c r="K8" t="s">
        <v>234</v>
      </c>
      <c r="L8">
        <v>1301</v>
      </c>
      <c r="N8">
        <v>1003</v>
      </c>
      <c r="O8" t="s">
        <v>46</v>
      </c>
      <c r="P8" t="s">
        <v>46</v>
      </c>
      <c r="Q8">
        <v>1</v>
      </c>
      <c r="X8">
        <v>253</v>
      </c>
      <c r="Y8">
        <v>6.38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253</v>
      </c>
      <c r="AH8">
        <v>2</v>
      </c>
      <c r="AI8">
        <v>39107622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ROW(Source!A25)</f>
        <v>25</v>
      </c>
      <c r="B9">
        <v>39107623</v>
      </c>
      <c r="C9">
        <v>39107617</v>
      </c>
      <c r="D9">
        <v>36802058</v>
      </c>
      <c r="E9">
        <v>1</v>
      </c>
      <c r="F9">
        <v>1</v>
      </c>
      <c r="G9">
        <v>1</v>
      </c>
      <c r="H9">
        <v>3</v>
      </c>
      <c r="I9" t="s">
        <v>235</v>
      </c>
      <c r="J9" t="s">
        <v>236</v>
      </c>
      <c r="K9" t="s">
        <v>237</v>
      </c>
      <c r="L9">
        <v>1301</v>
      </c>
      <c r="N9">
        <v>1003</v>
      </c>
      <c r="O9" t="s">
        <v>46</v>
      </c>
      <c r="P9" t="s">
        <v>46</v>
      </c>
      <c r="Q9">
        <v>1</v>
      </c>
      <c r="X9">
        <v>59</v>
      </c>
      <c r="Y9">
        <v>7.95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59</v>
      </c>
      <c r="AH9">
        <v>2</v>
      </c>
      <c r="AI9">
        <v>39107623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ROW(Source!A25)</f>
        <v>25</v>
      </c>
      <c r="B10">
        <v>39107624</v>
      </c>
      <c r="C10">
        <v>39107617</v>
      </c>
      <c r="D10">
        <v>36802146</v>
      </c>
      <c r="E10">
        <v>1</v>
      </c>
      <c r="F10">
        <v>1</v>
      </c>
      <c r="G10">
        <v>1</v>
      </c>
      <c r="H10">
        <v>3</v>
      </c>
      <c r="I10" t="s">
        <v>238</v>
      </c>
      <c r="J10" t="s">
        <v>239</v>
      </c>
      <c r="K10" t="s">
        <v>240</v>
      </c>
      <c r="L10">
        <v>1302</v>
      </c>
      <c r="N10">
        <v>1003</v>
      </c>
      <c r="O10" t="s">
        <v>241</v>
      </c>
      <c r="P10" t="s">
        <v>241</v>
      </c>
      <c r="Q10">
        <v>10</v>
      </c>
      <c r="X10">
        <v>15.9</v>
      </c>
      <c r="Y10">
        <v>64.099999999999994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15.9</v>
      </c>
      <c r="AH10">
        <v>2</v>
      </c>
      <c r="AI10">
        <v>39107624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ROW(Source!A25)</f>
        <v>25</v>
      </c>
      <c r="B11">
        <v>39107625</v>
      </c>
      <c r="C11">
        <v>39107617</v>
      </c>
      <c r="D11">
        <v>36804571</v>
      </c>
      <c r="E11">
        <v>1</v>
      </c>
      <c r="F11">
        <v>1</v>
      </c>
      <c r="G11">
        <v>1</v>
      </c>
      <c r="H11">
        <v>3</v>
      </c>
      <c r="I11" t="s">
        <v>242</v>
      </c>
      <c r="J11" t="s">
        <v>243</v>
      </c>
      <c r="K11" t="s">
        <v>244</v>
      </c>
      <c r="L11">
        <v>1358</v>
      </c>
      <c r="N11">
        <v>1010</v>
      </c>
      <c r="O11" t="s">
        <v>245</v>
      </c>
      <c r="P11" t="s">
        <v>245</v>
      </c>
      <c r="Q11">
        <v>10</v>
      </c>
      <c r="X11">
        <v>41.2</v>
      </c>
      <c r="Y11">
        <v>7.03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41.2</v>
      </c>
      <c r="AH11">
        <v>2</v>
      </c>
      <c r="AI11">
        <v>39107625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ROW(Source!A25)</f>
        <v>25</v>
      </c>
      <c r="B12">
        <v>39107626</v>
      </c>
      <c r="C12">
        <v>39107617</v>
      </c>
      <c r="D12">
        <v>36796973</v>
      </c>
      <c r="E12">
        <v>17</v>
      </c>
      <c r="F12">
        <v>1</v>
      </c>
      <c r="G12">
        <v>1</v>
      </c>
      <c r="H12">
        <v>3</v>
      </c>
      <c r="I12" t="s">
        <v>36</v>
      </c>
      <c r="J12" t="s">
        <v>3</v>
      </c>
      <c r="K12" t="s">
        <v>37</v>
      </c>
      <c r="L12">
        <v>1327</v>
      </c>
      <c r="N12">
        <v>1005</v>
      </c>
      <c r="O12" t="s">
        <v>33</v>
      </c>
      <c r="P12" t="s">
        <v>33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3</v>
      </c>
      <c r="AG12">
        <v>100</v>
      </c>
      <c r="AH12">
        <v>2</v>
      </c>
      <c r="AI12">
        <v>39107626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ROW(Source!A25)</f>
        <v>25</v>
      </c>
      <c r="B13">
        <v>39107627</v>
      </c>
      <c r="C13">
        <v>39107617</v>
      </c>
      <c r="D13">
        <v>36832273</v>
      </c>
      <c r="E13">
        <v>1</v>
      </c>
      <c r="F13">
        <v>1</v>
      </c>
      <c r="G13">
        <v>1</v>
      </c>
      <c r="H13">
        <v>3</v>
      </c>
      <c r="I13" t="s">
        <v>246</v>
      </c>
      <c r="J13" t="s">
        <v>247</v>
      </c>
      <c r="K13" t="s">
        <v>248</v>
      </c>
      <c r="L13">
        <v>1355</v>
      </c>
      <c r="N13">
        <v>1010</v>
      </c>
      <c r="O13" t="s">
        <v>249</v>
      </c>
      <c r="P13" t="s">
        <v>249</v>
      </c>
      <c r="Q13">
        <v>100</v>
      </c>
      <c r="X13">
        <v>8</v>
      </c>
      <c r="Y13">
        <v>50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8</v>
      </c>
      <c r="AH13">
        <v>2</v>
      </c>
      <c r="AI13">
        <v>39107627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39107628</v>
      </c>
      <c r="C14">
        <v>39107617</v>
      </c>
      <c r="D14">
        <v>36838722</v>
      </c>
      <c r="E14">
        <v>1</v>
      </c>
      <c r="F14">
        <v>1</v>
      </c>
      <c r="G14">
        <v>1</v>
      </c>
      <c r="H14">
        <v>3</v>
      </c>
      <c r="I14" t="s">
        <v>250</v>
      </c>
      <c r="J14" t="s">
        <v>251</v>
      </c>
      <c r="K14" t="s">
        <v>252</v>
      </c>
      <c r="L14">
        <v>1354</v>
      </c>
      <c r="N14">
        <v>1010</v>
      </c>
      <c r="O14" t="s">
        <v>253</v>
      </c>
      <c r="P14" t="s">
        <v>253</v>
      </c>
      <c r="Q14">
        <v>1</v>
      </c>
      <c r="X14">
        <v>71</v>
      </c>
      <c r="Y14">
        <v>67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71</v>
      </c>
      <c r="AH14">
        <v>2</v>
      </c>
      <c r="AI14">
        <v>39107628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39271673</v>
      </c>
      <c r="C15">
        <v>39109798</v>
      </c>
      <c r="D15">
        <v>37065248</v>
      </c>
      <c r="E15">
        <v>1</v>
      </c>
      <c r="F15">
        <v>1</v>
      </c>
      <c r="G15">
        <v>1</v>
      </c>
      <c r="H15">
        <v>1</v>
      </c>
      <c r="I15" t="s">
        <v>254</v>
      </c>
      <c r="J15" t="s">
        <v>3</v>
      </c>
      <c r="K15" t="s">
        <v>255</v>
      </c>
      <c r="L15">
        <v>1191</v>
      </c>
      <c r="N15">
        <v>1013</v>
      </c>
      <c r="O15" t="s">
        <v>220</v>
      </c>
      <c r="P15" t="s">
        <v>220</v>
      </c>
      <c r="Q15">
        <v>1</v>
      </c>
      <c r="X15">
        <v>21.38</v>
      </c>
      <c r="Y15">
        <v>0</v>
      </c>
      <c r="Z15">
        <v>0</v>
      </c>
      <c r="AA15">
        <v>0</v>
      </c>
      <c r="AB15">
        <v>8.5299999999999994</v>
      </c>
      <c r="AC15">
        <v>0</v>
      </c>
      <c r="AD15">
        <v>1</v>
      </c>
      <c r="AE15">
        <v>1</v>
      </c>
      <c r="AF15" t="s">
        <v>26</v>
      </c>
      <c r="AG15">
        <v>24.586999999999996</v>
      </c>
      <c r="AH15">
        <v>2</v>
      </c>
      <c r="AI15">
        <v>39271673</v>
      </c>
      <c r="AJ15">
        <v>16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39271674</v>
      </c>
      <c r="C16">
        <v>39109798</v>
      </c>
      <c r="D16">
        <v>37064876</v>
      </c>
      <c r="E16">
        <v>1</v>
      </c>
      <c r="F16">
        <v>1</v>
      </c>
      <c r="G16">
        <v>1</v>
      </c>
      <c r="H16">
        <v>1</v>
      </c>
      <c r="I16" t="s">
        <v>221</v>
      </c>
      <c r="J16" t="s">
        <v>3</v>
      </c>
      <c r="K16" t="s">
        <v>222</v>
      </c>
      <c r="L16">
        <v>1191</v>
      </c>
      <c r="N16">
        <v>1013</v>
      </c>
      <c r="O16" t="s">
        <v>220</v>
      </c>
      <c r="P16" t="s">
        <v>220</v>
      </c>
      <c r="Q16">
        <v>1</v>
      </c>
      <c r="X16">
        <v>0.37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25</v>
      </c>
      <c r="AG16">
        <v>0.46250000000000002</v>
      </c>
      <c r="AH16">
        <v>2</v>
      </c>
      <c r="AI16">
        <v>39271674</v>
      </c>
      <c r="AJ16">
        <v>17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39271675</v>
      </c>
      <c r="C17">
        <v>39109798</v>
      </c>
      <c r="D17">
        <v>36882452</v>
      </c>
      <c r="E17">
        <v>1</v>
      </c>
      <c r="F17">
        <v>1</v>
      </c>
      <c r="G17">
        <v>1</v>
      </c>
      <c r="H17">
        <v>2</v>
      </c>
      <c r="I17" t="s">
        <v>223</v>
      </c>
      <c r="J17" t="s">
        <v>224</v>
      </c>
      <c r="K17" t="s">
        <v>225</v>
      </c>
      <c r="L17">
        <v>1368</v>
      </c>
      <c r="N17">
        <v>1011</v>
      </c>
      <c r="O17" t="s">
        <v>226</v>
      </c>
      <c r="P17" t="s">
        <v>226</v>
      </c>
      <c r="Q17">
        <v>1</v>
      </c>
      <c r="X17">
        <v>7.0000000000000007E-2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25</v>
      </c>
      <c r="AG17">
        <v>8.7500000000000008E-2</v>
      </c>
      <c r="AH17">
        <v>2</v>
      </c>
      <c r="AI17">
        <v>39271675</v>
      </c>
      <c r="AJ17">
        <v>18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39271676</v>
      </c>
      <c r="C18">
        <v>39109798</v>
      </c>
      <c r="D18">
        <v>36883554</v>
      </c>
      <c r="E18">
        <v>1</v>
      </c>
      <c r="F18">
        <v>1</v>
      </c>
      <c r="G18">
        <v>1</v>
      </c>
      <c r="H18">
        <v>2</v>
      </c>
      <c r="I18" t="s">
        <v>229</v>
      </c>
      <c r="J18" t="s">
        <v>230</v>
      </c>
      <c r="K18" t="s">
        <v>231</v>
      </c>
      <c r="L18">
        <v>1368</v>
      </c>
      <c r="N18">
        <v>1011</v>
      </c>
      <c r="O18" t="s">
        <v>226</v>
      </c>
      <c r="P18" t="s">
        <v>226</v>
      </c>
      <c r="Q18">
        <v>1</v>
      </c>
      <c r="X18">
        <v>0.3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25</v>
      </c>
      <c r="AG18">
        <v>0.375</v>
      </c>
      <c r="AH18">
        <v>2</v>
      </c>
      <c r="AI18">
        <v>39271676</v>
      </c>
      <c r="AJ18">
        <v>19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39271677</v>
      </c>
      <c r="C19">
        <v>39109798</v>
      </c>
      <c r="D19">
        <v>36796976</v>
      </c>
      <c r="E19">
        <v>17</v>
      </c>
      <c r="F19">
        <v>1</v>
      </c>
      <c r="G19">
        <v>1</v>
      </c>
      <c r="H19">
        <v>3</v>
      </c>
      <c r="I19" t="s">
        <v>273</v>
      </c>
      <c r="J19" t="s">
        <v>3</v>
      </c>
      <c r="K19" t="s">
        <v>274</v>
      </c>
      <c r="L19">
        <v>1301</v>
      </c>
      <c r="N19">
        <v>1003</v>
      </c>
      <c r="O19" t="s">
        <v>46</v>
      </c>
      <c r="P19" t="s">
        <v>46</v>
      </c>
      <c r="Q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 t="s">
        <v>3</v>
      </c>
      <c r="AG19">
        <v>0</v>
      </c>
      <c r="AH19">
        <v>3</v>
      </c>
      <c r="AI19">
        <v>-1</v>
      </c>
      <c r="AJ19" t="s">
        <v>3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39271678</v>
      </c>
      <c r="C20">
        <v>39109798</v>
      </c>
      <c r="D20">
        <v>36832273</v>
      </c>
      <c r="E20">
        <v>1</v>
      </c>
      <c r="F20">
        <v>1</v>
      </c>
      <c r="G20">
        <v>1</v>
      </c>
      <c r="H20">
        <v>3</v>
      </c>
      <c r="I20" t="s">
        <v>246</v>
      </c>
      <c r="J20" t="s">
        <v>247</v>
      </c>
      <c r="K20" t="s">
        <v>248</v>
      </c>
      <c r="L20">
        <v>1355</v>
      </c>
      <c r="N20">
        <v>1010</v>
      </c>
      <c r="O20" t="s">
        <v>249</v>
      </c>
      <c r="P20" t="s">
        <v>249</v>
      </c>
      <c r="Q20">
        <v>100</v>
      </c>
      <c r="X20">
        <v>4</v>
      </c>
      <c r="Y20">
        <v>50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4</v>
      </c>
      <c r="AH20">
        <v>2</v>
      </c>
      <c r="AI20">
        <v>39271678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39271679</v>
      </c>
      <c r="C21">
        <v>39109798</v>
      </c>
      <c r="D21">
        <v>36838722</v>
      </c>
      <c r="E21">
        <v>1</v>
      </c>
      <c r="F21">
        <v>1</v>
      </c>
      <c r="G21">
        <v>1</v>
      </c>
      <c r="H21">
        <v>3</v>
      </c>
      <c r="I21" t="s">
        <v>250</v>
      </c>
      <c r="J21" t="s">
        <v>251</v>
      </c>
      <c r="K21" t="s">
        <v>252</v>
      </c>
      <c r="L21">
        <v>1354</v>
      </c>
      <c r="N21">
        <v>1010</v>
      </c>
      <c r="O21" t="s">
        <v>253</v>
      </c>
      <c r="P21" t="s">
        <v>253</v>
      </c>
      <c r="Q21">
        <v>1</v>
      </c>
      <c r="X21">
        <v>90.7</v>
      </c>
      <c r="Y21">
        <v>67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90.7</v>
      </c>
      <c r="AH21">
        <v>2</v>
      </c>
      <c r="AI21">
        <v>39271679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39107640</v>
      </c>
      <c r="C22">
        <v>39107639</v>
      </c>
      <c r="D22">
        <v>37065248</v>
      </c>
      <c r="E22">
        <v>1</v>
      </c>
      <c r="F22">
        <v>1</v>
      </c>
      <c r="G22">
        <v>1</v>
      </c>
      <c r="H22">
        <v>1</v>
      </c>
      <c r="I22" t="s">
        <v>254</v>
      </c>
      <c r="J22" t="s">
        <v>3</v>
      </c>
      <c r="K22" t="s">
        <v>255</v>
      </c>
      <c r="L22">
        <v>1191</v>
      </c>
      <c r="N22">
        <v>1013</v>
      </c>
      <c r="O22" t="s">
        <v>220</v>
      </c>
      <c r="P22" t="s">
        <v>220</v>
      </c>
      <c r="Q22">
        <v>1</v>
      </c>
      <c r="X22">
        <v>41.41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3</v>
      </c>
      <c r="AG22">
        <v>41.41</v>
      </c>
      <c r="AH22">
        <v>2</v>
      </c>
      <c r="AI22">
        <v>39107640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39107641</v>
      </c>
      <c r="C23">
        <v>39107639</v>
      </c>
      <c r="D23">
        <v>37064876</v>
      </c>
      <c r="E23">
        <v>1</v>
      </c>
      <c r="F23">
        <v>1</v>
      </c>
      <c r="G23">
        <v>1</v>
      </c>
      <c r="H23">
        <v>1</v>
      </c>
      <c r="I23" t="s">
        <v>221</v>
      </c>
      <c r="J23" t="s">
        <v>3</v>
      </c>
      <c r="K23" t="s">
        <v>222</v>
      </c>
      <c r="L23">
        <v>1191</v>
      </c>
      <c r="N23">
        <v>1013</v>
      </c>
      <c r="O23" t="s">
        <v>220</v>
      </c>
      <c r="P23" t="s">
        <v>220</v>
      </c>
      <c r="Q23">
        <v>1</v>
      </c>
      <c r="X23">
        <v>0.12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3</v>
      </c>
      <c r="AG23">
        <v>0.12</v>
      </c>
      <c r="AH23">
        <v>2</v>
      </c>
      <c r="AI23">
        <v>39107641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39107642</v>
      </c>
      <c r="C24">
        <v>39107639</v>
      </c>
      <c r="D24">
        <v>36882452</v>
      </c>
      <c r="E24">
        <v>1</v>
      </c>
      <c r="F24">
        <v>1</v>
      </c>
      <c r="G24">
        <v>1</v>
      </c>
      <c r="H24">
        <v>2</v>
      </c>
      <c r="I24" t="s">
        <v>223</v>
      </c>
      <c r="J24" t="s">
        <v>224</v>
      </c>
      <c r="K24" t="s">
        <v>225</v>
      </c>
      <c r="L24">
        <v>1368</v>
      </c>
      <c r="N24">
        <v>1011</v>
      </c>
      <c r="O24" t="s">
        <v>226</v>
      </c>
      <c r="P24" t="s">
        <v>226</v>
      </c>
      <c r="Q24">
        <v>1</v>
      </c>
      <c r="X24">
        <v>0.08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0.08</v>
      </c>
      <c r="AH24">
        <v>2</v>
      </c>
      <c r="AI24">
        <v>39107642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39107643</v>
      </c>
      <c r="C25">
        <v>39107639</v>
      </c>
      <c r="D25">
        <v>36883554</v>
      </c>
      <c r="E25">
        <v>1</v>
      </c>
      <c r="F25">
        <v>1</v>
      </c>
      <c r="G25">
        <v>1</v>
      </c>
      <c r="H25">
        <v>2</v>
      </c>
      <c r="I25" t="s">
        <v>229</v>
      </c>
      <c r="J25" t="s">
        <v>230</v>
      </c>
      <c r="K25" t="s">
        <v>231</v>
      </c>
      <c r="L25">
        <v>1368</v>
      </c>
      <c r="N25">
        <v>1011</v>
      </c>
      <c r="O25" t="s">
        <v>226</v>
      </c>
      <c r="P25" t="s">
        <v>226</v>
      </c>
      <c r="Q25">
        <v>1</v>
      </c>
      <c r="X25">
        <v>0.04</v>
      </c>
      <c r="Y25">
        <v>0</v>
      </c>
      <c r="Z25">
        <v>65.709999999999994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0.04</v>
      </c>
      <c r="AH25">
        <v>2</v>
      </c>
      <c r="AI25">
        <v>39107643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39107644</v>
      </c>
      <c r="C26">
        <v>39107639</v>
      </c>
      <c r="D26">
        <v>36799072</v>
      </c>
      <c r="E26">
        <v>17</v>
      </c>
      <c r="F26">
        <v>1</v>
      </c>
      <c r="G26">
        <v>1</v>
      </c>
      <c r="H26">
        <v>3</v>
      </c>
      <c r="I26" t="s">
        <v>275</v>
      </c>
      <c r="J26" t="s">
        <v>3</v>
      </c>
      <c r="K26" t="s">
        <v>276</v>
      </c>
      <c r="L26">
        <v>1348</v>
      </c>
      <c r="N26">
        <v>1009</v>
      </c>
      <c r="O26" t="s">
        <v>61</v>
      </c>
      <c r="P26" t="s">
        <v>61</v>
      </c>
      <c r="Q26">
        <v>1000</v>
      </c>
      <c r="X26">
        <v>0.224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0.224</v>
      </c>
      <c r="AH26">
        <v>3</v>
      </c>
      <c r="AI26">
        <v>-1</v>
      </c>
      <c r="AJ26" t="s">
        <v>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39107645</v>
      </c>
      <c r="C27">
        <v>39107639</v>
      </c>
      <c r="D27">
        <v>36804545</v>
      </c>
      <c r="E27">
        <v>1</v>
      </c>
      <c r="F27">
        <v>1</v>
      </c>
      <c r="G27">
        <v>1</v>
      </c>
      <c r="H27">
        <v>3</v>
      </c>
      <c r="I27" t="s">
        <v>256</v>
      </c>
      <c r="J27" t="s">
        <v>257</v>
      </c>
      <c r="K27" t="s">
        <v>258</v>
      </c>
      <c r="L27">
        <v>1348</v>
      </c>
      <c r="N27">
        <v>1009</v>
      </c>
      <c r="O27" t="s">
        <v>61</v>
      </c>
      <c r="P27" t="s">
        <v>61</v>
      </c>
      <c r="Q27">
        <v>1000</v>
      </c>
      <c r="X27">
        <v>4.0000000000000001E-3</v>
      </c>
      <c r="Y27">
        <v>11978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4.0000000000000001E-3</v>
      </c>
      <c r="AH27">
        <v>2</v>
      </c>
      <c r="AI27">
        <v>39107645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39107646</v>
      </c>
      <c r="C28">
        <v>39107639</v>
      </c>
      <c r="D28">
        <v>36825632</v>
      </c>
      <c r="E28">
        <v>1</v>
      </c>
      <c r="F28">
        <v>1</v>
      </c>
      <c r="G28">
        <v>1</v>
      </c>
      <c r="H28">
        <v>3</v>
      </c>
      <c r="I28" t="s">
        <v>259</v>
      </c>
      <c r="J28" t="s">
        <v>260</v>
      </c>
      <c r="K28" t="s">
        <v>261</v>
      </c>
      <c r="L28">
        <v>1348</v>
      </c>
      <c r="N28">
        <v>1009</v>
      </c>
      <c r="O28" t="s">
        <v>61</v>
      </c>
      <c r="P28" t="s">
        <v>61</v>
      </c>
      <c r="Q28">
        <v>1000</v>
      </c>
      <c r="X28">
        <v>6.0000000000000001E-3</v>
      </c>
      <c r="Y28">
        <v>8023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6.0000000000000001E-3</v>
      </c>
      <c r="AH28">
        <v>2</v>
      </c>
      <c r="AI28">
        <v>39107646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39107647</v>
      </c>
      <c r="C29">
        <v>39107639</v>
      </c>
      <c r="D29">
        <v>36799076</v>
      </c>
      <c r="E29">
        <v>17</v>
      </c>
      <c r="F29">
        <v>1</v>
      </c>
      <c r="G29">
        <v>1</v>
      </c>
      <c r="H29">
        <v>3</v>
      </c>
      <c r="I29" t="s">
        <v>59</v>
      </c>
      <c r="J29" t="s">
        <v>3</v>
      </c>
      <c r="K29" t="s">
        <v>60</v>
      </c>
      <c r="L29">
        <v>1348</v>
      </c>
      <c r="N29">
        <v>1009</v>
      </c>
      <c r="O29" t="s">
        <v>61</v>
      </c>
      <c r="P29" t="s">
        <v>61</v>
      </c>
      <c r="Q29">
        <v>1000</v>
      </c>
      <c r="X29">
        <v>0.184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3</v>
      </c>
      <c r="AG29">
        <v>0.184</v>
      </c>
      <c r="AH29">
        <v>2</v>
      </c>
      <c r="AI29">
        <v>39107647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39109789</v>
      </c>
      <c r="C30">
        <v>39109788</v>
      </c>
      <c r="D30">
        <v>37071037</v>
      </c>
      <c r="E30">
        <v>1</v>
      </c>
      <c r="F30">
        <v>1</v>
      </c>
      <c r="G30">
        <v>1</v>
      </c>
      <c r="H30">
        <v>1</v>
      </c>
      <c r="I30" t="s">
        <v>262</v>
      </c>
      <c r="J30" t="s">
        <v>3</v>
      </c>
      <c r="K30" t="s">
        <v>263</v>
      </c>
      <c r="L30">
        <v>1191</v>
      </c>
      <c r="N30">
        <v>1013</v>
      </c>
      <c r="O30" t="s">
        <v>220</v>
      </c>
      <c r="P30" t="s">
        <v>220</v>
      </c>
      <c r="Q30">
        <v>1</v>
      </c>
      <c r="X30">
        <v>16.32</v>
      </c>
      <c r="Y30">
        <v>0</v>
      </c>
      <c r="Z30">
        <v>0</v>
      </c>
      <c r="AA30">
        <v>0</v>
      </c>
      <c r="AB30">
        <v>9.6199999999999992</v>
      </c>
      <c r="AC30">
        <v>0</v>
      </c>
      <c r="AD30">
        <v>1</v>
      </c>
      <c r="AE30">
        <v>1</v>
      </c>
      <c r="AF30" t="s">
        <v>26</v>
      </c>
      <c r="AG30">
        <v>18.767999999999997</v>
      </c>
      <c r="AH30">
        <v>2</v>
      </c>
      <c r="AI30">
        <v>39109789</v>
      </c>
      <c r="AJ30">
        <v>31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39109790</v>
      </c>
      <c r="C31">
        <v>39109788</v>
      </c>
      <c r="D31">
        <v>37064876</v>
      </c>
      <c r="E31">
        <v>1</v>
      </c>
      <c r="F31">
        <v>1</v>
      </c>
      <c r="G31">
        <v>1</v>
      </c>
      <c r="H31">
        <v>1</v>
      </c>
      <c r="I31" t="s">
        <v>221</v>
      </c>
      <c r="J31" t="s">
        <v>3</v>
      </c>
      <c r="K31" t="s">
        <v>222</v>
      </c>
      <c r="L31">
        <v>1191</v>
      </c>
      <c r="N31">
        <v>1013</v>
      </c>
      <c r="O31" t="s">
        <v>220</v>
      </c>
      <c r="P31" t="s">
        <v>220</v>
      </c>
      <c r="Q31">
        <v>1</v>
      </c>
      <c r="X31">
        <v>0.03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2</v>
      </c>
      <c r="AF31" t="s">
        <v>25</v>
      </c>
      <c r="AG31">
        <v>3.7499999999999999E-2</v>
      </c>
      <c r="AH31">
        <v>2</v>
      </c>
      <c r="AI31">
        <v>39109790</v>
      </c>
      <c r="AJ31">
        <v>32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39109791</v>
      </c>
      <c r="C32">
        <v>39109788</v>
      </c>
      <c r="D32">
        <v>36882452</v>
      </c>
      <c r="E32">
        <v>1</v>
      </c>
      <c r="F32">
        <v>1</v>
      </c>
      <c r="G32">
        <v>1</v>
      </c>
      <c r="H32">
        <v>2</v>
      </c>
      <c r="I32" t="s">
        <v>223</v>
      </c>
      <c r="J32" t="s">
        <v>224</v>
      </c>
      <c r="K32" t="s">
        <v>225</v>
      </c>
      <c r="L32">
        <v>1368</v>
      </c>
      <c r="N32">
        <v>1011</v>
      </c>
      <c r="O32" t="s">
        <v>226</v>
      </c>
      <c r="P32" t="s">
        <v>226</v>
      </c>
      <c r="Q32">
        <v>1</v>
      </c>
      <c r="X32">
        <v>0.01</v>
      </c>
      <c r="Y32">
        <v>0</v>
      </c>
      <c r="Z32">
        <v>31.26</v>
      </c>
      <c r="AA32">
        <v>13.5</v>
      </c>
      <c r="AB32">
        <v>0</v>
      </c>
      <c r="AC32">
        <v>0</v>
      </c>
      <c r="AD32">
        <v>1</v>
      </c>
      <c r="AE32">
        <v>0</v>
      </c>
      <c r="AF32" t="s">
        <v>25</v>
      </c>
      <c r="AG32">
        <v>1.2500000000000001E-2</v>
      </c>
      <c r="AH32">
        <v>2</v>
      </c>
      <c r="AI32">
        <v>39109791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39109792</v>
      </c>
      <c r="C33">
        <v>39109788</v>
      </c>
      <c r="D33">
        <v>36883554</v>
      </c>
      <c r="E33">
        <v>1</v>
      </c>
      <c r="F33">
        <v>1</v>
      </c>
      <c r="G33">
        <v>1</v>
      </c>
      <c r="H33">
        <v>2</v>
      </c>
      <c r="I33" t="s">
        <v>229</v>
      </c>
      <c r="J33" t="s">
        <v>230</v>
      </c>
      <c r="K33" t="s">
        <v>231</v>
      </c>
      <c r="L33">
        <v>1368</v>
      </c>
      <c r="N33">
        <v>1011</v>
      </c>
      <c r="O33" t="s">
        <v>226</v>
      </c>
      <c r="P33" t="s">
        <v>226</v>
      </c>
      <c r="Q33">
        <v>1</v>
      </c>
      <c r="X33">
        <v>0.02</v>
      </c>
      <c r="Y33">
        <v>0</v>
      </c>
      <c r="Z33">
        <v>65.709999999999994</v>
      </c>
      <c r="AA33">
        <v>11.6</v>
      </c>
      <c r="AB33">
        <v>0</v>
      </c>
      <c r="AC33">
        <v>0</v>
      </c>
      <c r="AD33">
        <v>1</v>
      </c>
      <c r="AE33">
        <v>0</v>
      </c>
      <c r="AF33" t="s">
        <v>25</v>
      </c>
      <c r="AG33">
        <v>2.5000000000000001E-2</v>
      </c>
      <c r="AH33">
        <v>2</v>
      </c>
      <c r="AI33">
        <v>39109792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39109793</v>
      </c>
      <c r="C34">
        <v>39109788</v>
      </c>
      <c r="D34">
        <v>36805524</v>
      </c>
      <c r="E34">
        <v>1</v>
      </c>
      <c r="F34">
        <v>1</v>
      </c>
      <c r="G34">
        <v>1</v>
      </c>
      <c r="H34">
        <v>3</v>
      </c>
      <c r="I34" t="s">
        <v>264</v>
      </c>
      <c r="J34" t="s">
        <v>265</v>
      </c>
      <c r="K34" t="s">
        <v>266</v>
      </c>
      <c r="L34">
        <v>1346</v>
      </c>
      <c r="N34">
        <v>1009</v>
      </c>
      <c r="O34" t="s">
        <v>267</v>
      </c>
      <c r="P34" t="s">
        <v>267</v>
      </c>
      <c r="Q34">
        <v>1</v>
      </c>
      <c r="X34">
        <v>0.2</v>
      </c>
      <c r="Y34">
        <v>1.82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0.2</v>
      </c>
      <c r="AH34">
        <v>2</v>
      </c>
      <c r="AI34">
        <v>39109793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ROW(Source!A33)</f>
        <v>33</v>
      </c>
      <c r="B35">
        <v>39109794</v>
      </c>
      <c r="C35">
        <v>39109788</v>
      </c>
      <c r="D35">
        <v>36797079</v>
      </c>
      <c r="E35">
        <v>17</v>
      </c>
      <c r="F35">
        <v>1</v>
      </c>
      <c r="G35">
        <v>1</v>
      </c>
      <c r="H35">
        <v>3</v>
      </c>
      <c r="I35" t="s">
        <v>74</v>
      </c>
      <c r="J35" t="s">
        <v>3</v>
      </c>
      <c r="K35" t="s">
        <v>75</v>
      </c>
      <c r="L35">
        <v>1348</v>
      </c>
      <c r="N35">
        <v>1009</v>
      </c>
      <c r="O35" t="s">
        <v>61</v>
      </c>
      <c r="P35" t="s">
        <v>61</v>
      </c>
      <c r="Q35">
        <v>1000</v>
      </c>
      <c r="X35">
        <v>0.02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3</v>
      </c>
      <c r="AG35">
        <v>0.02</v>
      </c>
      <c r="AH35">
        <v>2</v>
      </c>
      <c r="AI35">
        <v>39109794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39107651</v>
      </c>
      <c r="C36">
        <v>39107650</v>
      </c>
      <c r="D36">
        <v>37072767</v>
      </c>
      <c r="E36">
        <v>1</v>
      </c>
      <c r="F36">
        <v>1</v>
      </c>
      <c r="G36">
        <v>1</v>
      </c>
      <c r="H36">
        <v>1</v>
      </c>
      <c r="I36" t="s">
        <v>268</v>
      </c>
      <c r="J36" t="s">
        <v>3</v>
      </c>
      <c r="K36" t="s">
        <v>269</v>
      </c>
      <c r="L36">
        <v>1191</v>
      </c>
      <c r="N36">
        <v>1013</v>
      </c>
      <c r="O36" t="s">
        <v>220</v>
      </c>
      <c r="P36" t="s">
        <v>220</v>
      </c>
      <c r="Q36">
        <v>1</v>
      </c>
      <c r="X36">
        <v>166.47</v>
      </c>
      <c r="Y36">
        <v>0</v>
      </c>
      <c r="Z36">
        <v>0</v>
      </c>
      <c r="AA36">
        <v>0</v>
      </c>
      <c r="AB36">
        <v>9.18</v>
      </c>
      <c r="AC36">
        <v>0</v>
      </c>
      <c r="AD36">
        <v>1</v>
      </c>
      <c r="AE36">
        <v>1</v>
      </c>
      <c r="AF36" t="s">
        <v>26</v>
      </c>
      <c r="AG36">
        <v>191.44049999999999</v>
      </c>
      <c r="AH36">
        <v>2</v>
      </c>
      <c r="AI36">
        <v>39107651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39107652</v>
      </c>
      <c r="C37">
        <v>39107650</v>
      </c>
      <c r="D37">
        <v>37064876</v>
      </c>
      <c r="E37">
        <v>1</v>
      </c>
      <c r="F37">
        <v>1</v>
      </c>
      <c r="G37">
        <v>1</v>
      </c>
      <c r="H37">
        <v>1</v>
      </c>
      <c r="I37" t="s">
        <v>221</v>
      </c>
      <c r="J37" t="s">
        <v>3</v>
      </c>
      <c r="K37" t="s">
        <v>222</v>
      </c>
      <c r="L37">
        <v>1191</v>
      </c>
      <c r="N37">
        <v>1013</v>
      </c>
      <c r="O37" t="s">
        <v>220</v>
      </c>
      <c r="P37" t="s">
        <v>220</v>
      </c>
      <c r="Q37">
        <v>1</v>
      </c>
      <c r="X37">
        <v>0.57999999999999996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25</v>
      </c>
      <c r="AG37">
        <v>0.72499999999999998</v>
      </c>
      <c r="AH37">
        <v>2</v>
      </c>
      <c r="AI37">
        <v>39107652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39107653</v>
      </c>
      <c r="C38">
        <v>39107650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223</v>
      </c>
      <c r="J38" t="s">
        <v>224</v>
      </c>
      <c r="K38" t="s">
        <v>225</v>
      </c>
      <c r="L38">
        <v>1368</v>
      </c>
      <c r="N38">
        <v>1011</v>
      </c>
      <c r="O38" t="s">
        <v>226</v>
      </c>
      <c r="P38" t="s">
        <v>226</v>
      </c>
      <c r="Q38">
        <v>1</v>
      </c>
      <c r="X38">
        <v>0.08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25</v>
      </c>
      <c r="AG38">
        <v>0.1</v>
      </c>
      <c r="AH38">
        <v>2</v>
      </c>
      <c r="AI38">
        <v>39107653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39107654</v>
      </c>
      <c r="C39">
        <v>39107650</v>
      </c>
      <c r="D39">
        <v>36883554</v>
      </c>
      <c r="E39">
        <v>1</v>
      </c>
      <c r="F39">
        <v>1</v>
      </c>
      <c r="G39">
        <v>1</v>
      </c>
      <c r="H39">
        <v>2</v>
      </c>
      <c r="I39" t="s">
        <v>229</v>
      </c>
      <c r="J39" t="s">
        <v>230</v>
      </c>
      <c r="K39" t="s">
        <v>231</v>
      </c>
      <c r="L39">
        <v>1368</v>
      </c>
      <c r="N39">
        <v>1011</v>
      </c>
      <c r="O39" t="s">
        <v>226</v>
      </c>
      <c r="P39" t="s">
        <v>226</v>
      </c>
      <c r="Q39">
        <v>1</v>
      </c>
      <c r="X39">
        <v>0.5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25</v>
      </c>
      <c r="AG39">
        <v>0.625</v>
      </c>
      <c r="AH39">
        <v>2</v>
      </c>
      <c r="AI39">
        <v>39107654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39107655</v>
      </c>
      <c r="C40">
        <v>39107650</v>
      </c>
      <c r="D40">
        <v>36797506</v>
      </c>
      <c r="E40">
        <v>17</v>
      </c>
      <c r="F40">
        <v>1</v>
      </c>
      <c r="G40">
        <v>1</v>
      </c>
      <c r="H40">
        <v>3</v>
      </c>
      <c r="I40" t="s">
        <v>84</v>
      </c>
      <c r="J40" t="s">
        <v>3</v>
      </c>
      <c r="K40" t="s">
        <v>85</v>
      </c>
      <c r="L40">
        <v>1327</v>
      </c>
      <c r="N40">
        <v>1005</v>
      </c>
      <c r="O40" t="s">
        <v>33</v>
      </c>
      <c r="P40" t="s">
        <v>33</v>
      </c>
      <c r="Q40">
        <v>1</v>
      </c>
      <c r="X40">
        <v>105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105</v>
      </c>
      <c r="AH40">
        <v>2</v>
      </c>
      <c r="AI40">
        <v>39107655</v>
      </c>
      <c r="AJ40">
        <v>42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ROW(Source!A36)</f>
        <v>36</v>
      </c>
      <c r="B41">
        <v>39107656</v>
      </c>
      <c r="C41">
        <v>39107650</v>
      </c>
      <c r="D41">
        <v>36805524</v>
      </c>
      <c r="E41">
        <v>1</v>
      </c>
      <c r="F41">
        <v>1</v>
      </c>
      <c r="G41">
        <v>1</v>
      </c>
      <c r="H41">
        <v>3</v>
      </c>
      <c r="I41" t="s">
        <v>264</v>
      </c>
      <c r="J41" t="s">
        <v>265</v>
      </c>
      <c r="K41" t="s">
        <v>266</v>
      </c>
      <c r="L41">
        <v>1346</v>
      </c>
      <c r="N41">
        <v>1009</v>
      </c>
      <c r="O41" t="s">
        <v>267</v>
      </c>
      <c r="P41" t="s">
        <v>267</v>
      </c>
      <c r="Q41">
        <v>1</v>
      </c>
      <c r="X41">
        <v>0.2</v>
      </c>
      <c r="Y41">
        <v>1.82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0.2</v>
      </c>
      <c r="AH41">
        <v>2</v>
      </c>
      <c r="AI41">
        <v>39107656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ROW(Source!A36)</f>
        <v>36</v>
      </c>
      <c r="B42">
        <v>39107657</v>
      </c>
      <c r="C42">
        <v>39107650</v>
      </c>
      <c r="D42">
        <v>36797439</v>
      </c>
      <c r="E42">
        <v>17</v>
      </c>
      <c r="F42">
        <v>1</v>
      </c>
      <c r="G42">
        <v>1</v>
      </c>
      <c r="H42">
        <v>3</v>
      </c>
      <c r="I42" t="s">
        <v>277</v>
      </c>
      <c r="J42" t="s">
        <v>3</v>
      </c>
      <c r="K42" t="s">
        <v>278</v>
      </c>
      <c r="L42">
        <v>1346</v>
      </c>
      <c r="N42">
        <v>1009</v>
      </c>
      <c r="O42" t="s">
        <v>267</v>
      </c>
      <c r="P42" t="s">
        <v>267</v>
      </c>
      <c r="Q42">
        <v>1</v>
      </c>
      <c r="X42">
        <v>30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3</v>
      </c>
      <c r="AG42">
        <v>30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39107658</v>
      </c>
      <c r="C43">
        <v>39107650</v>
      </c>
      <c r="D43">
        <v>36797079</v>
      </c>
      <c r="E43">
        <v>17</v>
      </c>
      <c r="F43">
        <v>1</v>
      </c>
      <c r="G43">
        <v>1</v>
      </c>
      <c r="H43">
        <v>3</v>
      </c>
      <c r="I43" t="s">
        <v>74</v>
      </c>
      <c r="J43" t="s">
        <v>3</v>
      </c>
      <c r="K43" t="s">
        <v>75</v>
      </c>
      <c r="L43">
        <v>1348</v>
      </c>
      <c r="N43">
        <v>1009</v>
      </c>
      <c r="O43" t="s">
        <v>61</v>
      </c>
      <c r="P43" t="s">
        <v>61</v>
      </c>
      <c r="Q43">
        <v>1000</v>
      </c>
      <c r="X43">
        <v>8.8999999999999999E-3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3</v>
      </c>
      <c r="AG43">
        <v>8.8999999999999999E-3</v>
      </c>
      <c r="AH43">
        <v>3</v>
      </c>
      <c r="AI43">
        <v>-1</v>
      </c>
      <c r="AJ43" t="s">
        <v>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ROW(Source!A39)</f>
        <v>39</v>
      </c>
      <c r="B44">
        <v>39107663</v>
      </c>
      <c r="C44">
        <v>39107662</v>
      </c>
      <c r="D44">
        <v>37065248</v>
      </c>
      <c r="E44">
        <v>1</v>
      </c>
      <c r="F44">
        <v>1</v>
      </c>
      <c r="G44">
        <v>1</v>
      </c>
      <c r="H44">
        <v>1</v>
      </c>
      <c r="I44" t="s">
        <v>254</v>
      </c>
      <c r="J44" t="s">
        <v>3</v>
      </c>
      <c r="K44" t="s">
        <v>255</v>
      </c>
      <c r="L44">
        <v>1191</v>
      </c>
      <c r="N44">
        <v>1013</v>
      </c>
      <c r="O44" t="s">
        <v>220</v>
      </c>
      <c r="P44" t="s">
        <v>220</v>
      </c>
      <c r="Q44">
        <v>1</v>
      </c>
      <c r="X44">
        <v>6.7</v>
      </c>
      <c r="Y44">
        <v>0</v>
      </c>
      <c r="Z44">
        <v>0</v>
      </c>
      <c r="AA44">
        <v>0</v>
      </c>
      <c r="AB44">
        <v>8.5299999999999994</v>
      </c>
      <c r="AC44">
        <v>0</v>
      </c>
      <c r="AD44">
        <v>1</v>
      </c>
      <c r="AE44">
        <v>1</v>
      </c>
      <c r="AF44" t="s">
        <v>26</v>
      </c>
      <c r="AG44">
        <v>7.7049999999999992</v>
      </c>
      <c r="AH44">
        <v>2</v>
      </c>
      <c r="AI44">
        <v>39107663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ROW(Source!A39)</f>
        <v>39</v>
      </c>
      <c r="B45">
        <v>39107664</v>
      </c>
      <c r="C45">
        <v>39107662</v>
      </c>
      <c r="D45">
        <v>36796979</v>
      </c>
      <c r="E45">
        <v>17</v>
      </c>
      <c r="F45">
        <v>1</v>
      </c>
      <c r="G45">
        <v>1</v>
      </c>
      <c r="H45">
        <v>3</v>
      </c>
      <c r="I45" t="s">
        <v>94</v>
      </c>
      <c r="J45" t="s">
        <v>3</v>
      </c>
      <c r="K45" t="s">
        <v>95</v>
      </c>
      <c r="L45">
        <v>2233</v>
      </c>
      <c r="N45">
        <v>1013</v>
      </c>
      <c r="O45" t="s">
        <v>96</v>
      </c>
      <c r="P45" t="s">
        <v>96</v>
      </c>
      <c r="Q45">
        <v>1</v>
      </c>
      <c r="X45">
        <v>100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100</v>
      </c>
      <c r="AH45">
        <v>2</v>
      </c>
      <c r="AI45">
        <v>39107664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ROW(Source!A39)</f>
        <v>39</v>
      </c>
      <c r="B46">
        <v>39107665</v>
      </c>
      <c r="C46">
        <v>39107662</v>
      </c>
      <c r="D46">
        <v>36836997</v>
      </c>
      <c r="E46">
        <v>1</v>
      </c>
      <c r="F46">
        <v>1</v>
      </c>
      <c r="G46">
        <v>1</v>
      </c>
      <c r="H46">
        <v>3</v>
      </c>
      <c r="I46" t="s">
        <v>270</v>
      </c>
      <c r="J46" t="s">
        <v>271</v>
      </c>
      <c r="K46" t="s">
        <v>272</v>
      </c>
      <c r="L46">
        <v>1346</v>
      </c>
      <c r="N46">
        <v>1009</v>
      </c>
      <c r="O46" t="s">
        <v>267</v>
      </c>
      <c r="P46" t="s">
        <v>267</v>
      </c>
      <c r="Q46">
        <v>1</v>
      </c>
      <c r="X46">
        <v>0.8</v>
      </c>
      <c r="Y46">
        <v>45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0.8</v>
      </c>
      <c r="AH46">
        <v>2</v>
      </c>
      <c r="AI46">
        <v>39107665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ГарифуллинаЕФ</cp:lastModifiedBy>
  <cp:lastPrinted>2018-07-23T11:40:25Z</cp:lastPrinted>
  <dcterms:created xsi:type="dcterms:W3CDTF">2018-04-05T12:42:38Z</dcterms:created>
  <dcterms:modified xsi:type="dcterms:W3CDTF">2018-07-23T11:40:27Z</dcterms:modified>
</cp:coreProperties>
</file>