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ФЕР'!$31:$31</definedName>
    <definedName name="_xlnm.Print_Area" localSheetId="0">'Смета 12 гр. по ФЕР'!$A$1:$L$94</definedName>
  </definedNames>
  <calcPr calcId="144525"/>
</workbook>
</file>

<file path=xl/calcChain.xml><?xml version="1.0" encoding="utf-8"?>
<calcChain xmlns="http://schemas.openxmlformats.org/spreadsheetml/2006/main">
  <c r="AD15" i="5" l="1"/>
  <c r="C86" i="5"/>
  <c r="C85" i="5"/>
  <c r="C84" i="5"/>
  <c r="Z81" i="5"/>
  <c r="Y81" i="5"/>
  <c r="X81" i="5"/>
  <c r="J80" i="5"/>
  <c r="Z80" i="5"/>
  <c r="Y80" i="5"/>
  <c r="X80" i="5"/>
  <c r="F80" i="5"/>
  <c r="D80" i="5"/>
  <c r="C80" i="5"/>
  <c r="B80" i="5"/>
  <c r="A80" i="5"/>
  <c r="J79" i="5"/>
  <c r="Z79" i="5"/>
  <c r="Y79" i="5"/>
  <c r="X79" i="5"/>
  <c r="F79" i="5"/>
  <c r="D79" i="5"/>
  <c r="C79" i="5"/>
  <c r="B79" i="5"/>
  <c r="A79" i="5"/>
  <c r="G78" i="5"/>
  <c r="E78" i="5"/>
  <c r="J77" i="5"/>
  <c r="F77" i="5"/>
  <c r="E77" i="5"/>
  <c r="J76" i="5"/>
  <c r="F76" i="5"/>
  <c r="E76" i="5"/>
  <c r="J75" i="5"/>
  <c r="G75" i="5"/>
  <c r="F75" i="5"/>
  <c r="J74" i="5"/>
  <c r="G74" i="5"/>
  <c r="F74" i="5"/>
  <c r="J73" i="5"/>
  <c r="G73" i="5"/>
  <c r="F73" i="5"/>
  <c r="F71" i="5"/>
  <c r="D71" i="5"/>
  <c r="I71" i="5"/>
  <c r="C71" i="5"/>
  <c r="B71" i="5"/>
  <c r="A71" i="5"/>
  <c r="Z70" i="5"/>
  <c r="Y70" i="5"/>
  <c r="X70" i="5"/>
  <c r="J69" i="5"/>
  <c r="Z69" i="5"/>
  <c r="Y69" i="5"/>
  <c r="X69" i="5"/>
  <c r="F69" i="5"/>
  <c r="D69" i="5"/>
  <c r="C69" i="5"/>
  <c r="B69" i="5"/>
  <c r="A69" i="5"/>
  <c r="G68" i="5"/>
  <c r="E68" i="5"/>
  <c r="J67" i="5"/>
  <c r="F67" i="5"/>
  <c r="E67" i="5"/>
  <c r="J66" i="5"/>
  <c r="F66" i="5"/>
  <c r="E66" i="5"/>
  <c r="J65" i="5"/>
  <c r="G65" i="5"/>
  <c r="F65" i="5"/>
  <c r="J64" i="5"/>
  <c r="G64" i="5"/>
  <c r="F64" i="5"/>
  <c r="J63" i="5"/>
  <c r="G63" i="5"/>
  <c r="F63" i="5"/>
  <c r="J62" i="5"/>
  <c r="G62" i="5"/>
  <c r="F62" i="5"/>
  <c r="F60" i="5"/>
  <c r="D60" i="5"/>
  <c r="I60" i="5"/>
  <c r="C60" i="5"/>
  <c r="B60" i="5"/>
  <c r="A60" i="5"/>
  <c r="Z59" i="5"/>
  <c r="Y59" i="5"/>
  <c r="X59" i="5"/>
  <c r="G58" i="5"/>
  <c r="E58" i="5"/>
  <c r="J57" i="5"/>
  <c r="F57" i="5"/>
  <c r="E57" i="5"/>
  <c r="J56" i="5"/>
  <c r="F56" i="5"/>
  <c r="E56" i="5"/>
  <c r="J55" i="5"/>
  <c r="G55" i="5"/>
  <c r="F55" i="5"/>
  <c r="J54" i="5"/>
  <c r="G54" i="5"/>
  <c r="F54" i="5"/>
  <c r="J53" i="5"/>
  <c r="G53" i="5"/>
  <c r="F53" i="5"/>
  <c r="J52" i="5"/>
  <c r="G52" i="5"/>
  <c r="F52" i="5"/>
  <c r="F50" i="5"/>
  <c r="D50" i="5"/>
  <c r="I50" i="5"/>
  <c r="C50" i="5"/>
  <c r="B50" i="5"/>
  <c r="A50" i="5"/>
  <c r="Z49" i="5"/>
  <c r="Y49" i="5"/>
  <c r="X49" i="5"/>
  <c r="G48" i="5"/>
  <c r="E48" i="5"/>
  <c r="J47" i="5"/>
  <c r="E47" i="5"/>
  <c r="J46" i="5"/>
  <c r="E46" i="5"/>
  <c r="J45" i="5"/>
  <c r="G45" i="5"/>
  <c r="F45" i="5"/>
  <c r="J44" i="5"/>
  <c r="G44" i="5"/>
  <c r="F44" i="5"/>
  <c r="J43" i="5"/>
  <c r="G43" i="5"/>
  <c r="F43" i="5"/>
  <c r="F41" i="5"/>
  <c r="D41" i="5"/>
  <c r="I41" i="5"/>
  <c r="C41" i="5"/>
  <c r="B41" i="5"/>
  <c r="A41" i="5"/>
  <c r="Z40" i="5"/>
  <c r="Y40" i="5"/>
  <c r="X40" i="5"/>
  <c r="G39" i="5"/>
  <c r="E39" i="5"/>
  <c r="J38" i="5"/>
  <c r="E38" i="5"/>
  <c r="J37" i="5"/>
  <c r="E37" i="5"/>
  <c r="J36" i="5"/>
  <c r="G36" i="5"/>
  <c r="F36" i="5"/>
  <c r="F34" i="5"/>
  <c r="D34" i="5"/>
  <c r="I34" i="5"/>
  <c r="C34" i="5"/>
  <c r="B34" i="5"/>
  <c r="A34" i="5"/>
  <c r="A33" i="5"/>
  <c r="A1" i="5"/>
  <c r="G24" i="5" l="1"/>
  <c r="G25" i="5"/>
  <c r="G23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AC24" i="1"/>
  <c r="CQ24" i="1" s="1"/>
  <c r="P24" i="1" s="1"/>
  <c r="AE24" i="1"/>
  <c r="AD24" i="1" s="1"/>
  <c r="CR24" i="1" s="1"/>
  <c r="Q24" i="1" s="1"/>
  <c r="AF24" i="1"/>
  <c r="CT24" i="1" s="1"/>
  <c r="S24" i="1" s="1"/>
  <c r="AG24" i="1"/>
  <c r="CU24" i="1" s="1"/>
  <c r="AH24" i="1"/>
  <c r="AI24" i="1"/>
  <c r="AJ24" i="1"/>
  <c r="CX24" i="1" s="1"/>
  <c r="W24" i="1" s="1"/>
  <c r="CV24" i="1"/>
  <c r="U24" i="1" s="1"/>
  <c r="CW24" i="1"/>
  <c r="V24" i="1" s="1"/>
  <c r="FR24" i="1"/>
  <c r="GL24" i="1"/>
  <c r="GO24" i="1"/>
  <c r="CC41" i="1" s="1"/>
  <c r="GP24" i="1"/>
  <c r="CD41" i="1" s="1"/>
  <c r="CD22" i="1" s="1"/>
  <c r="GV24" i="1"/>
  <c r="GX24" i="1"/>
  <c r="C25" i="1"/>
  <c r="D25" i="1"/>
  <c r="I25" i="1"/>
  <c r="AC25" i="1"/>
  <c r="CQ25" i="1" s="1"/>
  <c r="P25" i="1" s="1"/>
  <c r="AE25" i="1"/>
  <c r="AD25" i="1" s="1"/>
  <c r="CR25" i="1" s="1"/>
  <c r="Q25" i="1" s="1"/>
  <c r="AF25" i="1"/>
  <c r="AG25" i="1"/>
  <c r="CU25" i="1" s="1"/>
  <c r="T25" i="1" s="1"/>
  <c r="AH25" i="1"/>
  <c r="AI25" i="1"/>
  <c r="AJ25" i="1"/>
  <c r="CV25" i="1"/>
  <c r="U25" i="1" s="1"/>
  <c r="CW25" i="1"/>
  <c r="V25" i="1" s="1"/>
  <c r="CX25" i="1"/>
  <c r="W25" i="1" s="1"/>
  <c r="FR25" i="1"/>
  <c r="GL25" i="1"/>
  <c r="GO25" i="1"/>
  <c r="GP25" i="1"/>
  <c r="FV41" i="1" s="1"/>
  <c r="FV22" i="1" s="1"/>
  <c r="GV25" i="1"/>
  <c r="GX25" i="1"/>
  <c r="C26" i="1"/>
  <c r="D26" i="1"/>
  <c r="I26" i="1"/>
  <c r="CX3" i="3" s="1"/>
  <c r="AC26" i="1"/>
  <c r="AD26" i="1"/>
  <c r="CR26" i="1" s="1"/>
  <c r="Q26" i="1" s="1"/>
  <c r="AE26" i="1"/>
  <c r="AF26" i="1"/>
  <c r="AG26" i="1"/>
  <c r="CU26" i="1" s="1"/>
  <c r="T26" i="1" s="1"/>
  <c r="AH26" i="1"/>
  <c r="CV26" i="1" s="1"/>
  <c r="U26" i="1" s="1"/>
  <c r="AI26" i="1"/>
  <c r="AJ26" i="1"/>
  <c r="CX26" i="1" s="1"/>
  <c r="W26" i="1" s="1"/>
  <c r="CQ26" i="1"/>
  <c r="P26" i="1" s="1"/>
  <c r="CS26" i="1"/>
  <c r="R26" i="1" s="1"/>
  <c r="GK26" i="1" s="1"/>
  <c r="CT26" i="1"/>
  <c r="S26" i="1" s="1"/>
  <c r="CW26" i="1"/>
  <c r="V26" i="1" s="1"/>
  <c r="FR26" i="1"/>
  <c r="GL26" i="1"/>
  <c r="GO26" i="1"/>
  <c r="GP26" i="1"/>
  <c r="GV26" i="1"/>
  <c r="GX26" i="1"/>
  <c r="C27" i="1"/>
  <c r="D27" i="1"/>
  <c r="I27" i="1"/>
  <c r="AC27" i="1"/>
  <c r="AD27" i="1"/>
  <c r="AE27" i="1"/>
  <c r="AF27" i="1"/>
  <c r="AG27" i="1"/>
  <c r="CU27" i="1" s="1"/>
  <c r="T27" i="1" s="1"/>
  <c r="AH27" i="1"/>
  <c r="CV27" i="1" s="1"/>
  <c r="U27" i="1" s="1"/>
  <c r="AI27" i="1"/>
  <c r="CW27" i="1" s="1"/>
  <c r="V27" i="1" s="1"/>
  <c r="AJ27" i="1"/>
  <c r="CQ27" i="1"/>
  <c r="P27" i="1" s="1"/>
  <c r="CT27" i="1"/>
  <c r="S27" i="1" s="1"/>
  <c r="K43" i="5" s="1"/>
  <c r="CX27" i="1"/>
  <c r="W27" i="1" s="1"/>
  <c r="FR27" i="1"/>
  <c r="FQ41" i="1" s="1"/>
  <c r="GL27" i="1"/>
  <c r="GO27" i="1"/>
  <c r="GP27" i="1"/>
  <c r="GV27" i="1"/>
  <c r="GX27" i="1" s="1"/>
  <c r="C28" i="1"/>
  <c r="D28" i="1"/>
  <c r="I28" i="1"/>
  <c r="AC28" i="1"/>
  <c r="AE28" i="1"/>
  <c r="AD28" i="1" s="1"/>
  <c r="AB28" i="1" s="1"/>
  <c r="AF28" i="1"/>
  <c r="CT28" i="1" s="1"/>
  <c r="S28" i="1" s="1"/>
  <c r="AG28" i="1"/>
  <c r="AH28" i="1"/>
  <c r="CV28" i="1" s="1"/>
  <c r="AI28" i="1"/>
  <c r="AJ28" i="1"/>
  <c r="CX28" i="1" s="1"/>
  <c r="W28" i="1" s="1"/>
  <c r="CQ28" i="1"/>
  <c r="CU28" i="1"/>
  <c r="CW28" i="1"/>
  <c r="V28" i="1" s="1"/>
  <c r="FR28" i="1"/>
  <c r="GL28" i="1"/>
  <c r="GO28" i="1"/>
  <c r="GP28" i="1"/>
  <c r="GV28" i="1"/>
  <c r="GX28" i="1" s="1"/>
  <c r="C29" i="1"/>
  <c r="D29" i="1"/>
  <c r="I29" i="1"/>
  <c r="AC29" i="1"/>
  <c r="AE29" i="1"/>
  <c r="AF29" i="1"/>
  <c r="AG29" i="1"/>
  <c r="CU29" i="1" s="1"/>
  <c r="T29" i="1" s="1"/>
  <c r="AH29" i="1"/>
  <c r="AI29" i="1"/>
  <c r="CW29" i="1" s="1"/>
  <c r="V29" i="1" s="1"/>
  <c r="AJ29" i="1"/>
  <c r="CX29" i="1" s="1"/>
  <c r="W29" i="1" s="1"/>
  <c r="CV29" i="1"/>
  <c r="U29" i="1" s="1"/>
  <c r="FR29" i="1"/>
  <c r="GL29" i="1"/>
  <c r="GO29" i="1"/>
  <c r="GP29" i="1"/>
  <c r="GV29" i="1"/>
  <c r="GX29" i="1" s="1"/>
  <c r="C30" i="1"/>
  <c r="D30" i="1"/>
  <c r="I30" i="1"/>
  <c r="AC30" i="1"/>
  <c r="AE30" i="1"/>
  <c r="AD30" i="1" s="1"/>
  <c r="CR30" i="1" s="1"/>
  <c r="Q30" i="1" s="1"/>
  <c r="AF30" i="1"/>
  <c r="CT30" i="1" s="1"/>
  <c r="S30" i="1" s="1"/>
  <c r="AG30" i="1"/>
  <c r="CU30" i="1" s="1"/>
  <c r="T30" i="1" s="1"/>
  <c r="AH30" i="1"/>
  <c r="CV30" i="1" s="1"/>
  <c r="AI30" i="1"/>
  <c r="AJ30" i="1"/>
  <c r="CX30" i="1" s="1"/>
  <c r="W30" i="1" s="1"/>
  <c r="CQ30" i="1"/>
  <c r="P30" i="1" s="1"/>
  <c r="CS30" i="1"/>
  <c r="CW30" i="1"/>
  <c r="V30" i="1" s="1"/>
  <c r="FR30" i="1"/>
  <c r="GL30" i="1"/>
  <c r="GO30" i="1"/>
  <c r="GP30" i="1"/>
  <c r="GV30" i="1"/>
  <c r="GX30" i="1" s="1"/>
  <c r="C31" i="1"/>
  <c r="D31" i="1"/>
  <c r="I31" i="1"/>
  <c r="AC31" i="1"/>
  <c r="AE31" i="1"/>
  <c r="AF31" i="1"/>
  <c r="AG31" i="1"/>
  <c r="CU31" i="1" s="1"/>
  <c r="AH31" i="1"/>
  <c r="AI31" i="1"/>
  <c r="CW31" i="1" s="1"/>
  <c r="AJ31" i="1"/>
  <c r="CX31" i="1" s="1"/>
  <c r="W31" i="1" s="1"/>
  <c r="CT31" i="1"/>
  <c r="S31" i="1" s="1"/>
  <c r="K62" i="5" s="1"/>
  <c r="CV31" i="1"/>
  <c r="FR31" i="1"/>
  <c r="GL31" i="1"/>
  <c r="FR41" i="1" s="1"/>
  <c r="EI41" i="1" s="1"/>
  <c r="GO31" i="1"/>
  <c r="GP31" i="1"/>
  <c r="GV31" i="1"/>
  <c r="I32" i="1"/>
  <c r="AC32" i="1"/>
  <c r="AE32" i="1"/>
  <c r="AD32" i="1" s="1"/>
  <c r="CR32" i="1" s="1"/>
  <c r="Q32" i="1" s="1"/>
  <c r="AF32" i="1"/>
  <c r="AG32" i="1"/>
  <c r="AH32" i="1"/>
  <c r="CV32" i="1" s="1"/>
  <c r="AI32" i="1"/>
  <c r="AJ32" i="1"/>
  <c r="CX32" i="1" s="1"/>
  <c r="W32" i="1" s="1"/>
  <c r="CQ32" i="1"/>
  <c r="CU32" i="1"/>
  <c r="CW32" i="1"/>
  <c r="V32" i="1" s="1"/>
  <c r="FR32" i="1"/>
  <c r="GL32" i="1"/>
  <c r="GO32" i="1"/>
  <c r="GP32" i="1"/>
  <c r="GV32" i="1"/>
  <c r="GX32" i="1" s="1"/>
  <c r="AC33" i="1"/>
  <c r="AE33" i="1"/>
  <c r="AD33" i="1" s="1"/>
  <c r="CR33" i="1" s="1"/>
  <c r="AF33" i="1"/>
  <c r="AG33" i="1"/>
  <c r="CU33" i="1" s="1"/>
  <c r="AH33" i="1"/>
  <c r="AI33" i="1"/>
  <c r="CW33" i="1" s="1"/>
  <c r="AJ33" i="1"/>
  <c r="CT33" i="1"/>
  <c r="CV33" i="1"/>
  <c r="CX33" i="1"/>
  <c r="FR33" i="1"/>
  <c r="GL33" i="1"/>
  <c r="GO33" i="1"/>
  <c r="GP33" i="1"/>
  <c r="GV33" i="1"/>
  <c r="C34" i="1"/>
  <c r="D34" i="1"/>
  <c r="I34" i="1"/>
  <c r="I36" i="1" s="1"/>
  <c r="GX36" i="1" s="1"/>
  <c r="AC34" i="1"/>
  <c r="AE34" i="1"/>
  <c r="AD34" i="1" s="1"/>
  <c r="CR34" i="1" s="1"/>
  <c r="Q34" i="1" s="1"/>
  <c r="AF34" i="1"/>
  <c r="AG34" i="1"/>
  <c r="AH34" i="1"/>
  <c r="CV34" i="1" s="1"/>
  <c r="AI34" i="1"/>
  <c r="AJ34" i="1"/>
  <c r="CX34" i="1" s="1"/>
  <c r="W34" i="1" s="1"/>
  <c r="CQ34" i="1"/>
  <c r="CU34" i="1"/>
  <c r="CW34" i="1"/>
  <c r="V34" i="1" s="1"/>
  <c r="FR34" i="1"/>
  <c r="GL34" i="1"/>
  <c r="GO34" i="1"/>
  <c r="GP34" i="1"/>
  <c r="GV34" i="1"/>
  <c r="GX34" i="1" s="1"/>
  <c r="C35" i="1"/>
  <c r="D35" i="1"/>
  <c r="I35" i="1"/>
  <c r="AC35" i="1"/>
  <c r="AE35" i="1"/>
  <c r="AF35" i="1"/>
  <c r="AG35" i="1"/>
  <c r="CU35" i="1" s="1"/>
  <c r="T35" i="1" s="1"/>
  <c r="AH35" i="1"/>
  <c r="AI35" i="1"/>
  <c r="CW35" i="1" s="1"/>
  <c r="V35" i="1" s="1"/>
  <c r="AJ35" i="1"/>
  <c r="CX35" i="1" s="1"/>
  <c r="W35" i="1" s="1"/>
  <c r="CV35" i="1"/>
  <c r="U35" i="1" s="1"/>
  <c r="FR35" i="1"/>
  <c r="GL35" i="1"/>
  <c r="GO35" i="1"/>
  <c r="GP35" i="1"/>
  <c r="GV35" i="1"/>
  <c r="GX35" i="1" s="1"/>
  <c r="AC36" i="1"/>
  <c r="AE36" i="1"/>
  <c r="AD36" i="1" s="1"/>
  <c r="CR36" i="1" s="1"/>
  <c r="Q36" i="1" s="1"/>
  <c r="AF36" i="1"/>
  <c r="CT36" i="1" s="1"/>
  <c r="AG36" i="1"/>
  <c r="AH36" i="1"/>
  <c r="CV36" i="1" s="1"/>
  <c r="AI36" i="1"/>
  <c r="CW36" i="1" s="1"/>
  <c r="V36" i="1" s="1"/>
  <c r="AJ36" i="1"/>
  <c r="CX36" i="1" s="1"/>
  <c r="CQ36" i="1"/>
  <c r="CU36" i="1"/>
  <c r="FR36" i="1"/>
  <c r="GL36" i="1"/>
  <c r="BZ41" i="1" s="1"/>
  <c r="GO36" i="1"/>
  <c r="GP36" i="1"/>
  <c r="GV36" i="1"/>
  <c r="AC37" i="1"/>
  <c r="AE37" i="1"/>
  <c r="AF37" i="1"/>
  <c r="AG37" i="1"/>
  <c r="CU37" i="1" s="1"/>
  <c r="AH37" i="1"/>
  <c r="AI37" i="1"/>
  <c r="CW37" i="1" s="1"/>
  <c r="AJ37" i="1"/>
  <c r="CX37" i="1" s="1"/>
  <c r="CV37" i="1"/>
  <c r="FR37" i="1"/>
  <c r="GL37" i="1"/>
  <c r="GO37" i="1"/>
  <c r="GP37" i="1"/>
  <c r="GV37" i="1"/>
  <c r="AC38" i="1"/>
  <c r="CQ38" i="1" s="1"/>
  <c r="AE38" i="1"/>
  <c r="AD38" i="1" s="1"/>
  <c r="CR38" i="1" s="1"/>
  <c r="AF38" i="1"/>
  <c r="AG38" i="1"/>
  <c r="CU38" i="1" s="1"/>
  <c r="AH38" i="1"/>
  <c r="CV38" i="1" s="1"/>
  <c r="AI38" i="1"/>
  <c r="AJ38" i="1"/>
  <c r="CS38" i="1"/>
  <c r="CW38" i="1"/>
  <c r="CX38" i="1"/>
  <c r="FR38" i="1"/>
  <c r="GL38" i="1"/>
  <c r="GO38" i="1"/>
  <c r="GP38" i="1"/>
  <c r="GV38" i="1"/>
  <c r="I39" i="1"/>
  <c r="E80" i="5" s="1"/>
  <c r="AC39" i="1"/>
  <c r="AE39" i="1"/>
  <c r="AD39" i="1" s="1"/>
  <c r="AF39" i="1"/>
  <c r="AG39" i="1"/>
  <c r="CU39" i="1" s="1"/>
  <c r="AH39" i="1"/>
  <c r="CV39" i="1" s="1"/>
  <c r="U39" i="1" s="1"/>
  <c r="AI39" i="1"/>
  <c r="AJ39" i="1"/>
  <c r="CR39" i="1"/>
  <c r="Q39" i="1" s="1"/>
  <c r="CS39" i="1"/>
  <c r="R39" i="1" s="1"/>
  <c r="GK39" i="1" s="1"/>
  <c r="CW39" i="1"/>
  <c r="V39" i="1" s="1"/>
  <c r="CX39" i="1"/>
  <c r="W39" i="1" s="1"/>
  <c r="FR39" i="1"/>
  <c r="GL39" i="1"/>
  <c r="GO39" i="1"/>
  <c r="FU41" i="1" s="1"/>
  <c r="FU22" i="1" s="1"/>
  <c r="GP39" i="1"/>
  <c r="GV39" i="1"/>
  <c r="B41" i="1"/>
  <c r="B22" i="1" s="1"/>
  <c r="C41" i="1"/>
  <c r="C22" i="1" s="1"/>
  <c r="D41" i="1"/>
  <c r="D22" i="1" s="1"/>
  <c r="F41" i="1"/>
  <c r="F22" i="1" s="1"/>
  <c r="G41" i="1"/>
  <c r="BX41" i="1"/>
  <c r="BX22" i="1" s="1"/>
  <c r="CK41" i="1"/>
  <c r="CK22" i="1" s="1"/>
  <c r="CL41" i="1"/>
  <c r="CL22" i="1" s="1"/>
  <c r="ET41" i="1"/>
  <c r="FP41" i="1"/>
  <c r="FP22" i="1" s="1"/>
  <c r="GC41" i="1"/>
  <c r="GC22" i="1" s="1"/>
  <c r="GD41" i="1"/>
  <c r="GD22" i="1" s="1"/>
  <c r="P54" i="1"/>
  <c r="B73" i="1"/>
  <c r="B18" i="1" s="1"/>
  <c r="C73" i="1"/>
  <c r="C18" i="1" s="1"/>
  <c r="D73" i="1"/>
  <c r="D18" i="1" s="1"/>
  <c r="F73" i="1"/>
  <c r="F18" i="1" s="1"/>
  <c r="G73" i="1"/>
  <c r="G18" i="1" s="1"/>
  <c r="FQ22" i="1" l="1"/>
  <c r="EH41" i="1"/>
  <c r="P50" i="1" s="1"/>
  <c r="V16" i="2" s="1"/>
  <c r="V18" i="2" s="1"/>
  <c r="GA41" i="1"/>
  <c r="L49" i="5"/>
  <c r="Q49" i="5" s="1"/>
  <c r="L48" i="5"/>
  <c r="CC22" i="1"/>
  <c r="AT41" i="1"/>
  <c r="W37" i="1"/>
  <c r="S79" i="5"/>
  <c r="S71" i="5"/>
  <c r="H73" i="5"/>
  <c r="U71" i="5"/>
  <c r="W33" i="1"/>
  <c r="EB41" i="1" s="1"/>
  <c r="AB32" i="1"/>
  <c r="T31" i="1"/>
  <c r="CS36" i="1"/>
  <c r="R36" i="1" s="1"/>
  <c r="GK36" i="1" s="1"/>
  <c r="T32" i="1"/>
  <c r="AD29" i="1"/>
  <c r="H54" i="5"/>
  <c r="R54" i="5" s="1"/>
  <c r="G22" i="1"/>
  <c r="A83" i="5"/>
  <c r="U80" i="5"/>
  <c r="S80" i="5"/>
  <c r="BY41" i="1"/>
  <c r="BY22" i="1" s="1"/>
  <c r="P36" i="1"/>
  <c r="L81" i="5"/>
  <c r="Q81" i="5" s="1"/>
  <c r="L78" i="5"/>
  <c r="CS34" i="1"/>
  <c r="R34" i="1" s="1"/>
  <c r="GK34" i="1" s="1"/>
  <c r="U34" i="1"/>
  <c r="CS32" i="1"/>
  <c r="R32" i="1" s="1"/>
  <c r="GK32" i="1" s="1"/>
  <c r="U32" i="1"/>
  <c r="V31" i="1"/>
  <c r="CS31" i="1"/>
  <c r="R31" i="1" s="1"/>
  <c r="H64" i="5"/>
  <c r="R64" i="5" s="1"/>
  <c r="L59" i="5"/>
  <c r="Q59" i="5" s="1"/>
  <c r="L58" i="5"/>
  <c r="CQ29" i="1"/>
  <c r="P29" i="1" s="1"/>
  <c r="H55" i="5"/>
  <c r="CS28" i="1"/>
  <c r="R28" i="1" s="1"/>
  <c r="GK28" i="1" s="1"/>
  <c r="U28" i="1"/>
  <c r="U41" i="5"/>
  <c r="H47" i="5" s="1"/>
  <c r="H43" i="5"/>
  <c r="S41" i="5"/>
  <c r="H46" i="5" s="1"/>
  <c r="L40" i="5"/>
  <c r="Q40" i="5" s="1"/>
  <c r="L39" i="5"/>
  <c r="CP25" i="1"/>
  <c r="O25" i="1" s="1"/>
  <c r="CS24" i="1"/>
  <c r="R24" i="1" s="1"/>
  <c r="GK24" i="1" s="1"/>
  <c r="T24" i="1"/>
  <c r="CQ39" i="1"/>
  <c r="P39" i="1" s="1"/>
  <c r="H80" i="5"/>
  <c r="W80" i="5" s="1"/>
  <c r="T36" i="1"/>
  <c r="AB34" i="1"/>
  <c r="I33" i="1"/>
  <c r="E69" i="5" s="1"/>
  <c r="C61" i="5"/>
  <c r="E60" i="5"/>
  <c r="H52" i="5"/>
  <c r="U50" i="5"/>
  <c r="H57" i="5" s="1"/>
  <c r="S50" i="5"/>
  <c r="H56" i="5" s="1"/>
  <c r="CR27" i="1"/>
  <c r="Q27" i="1" s="1"/>
  <c r="K44" i="5" s="1"/>
  <c r="H44" i="5"/>
  <c r="CT25" i="1"/>
  <c r="S25" i="1" s="1"/>
  <c r="U34" i="5"/>
  <c r="H38" i="5" s="1"/>
  <c r="H36" i="5"/>
  <c r="S34" i="5"/>
  <c r="H37" i="5" s="1"/>
  <c r="BB41" i="1"/>
  <c r="BB73" i="1" s="1"/>
  <c r="F86" i="1" s="1"/>
  <c r="AB38" i="1"/>
  <c r="U36" i="1"/>
  <c r="CS35" i="1"/>
  <c r="R35" i="1" s="1"/>
  <c r="CY35" i="1" s="1"/>
  <c r="X35" i="1" s="1"/>
  <c r="T71" i="5" s="1"/>
  <c r="H75" i="5"/>
  <c r="R75" i="5" s="1"/>
  <c r="T34" i="1"/>
  <c r="CQ33" i="1"/>
  <c r="H69" i="5"/>
  <c r="W69" i="5" s="1"/>
  <c r="GX31" i="1"/>
  <c r="U60" i="5"/>
  <c r="S60" i="5"/>
  <c r="H62" i="5"/>
  <c r="T28" i="1"/>
  <c r="GX39" i="1"/>
  <c r="CT39" i="1"/>
  <c r="S39" i="1" s="1"/>
  <c r="CT38" i="1"/>
  <c r="S38" i="1" s="1"/>
  <c r="I38" i="1"/>
  <c r="GX38" i="1" s="1"/>
  <c r="CJ41" i="1" s="1"/>
  <c r="CT37" i="1"/>
  <c r="W36" i="1"/>
  <c r="S36" i="1"/>
  <c r="CT35" i="1"/>
  <c r="S35" i="1" s="1"/>
  <c r="K73" i="5" s="1"/>
  <c r="I37" i="1"/>
  <c r="E79" i="5" s="1"/>
  <c r="C72" i="5"/>
  <c r="E71" i="5"/>
  <c r="P34" i="1"/>
  <c r="GX33" i="1"/>
  <c r="S69" i="5"/>
  <c r="P32" i="1"/>
  <c r="U31" i="1"/>
  <c r="H65" i="5"/>
  <c r="R30" i="1"/>
  <c r="GK30" i="1" s="1"/>
  <c r="U30" i="1"/>
  <c r="CT29" i="1"/>
  <c r="S29" i="1" s="1"/>
  <c r="K52" i="5" s="1"/>
  <c r="E50" i="5"/>
  <c r="C51" i="5"/>
  <c r="P28" i="1"/>
  <c r="CS27" i="1"/>
  <c r="R27" i="1" s="1"/>
  <c r="H45" i="5"/>
  <c r="R45" i="5" s="1"/>
  <c r="CX6" i="3"/>
  <c r="C42" i="5"/>
  <c r="E41" i="5"/>
  <c r="CS25" i="1"/>
  <c r="R25" i="1" s="1"/>
  <c r="GK25" i="1" s="1"/>
  <c r="CX2" i="3"/>
  <c r="C35" i="5"/>
  <c r="E34" i="5"/>
  <c r="CJ22" i="1"/>
  <c r="BA41" i="1"/>
  <c r="CY39" i="1"/>
  <c r="X39" i="1" s="1"/>
  <c r="T80" i="5" s="1"/>
  <c r="CZ39" i="1"/>
  <c r="Y39" i="1" s="1"/>
  <c r="V80" i="5" s="1"/>
  <c r="FR22" i="1"/>
  <c r="FY41" i="1"/>
  <c r="ET22" i="1"/>
  <c r="ET73" i="1"/>
  <c r="EL41" i="1"/>
  <c r="CI41" i="1"/>
  <c r="BC41" i="1"/>
  <c r="AU41" i="1"/>
  <c r="CP39" i="1"/>
  <c r="O39" i="1" s="1"/>
  <c r="K80" i="5" s="1"/>
  <c r="EI22" i="1"/>
  <c r="EI73" i="1"/>
  <c r="P51" i="1"/>
  <c r="BB22" i="1"/>
  <c r="BB18" i="1"/>
  <c r="BZ22" i="1"/>
  <c r="CG41" i="1"/>
  <c r="AQ41" i="1"/>
  <c r="GA22" i="1"/>
  <c r="ER41" i="1"/>
  <c r="EU41" i="1"/>
  <c r="EM41" i="1"/>
  <c r="CQ37" i="1"/>
  <c r="CP30" i="1"/>
  <c r="O30" i="1" s="1"/>
  <c r="CY28" i="1"/>
  <c r="X28" i="1" s="1"/>
  <c r="CZ28" i="1"/>
  <c r="Y28" i="1" s="1"/>
  <c r="CZ27" i="1"/>
  <c r="Y27" i="1" s="1"/>
  <c r="V41" i="5" s="1"/>
  <c r="K47" i="5" s="1"/>
  <c r="CZ25" i="1"/>
  <c r="Y25" i="1" s="1"/>
  <c r="V34" i="5" s="1"/>
  <c r="K38" i="5" s="1"/>
  <c r="CP36" i="1"/>
  <c r="O36" i="1" s="1"/>
  <c r="CY30" i="1"/>
  <c r="X30" i="1" s="1"/>
  <c r="CZ30" i="1"/>
  <c r="Y30" i="1" s="1"/>
  <c r="CP26" i="1"/>
  <c r="O26" i="1" s="1"/>
  <c r="AB36" i="1"/>
  <c r="EG41" i="1"/>
  <c r="AO41" i="1"/>
  <c r="T39" i="1"/>
  <c r="AB39" i="1"/>
  <c r="U38" i="1"/>
  <c r="AH41" i="1" s="1"/>
  <c r="Q38" i="1"/>
  <c r="AD37" i="1"/>
  <c r="CR37" i="1" s="1"/>
  <c r="Q37" i="1" s="1"/>
  <c r="CS37" i="1"/>
  <c r="R37" i="1" s="1"/>
  <c r="CY29" i="1"/>
  <c r="X29" i="1" s="1"/>
  <c r="T50" i="5" s="1"/>
  <c r="K56" i="5" s="1"/>
  <c r="CZ26" i="1"/>
  <c r="Y26" i="1" s="1"/>
  <c r="CY26" i="1"/>
  <c r="X26" i="1" s="1"/>
  <c r="CQ35" i="1"/>
  <c r="P35" i="1" s="1"/>
  <c r="AD35" i="1"/>
  <c r="CT34" i="1"/>
  <c r="S34" i="1" s="1"/>
  <c r="CS33" i="1"/>
  <c r="AB33" i="1"/>
  <c r="CT32" i="1"/>
  <c r="S32" i="1" s="1"/>
  <c r="CQ31" i="1"/>
  <c r="P31" i="1" s="1"/>
  <c r="K65" i="5" s="1"/>
  <c r="AD31" i="1"/>
  <c r="CS29" i="1"/>
  <c r="R29" i="1" s="1"/>
  <c r="K54" i="5" s="1"/>
  <c r="AB29" i="1"/>
  <c r="CX18" i="3"/>
  <c r="CX22" i="3"/>
  <c r="CX19" i="3"/>
  <c r="CX16" i="3"/>
  <c r="CX20" i="3"/>
  <c r="CX17" i="3"/>
  <c r="CX21" i="3"/>
  <c r="CR28" i="1"/>
  <c r="Q28" i="1" s="1"/>
  <c r="AB25" i="1"/>
  <c r="AB24" i="1"/>
  <c r="CX46" i="3"/>
  <c r="CX50" i="3"/>
  <c r="CX47" i="3"/>
  <c r="CX48" i="3"/>
  <c r="CX45" i="3"/>
  <c r="CX49" i="3"/>
  <c r="AB30" i="1"/>
  <c r="CX26" i="3"/>
  <c r="CX30" i="3"/>
  <c r="CX23" i="3"/>
  <c r="CX27" i="3"/>
  <c r="CX31" i="3"/>
  <c r="CX24" i="3"/>
  <c r="CX28" i="3"/>
  <c r="CX32" i="3"/>
  <c r="CX25" i="3"/>
  <c r="CX29" i="3"/>
  <c r="CX33" i="3"/>
  <c r="CY24" i="1"/>
  <c r="X24" i="1" s="1"/>
  <c r="CZ24" i="1"/>
  <c r="Y24" i="1" s="1"/>
  <c r="CX54" i="3"/>
  <c r="CX51" i="3"/>
  <c r="CX55" i="3"/>
  <c r="CX52" i="3"/>
  <c r="CX56" i="3"/>
  <c r="CX53" i="3"/>
  <c r="CX34" i="3"/>
  <c r="CX38" i="3"/>
  <c r="CX42" i="3"/>
  <c r="CX35" i="3"/>
  <c r="CX39" i="3"/>
  <c r="CX43" i="3"/>
  <c r="CX36" i="3"/>
  <c r="CX40" i="3"/>
  <c r="CX44" i="3"/>
  <c r="CX37" i="3"/>
  <c r="CX41" i="3"/>
  <c r="AB27" i="1"/>
  <c r="CX10" i="3"/>
  <c r="CX14" i="3"/>
  <c r="CX11" i="3"/>
  <c r="CX15" i="3"/>
  <c r="CX12" i="3"/>
  <c r="CX9" i="3"/>
  <c r="CX13" i="3"/>
  <c r="AB26" i="1"/>
  <c r="CP24" i="1"/>
  <c r="O24" i="1" s="1"/>
  <c r="CX5" i="3"/>
  <c r="CX8" i="3"/>
  <c r="CX4" i="3"/>
  <c r="CX7" i="3"/>
  <c r="GN25" i="1" l="1"/>
  <c r="EB22" i="1"/>
  <c r="DO41" i="1"/>
  <c r="R43" i="5"/>
  <c r="G49" i="5"/>
  <c r="O49" i="5" s="1"/>
  <c r="W49" i="5"/>
  <c r="K45" i="5"/>
  <c r="GK27" i="1"/>
  <c r="GX37" i="1"/>
  <c r="K55" i="5"/>
  <c r="GK31" i="1"/>
  <c r="K64" i="5"/>
  <c r="T33" i="1"/>
  <c r="H79" i="5"/>
  <c r="W79" i="5" s="1"/>
  <c r="H77" i="5"/>
  <c r="G81" i="5" s="1"/>
  <c r="O81" i="5" s="1"/>
  <c r="AT22" i="1"/>
  <c r="AT73" i="1"/>
  <c r="CP38" i="1"/>
  <c r="O38" i="1" s="1"/>
  <c r="CY36" i="1"/>
  <c r="X36" i="1" s="1"/>
  <c r="GM36" i="1" s="1"/>
  <c r="CZ38" i="1"/>
  <c r="Y38" i="1" s="1"/>
  <c r="CY27" i="1"/>
  <c r="X27" i="1" s="1"/>
  <c r="CY31" i="1"/>
  <c r="X31" i="1" s="1"/>
  <c r="T60" i="5" s="1"/>
  <c r="P37" i="1"/>
  <c r="EH22" i="1"/>
  <c r="F59" i="1"/>
  <c r="F16" i="2" s="1"/>
  <c r="F18" i="2" s="1"/>
  <c r="S37" i="1"/>
  <c r="CY37" i="1" s="1"/>
  <c r="X37" i="1" s="1"/>
  <c r="T79" i="5" s="1"/>
  <c r="K76" i="5" s="1"/>
  <c r="GB41" i="1"/>
  <c r="H66" i="5"/>
  <c r="W70" i="5" s="1"/>
  <c r="P33" i="1"/>
  <c r="R52" i="5"/>
  <c r="G59" i="5"/>
  <c r="O59" i="5" s="1"/>
  <c r="W59" i="5"/>
  <c r="Q33" i="1"/>
  <c r="R38" i="1"/>
  <c r="GK38" i="1" s="1"/>
  <c r="AG41" i="1"/>
  <c r="L83" i="5"/>
  <c r="S33" i="1"/>
  <c r="U37" i="1"/>
  <c r="R73" i="5"/>
  <c r="W81" i="5"/>
  <c r="P38" i="1"/>
  <c r="AC41" i="1" s="1"/>
  <c r="V38" i="1"/>
  <c r="AI41" i="1" s="1"/>
  <c r="T38" i="1"/>
  <c r="CR35" i="1"/>
  <c r="Q35" i="1" s="1"/>
  <c r="K74" i="5" s="1"/>
  <c r="H74" i="5"/>
  <c r="DY41" i="1"/>
  <c r="CZ36" i="1"/>
  <c r="Y36" i="1" s="1"/>
  <c r="AB37" i="1"/>
  <c r="EH73" i="1"/>
  <c r="L70" i="5"/>
  <c r="Q70" i="5" s="1"/>
  <c r="L68" i="5"/>
  <c r="T37" i="1"/>
  <c r="R62" i="5"/>
  <c r="GK35" i="1"/>
  <c r="K75" i="5"/>
  <c r="K36" i="5"/>
  <c r="J40" i="5" s="1"/>
  <c r="P40" i="5" s="1"/>
  <c r="DX41" i="1"/>
  <c r="CR29" i="1"/>
  <c r="Q29" i="1" s="1"/>
  <c r="K53" i="5" s="1"/>
  <c r="H53" i="5"/>
  <c r="U79" i="5"/>
  <c r="CR31" i="1"/>
  <c r="Q31" i="1" s="1"/>
  <c r="CP31" i="1" s="1"/>
  <c r="O31" i="1" s="1"/>
  <c r="H63" i="5"/>
  <c r="R33" i="1"/>
  <c r="GK33" i="1" s="1"/>
  <c r="CZ35" i="1"/>
  <c r="Y35" i="1" s="1"/>
  <c r="V71" i="5" s="1"/>
  <c r="AB35" i="1"/>
  <c r="CY25" i="1"/>
  <c r="X25" i="1" s="1"/>
  <c r="T34" i="5" s="1"/>
  <c r="K37" i="5" s="1"/>
  <c r="CZ31" i="1"/>
  <c r="Y31" i="1" s="1"/>
  <c r="V60" i="5" s="1"/>
  <c r="AP41" i="1"/>
  <c r="AP22" i="1" s="1"/>
  <c r="F54" i="1"/>
  <c r="U69" i="5"/>
  <c r="H67" i="5" s="1"/>
  <c r="G70" i="5" s="1"/>
  <c r="O70" i="5" s="1"/>
  <c r="V37" i="1"/>
  <c r="R36" i="5"/>
  <c r="W40" i="5"/>
  <c r="G40" i="5"/>
  <c r="O40" i="5" s="1"/>
  <c r="W38" i="1"/>
  <c r="AJ41" i="1" s="1"/>
  <c r="CP27" i="1"/>
  <c r="O27" i="1" s="1"/>
  <c r="GN27" i="1" s="1"/>
  <c r="U33" i="1"/>
  <c r="DZ41" i="1" s="1"/>
  <c r="V33" i="1"/>
  <c r="H76" i="5"/>
  <c r="AH22" i="1"/>
  <c r="U41" i="1"/>
  <c r="GN36" i="1"/>
  <c r="GM24" i="1"/>
  <c r="GN24" i="1"/>
  <c r="AB31" i="1"/>
  <c r="AO22" i="1"/>
  <c r="AO73" i="1"/>
  <c r="F45" i="1"/>
  <c r="AC22" i="1"/>
  <c r="P41" i="1"/>
  <c r="CF41" i="1"/>
  <c r="CH41" i="1"/>
  <c r="CE41" i="1"/>
  <c r="CP37" i="1"/>
  <c r="O37" i="1" s="1"/>
  <c r="K79" i="5" s="1"/>
  <c r="ER22" i="1"/>
  <c r="P52" i="1"/>
  <c r="ER73" i="1"/>
  <c r="DZ22" i="1"/>
  <c r="DM41" i="1"/>
  <c r="EH18" i="1"/>
  <c r="P82" i="1"/>
  <c r="I24" i="5" s="1"/>
  <c r="EI18" i="1"/>
  <c r="P83" i="1"/>
  <c r="CI22" i="1"/>
  <c r="AZ41" i="1"/>
  <c r="FY22" i="1"/>
  <c r="EP41" i="1"/>
  <c r="AD41" i="1"/>
  <c r="CY32" i="1"/>
  <c r="X32" i="1" s="1"/>
  <c r="CZ32" i="1"/>
  <c r="Y32" i="1" s="1"/>
  <c r="AF41" i="1"/>
  <c r="CP28" i="1"/>
  <c r="O28" i="1" s="1"/>
  <c r="CP32" i="1"/>
  <c r="O32" i="1" s="1"/>
  <c r="GK37" i="1"/>
  <c r="CZ37" i="1"/>
  <c r="Y37" i="1" s="1"/>
  <c r="V79" i="5" s="1"/>
  <c r="EG22" i="1"/>
  <c r="P45" i="1"/>
  <c r="EG73" i="1"/>
  <c r="GM26" i="1"/>
  <c r="GN26" i="1"/>
  <c r="AP73" i="1"/>
  <c r="AQ22" i="1"/>
  <c r="F51" i="1"/>
  <c r="AQ73" i="1"/>
  <c r="GN39" i="1"/>
  <c r="GM39" i="1"/>
  <c r="EL22" i="1"/>
  <c r="P59" i="1"/>
  <c r="U16" i="2" s="1"/>
  <c r="U18" i="2" s="1"/>
  <c r="EL73" i="1"/>
  <c r="BA22" i="1"/>
  <c r="BA73" i="1"/>
  <c r="F61" i="1"/>
  <c r="GM30" i="1"/>
  <c r="GN30" i="1"/>
  <c r="CY34" i="1"/>
  <c r="X34" i="1" s="1"/>
  <c r="CZ34" i="1"/>
  <c r="Y34" i="1" s="1"/>
  <c r="GK29" i="1"/>
  <c r="DW41" i="1"/>
  <c r="CZ29" i="1"/>
  <c r="Y29" i="1" s="1"/>
  <c r="CP34" i="1"/>
  <c r="O34" i="1" s="1"/>
  <c r="DY22" i="1"/>
  <c r="DL41" i="1"/>
  <c r="CZ33" i="1"/>
  <c r="Y33" i="1" s="1"/>
  <c r="V69" i="5" s="1"/>
  <c r="EM22" i="1"/>
  <c r="EM73" i="1"/>
  <c r="P60" i="1"/>
  <c r="CG22" i="1"/>
  <c r="AX41" i="1"/>
  <c r="AU22" i="1"/>
  <c r="F60" i="1"/>
  <c r="AU73" i="1"/>
  <c r="ET18" i="1"/>
  <c r="P86" i="1"/>
  <c r="CY33" i="1"/>
  <c r="X33" i="1" s="1"/>
  <c r="BC22" i="1"/>
  <c r="F57" i="1"/>
  <c r="BC73" i="1"/>
  <c r="EU22" i="1"/>
  <c r="EU73" i="1"/>
  <c r="P57" i="1"/>
  <c r="DU41" i="1"/>
  <c r="W41" i="1" l="1"/>
  <c r="AJ22" i="1"/>
  <c r="DX22" i="1"/>
  <c r="DK41" i="1"/>
  <c r="V50" i="5"/>
  <c r="K57" i="5" s="1"/>
  <c r="J59" i="5" s="1"/>
  <c r="P59" i="5" s="1"/>
  <c r="K77" i="5"/>
  <c r="J81" i="5" s="1"/>
  <c r="P81" i="5" s="1"/>
  <c r="GB22" i="1"/>
  <c r="ES41" i="1"/>
  <c r="CP35" i="1"/>
  <c r="O35" i="1" s="1"/>
  <c r="F50" i="1"/>
  <c r="G16" i="2" s="1"/>
  <c r="G18" i="2" s="1"/>
  <c r="AL41" i="1"/>
  <c r="Y41" i="1" s="1"/>
  <c r="EA41" i="1"/>
  <c r="G21" i="5"/>
  <c r="G83" i="5"/>
  <c r="K67" i="5"/>
  <c r="G27" i="5"/>
  <c r="AI22" i="1"/>
  <c r="V41" i="1"/>
  <c r="GM25" i="1"/>
  <c r="AT18" i="1"/>
  <c r="F91" i="1"/>
  <c r="CP29" i="1"/>
  <c r="O29" i="1" s="1"/>
  <c r="GM29" i="1" s="1"/>
  <c r="DV41" i="1"/>
  <c r="K63" i="5"/>
  <c r="EC41" i="1"/>
  <c r="T69" i="5"/>
  <c r="K66" i="5" s="1"/>
  <c r="AG22" i="1"/>
  <c r="T41" i="1"/>
  <c r="DO22" i="1"/>
  <c r="DO73" i="1"/>
  <c r="P65" i="1"/>
  <c r="ED41" i="1"/>
  <c r="G22" i="5"/>
  <c r="CP33" i="1"/>
  <c r="O33" i="1" s="1"/>
  <c r="GM27" i="1"/>
  <c r="T41" i="5"/>
  <c r="K46" i="5" s="1"/>
  <c r="J49" i="5" s="1"/>
  <c r="P49" i="5" s="1"/>
  <c r="AE41" i="1"/>
  <c r="CY38" i="1"/>
  <c r="X38" i="1" s="1"/>
  <c r="GM38" i="1" s="1"/>
  <c r="EC22" i="1"/>
  <c r="DP41" i="1"/>
  <c r="AL22" i="1"/>
  <c r="GN37" i="1"/>
  <c r="GM37" i="1"/>
  <c r="EU18" i="1"/>
  <c r="P89" i="1"/>
  <c r="H16" i="2"/>
  <c r="H18" i="2" s="1"/>
  <c r="DL22" i="1"/>
  <c r="DL73" i="1"/>
  <c r="P62" i="1"/>
  <c r="BA18" i="1"/>
  <c r="F93" i="1"/>
  <c r="EG18" i="1"/>
  <c r="P77" i="1"/>
  <c r="ER18" i="1"/>
  <c r="P84" i="1"/>
  <c r="CE22" i="1"/>
  <c r="AV41" i="1"/>
  <c r="DU22" i="1"/>
  <c r="DH41" i="1"/>
  <c r="FX41" i="1"/>
  <c r="FW41" i="1"/>
  <c r="FZ41" i="1"/>
  <c r="EM18" i="1"/>
  <c r="P92" i="1"/>
  <c r="GM32" i="1"/>
  <c r="GN32" i="1"/>
  <c r="CH22" i="1"/>
  <c r="AY41" i="1"/>
  <c r="GN29" i="1"/>
  <c r="GM31" i="1"/>
  <c r="GN31" i="1"/>
  <c r="AX22" i="1"/>
  <c r="F48" i="1"/>
  <c r="AX73" i="1"/>
  <c r="GM34" i="1"/>
  <c r="GN34" i="1"/>
  <c r="DW22" i="1"/>
  <c r="DJ41" i="1"/>
  <c r="EL18" i="1"/>
  <c r="P91" i="1"/>
  <c r="I23" i="5" s="1"/>
  <c r="AP18" i="1"/>
  <c r="F82" i="1"/>
  <c r="GN28" i="1"/>
  <c r="GM28" i="1"/>
  <c r="AD22" i="1"/>
  <c r="Q41" i="1"/>
  <c r="EP22" i="1"/>
  <c r="EP73" i="1"/>
  <c r="P48" i="1"/>
  <c r="DM22" i="1"/>
  <c r="P63" i="1"/>
  <c r="DM73" i="1"/>
  <c r="CF22" i="1"/>
  <c r="AW41" i="1"/>
  <c r="AB41" i="1"/>
  <c r="U22" i="1"/>
  <c r="U73" i="1"/>
  <c r="F63" i="1"/>
  <c r="AU18" i="1"/>
  <c r="F92" i="1"/>
  <c r="AQ18" i="1"/>
  <c r="F83" i="1"/>
  <c r="AO18" i="1"/>
  <c r="F77" i="1"/>
  <c r="AF22" i="1"/>
  <c r="S41" i="1"/>
  <c r="BC18" i="1"/>
  <c r="F89" i="1"/>
  <c r="AZ22" i="1"/>
  <c r="F52" i="1"/>
  <c r="AZ73" i="1"/>
  <c r="ED22" i="1"/>
  <c r="DQ41" i="1"/>
  <c r="P22" i="1"/>
  <c r="F44" i="1"/>
  <c r="P73" i="1"/>
  <c r="K69" i="5" l="1"/>
  <c r="J70" i="5" s="1"/>
  <c r="P70" i="5" s="1"/>
  <c r="J83" i="5" s="1"/>
  <c r="GN33" i="1"/>
  <c r="DN41" i="1"/>
  <c r="EA22" i="1"/>
  <c r="P61" i="1"/>
  <c r="W16" i="2" s="1"/>
  <c r="W18" i="2" s="1"/>
  <c r="ES22" i="1"/>
  <c r="ES73" i="1"/>
  <c r="R41" i="1"/>
  <c r="AE22" i="1"/>
  <c r="W22" i="1"/>
  <c r="F65" i="1"/>
  <c r="W73" i="1"/>
  <c r="AK41" i="1"/>
  <c r="V73" i="1"/>
  <c r="F64" i="1"/>
  <c r="V22" i="1"/>
  <c r="DK22" i="1"/>
  <c r="DK73" i="1"/>
  <c r="P56" i="1"/>
  <c r="Y16" i="2" s="1"/>
  <c r="Y18" i="2" s="1"/>
  <c r="GN38" i="1"/>
  <c r="CB41" i="1" s="1"/>
  <c r="DV22" i="1"/>
  <c r="DI41" i="1"/>
  <c r="DT41" i="1"/>
  <c r="DT22" i="1" s="1"/>
  <c r="DO18" i="1"/>
  <c r="P97" i="1"/>
  <c r="CA41" i="1"/>
  <c r="AR41" i="1" s="1"/>
  <c r="GM33" i="1"/>
  <c r="FS41" i="1" s="1"/>
  <c r="T73" i="1"/>
  <c r="F62" i="1"/>
  <c r="T22" i="1"/>
  <c r="GM35" i="1"/>
  <c r="GN35" i="1"/>
  <c r="CA22" i="1"/>
  <c r="AZ18" i="1"/>
  <c r="F84" i="1"/>
  <c r="AW22" i="1"/>
  <c r="AW73" i="1"/>
  <c r="F47" i="1"/>
  <c r="EP18" i="1"/>
  <c r="P80" i="1"/>
  <c r="FW22" i="1"/>
  <c r="EN41" i="1"/>
  <c r="DL18" i="1"/>
  <c r="P94" i="1"/>
  <c r="DQ22" i="1"/>
  <c r="P67" i="1"/>
  <c r="DQ73" i="1"/>
  <c r="S22" i="1"/>
  <c r="F56" i="1"/>
  <c r="J16" i="2" s="1"/>
  <c r="J18" i="2" s="1"/>
  <c r="S73" i="1"/>
  <c r="P18" i="1"/>
  <c r="F76" i="1"/>
  <c r="DM18" i="1"/>
  <c r="P95" i="1"/>
  <c r="Q22" i="1"/>
  <c r="Q73" i="1"/>
  <c r="F53" i="1"/>
  <c r="DJ22" i="1"/>
  <c r="P55" i="1"/>
  <c r="DJ73" i="1"/>
  <c r="AX18" i="1"/>
  <c r="F80" i="1"/>
  <c r="AY22" i="1"/>
  <c r="AY73" i="1"/>
  <c r="F49" i="1"/>
  <c r="DH22" i="1"/>
  <c r="DH73" i="1"/>
  <c r="P44" i="1"/>
  <c r="AB22" i="1"/>
  <c r="O41" i="1"/>
  <c r="FZ22" i="1"/>
  <c r="EQ41" i="1"/>
  <c r="DP22" i="1"/>
  <c r="DP73" i="1"/>
  <c r="P66" i="1"/>
  <c r="U18" i="1"/>
  <c r="F95" i="1"/>
  <c r="FT41" i="1"/>
  <c r="FX22" i="1"/>
  <c r="EO41" i="1"/>
  <c r="AV22" i="1"/>
  <c r="F46" i="1"/>
  <c r="AV73" i="1"/>
  <c r="Y22" i="1"/>
  <c r="Y73" i="1"/>
  <c r="F67" i="1"/>
  <c r="EJ41" i="1" l="1"/>
  <c r="FS22" i="1"/>
  <c r="CB22" i="1"/>
  <c r="AS41" i="1"/>
  <c r="F58" i="1" s="1"/>
  <c r="E16" i="2" s="1"/>
  <c r="F55" i="1"/>
  <c r="R22" i="1"/>
  <c r="R73" i="1"/>
  <c r="P93" i="1"/>
  <c r="I25" i="5" s="1"/>
  <c r="ES18" i="1"/>
  <c r="P64" i="1"/>
  <c r="DN73" i="1"/>
  <c r="DN22" i="1"/>
  <c r="DG41" i="1"/>
  <c r="P88" i="1"/>
  <c r="I27" i="5" s="1"/>
  <c r="DK18" i="1"/>
  <c r="F96" i="1"/>
  <c r="V18" i="1"/>
  <c r="F97" i="1"/>
  <c r="W18" i="1"/>
  <c r="P53" i="1"/>
  <c r="DI22" i="1"/>
  <c r="DI73" i="1"/>
  <c r="F94" i="1"/>
  <c r="T18" i="1"/>
  <c r="X41" i="1"/>
  <c r="AK22" i="1"/>
  <c r="AV18" i="1"/>
  <c r="F78" i="1"/>
  <c r="Y18" i="1"/>
  <c r="F99" i="1"/>
  <c r="EO22" i="1"/>
  <c r="P47" i="1"/>
  <c r="EO73" i="1"/>
  <c r="DP18" i="1"/>
  <c r="P98" i="1"/>
  <c r="DQ18" i="1"/>
  <c r="P99" i="1"/>
  <c r="EJ22" i="1"/>
  <c r="EJ73" i="1"/>
  <c r="P68" i="1"/>
  <c r="P69" i="1" s="1"/>
  <c r="AR22" i="1"/>
  <c r="F68" i="1"/>
  <c r="F69" i="1" s="1"/>
  <c r="AR73" i="1"/>
  <c r="AY18" i="1"/>
  <c r="F81" i="1"/>
  <c r="S18" i="1"/>
  <c r="F88" i="1"/>
  <c r="EN22" i="1"/>
  <c r="P46" i="1"/>
  <c r="EN73" i="1"/>
  <c r="AW18" i="1"/>
  <c r="F79" i="1"/>
  <c r="AS22" i="1"/>
  <c r="FT22" i="1"/>
  <c r="EK41" i="1"/>
  <c r="DH18" i="1"/>
  <c r="P76" i="1"/>
  <c r="EQ22" i="1"/>
  <c r="EQ73" i="1"/>
  <c r="P49" i="1"/>
  <c r="O22" i="1"/>
  <c r="F43" i="1"/>
  <c r="O73" i="1"/>
  <c r="DG22" i="1"/>
  <c r="P43" i="1"/>
  <c r="DG73" i="1"/>
  <c r="DJ18" i="1"/>
  <c r="P87" i="1"/>
  <c r="Q18" i="1"/>
  <c r="F85" i="1"/>
  <c r="DN18" i="1" l="1"/>
  <c r="P96" i="1"/>
  <c r="I26" i="5" s="1"/>
  <c r="G26" i="5" s="1"/>
  <c r="DI18" i="1"/>
  <c r="P85" i="1"/>
  <c r="AS73" i="1"/>
  <c r="X73" i="1"/>
  <c r="X22" i="1"/>
  <c r="F66" i="1"/>
  <c r="R18" i="1"/>
  <c r="F87" i="1"/>
  <c r="DG18" i="1"/>
  <c r="P75" i="1"/>
  <c r="P70" i="1"/>
  <c r="P71" i="1" s="1"/>
  <c r="AS18" i="1"/>
  <c r="F90" i="1"/>
  <c r="AR18" i="1"/>
  <c r="F100" i="1"/>
  <c r="F101" i="1" s="1"/>
  <c r="EJ18" i="1"/>
  <c r="P100" i="1"/>
  <c r="P101" i="1" s="1"/>
  <c r="J84" i="5" s="1"/>
  <c r="EO18" i="1"/>
  <c r="P79" i="1"/>
  <c r="I16" i="2"/>
  <c r="I18" i="2" s="1"/>
  <c r="E18" i="2"/>
  <c r="EN18" i="1"/>
  <c r="P78" i="1"/>
  <c r="F70" i="1"/>
  <c r="F71" i="1"/>
  <c r="O18" i="1"/>
  <c r="F75" i="1"/>
  <c r="EQ18" i="1"/>
  <c r="P81" i="1"/>
  <c r="EK22" i="1"/>
  <c r="P58" i="1"/>
  <c r="T16" i="2" s="1"/>
  <c r="EK73" i="1"/>
  <c r="X18" i="1" l="1"/>
  <c r="F98" i="1"/>
  <c r="X16" i="2"/>
  <c r="X18" i="2" s="1"/>
  <c r="T18" i="2"/>
  <c r="F102" i="1"/>
  <c r="F103" i="1" s="1"/>
  <c r="P102" i="1"/>
  <c r="EK18" i="1"/>
  <c r="P90" i="1"/>
  <c r="I22" i="5" s="1"/>
  <c r="P103" i="1" l="1"/>
  <c r="J85" i="5"/>
  <c r="I21" i="5" l="1"/>
  <c r="J86" i="5"/>
</calcChain>
</file>

<file path=xl/sharedStrings.xml><?xml version="1.0" encoding="utf-8"?>
<sst xmlns="http://schemas.openxmlformats.org/spreadsheetml/2006/main" count="1950" uniqueCount="278">
  <si>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</si>
  <si>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</si>
  <si>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</si>
  <si>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</si>
  <si>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</t>
  </si>
  <si>
    <t>Замена напольного покрытия 2-4 этажей,6-18 и 24 в общежитии НИЯУ МИФИ по адресу: г. Москва, ул. Москворечье, д.2, к.1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</si>
  <si>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</si>
  <si>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</si>
  <si>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</si>
  <si>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</si>
  <si>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</si>
  <si>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</si>
  <si>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</si>
  <si>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</si>
  <si>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</si>
  <si>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</si>
  <si>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</si>
  <si>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</si>
  <si>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</si>
  <si>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</si>
  <si>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</si>
  <si>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</si>
  <si>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</si>
  <si>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</si>
  <si>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</si>
  <si>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</si>
  <si>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</si>
  <si>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</si>
  <si>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"Старатели" , толщиной 5 мм</t>
  </si>
  <si>
    <t>ФЕР-2001, 11-01-011-08, приказ Минстроя России №1039/пр от 30.12.2016г.</t>
  </si>
  <si>
    <t>)*1,25</t>
  </si>
  <si>
    <t>)*1,15</t>
  </si>
  <si>
    <t>Общестроительные работы</t>
  </si>
  <si>
    <t>ФЕР-11</t>
  </si>
  <si>
    <t>Поправка: МДС 81-35.2004, п.4.7</t>
  </si>
  <si>
    <t>*0,9</t>
  </si>
  <si>
    <t>*0,85</t>
  </si>
  <si>
    <t>4</t>
  </si>
  <si>
    <t>11-01-047-01</t>
  </si>
  <si>
    <t>ФЕР-2001, 11-01-047-01, приказ Минстроя России №1039/пр от 30.12.2016г.</t>
  </si>
  <si>
    <t>4,1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</si>
  <si>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</si>
  <si>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</si>
  <si>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</si>
  <si>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</si>
  <si>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5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</si>
  <si>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</si>
  <si>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</si>
  <si>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</si>
  <si>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5,1</t>
  </si>
  <si>
    <t>06.2.05.03-0057</t>
  </si>
  <si>
    <t>Плитки керамогранитные размером 400х400х9 мм</t>
  </si>
  <si>
    <t>м2</t>
  </si>
  <si>
    <t>ФССЦ-2001, 06.2.05.03-0057, приказ Минстроя России №1039/пр от 30.12.2016г.</t>
  </si>
  <si>
    <t>5,2</t>
  </si>
  <si>
    <t>14.1.06.02-0044</t>
  </si>
  <si>
    <t>Клей плиточный «Юнис Гранит» (толщ. 4 мм)</t>
  </si>
  <si>
    <t>кг</t>
  </si>
  <si>
    <t>ФССЦ-2001, 14.1.06.02-0044,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</si>
  <si>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</si>
  <si>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</si>
  <si>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</si>
  <si>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</si>
  <si>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</si>
  <si>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</si>
  <si>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</si>
  <si>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</si>
  <si>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</si>
  <si>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</si>
  <si>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</si>
  <si>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</si>
  <si>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</si>
  <si>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</si>
  <si>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</si>
  <si>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</si>
  <si>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</si>
  <si>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</si>
  <si>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</si>
  <si>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</si>
  <si>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</si>
  <si>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</si>
  <si>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</si>
  <si>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</si>
  <si>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</si>
  <si>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</si>
  <si>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</si>
  <si>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</si>
  <si>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</si>
  <si>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</si>
  <si>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</si>
  <si>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</si>
  <si>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</si>
  <si>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</si>
  <si>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</si>
  <si>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</si>
  <si>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</si>
  <si>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</si>
  <si>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</si>
  <si>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</si>
  <si>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</si>
  <si>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</si>
  <si>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</si>
  <si>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</si>
  <si>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</si>
  <si>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</si>
  <si>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</si>
  <si>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</si>
  <si>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</si>
  <si>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</si>
  <si>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</si>
  <si>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</si>
  <si>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</si>
  <si>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</si>
  <si>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</si>
  <si>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</si>
  <si>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</si>
  <si>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</si>
  <si>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</si>
  <si>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</si>
  <si>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</si>
  <si>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</si>
  <si>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</si>
  <si>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</si>
  <si>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</si>
  <si>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</si>
  <si>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</si>
  <si>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</si>
  <si>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</si>
  <si>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</si>
  <si>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</si>
  <si>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</si>
  <si>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</si>
  <si>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</si>
  <si>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</si>
  <si>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</si>
  <si>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</si>
  <si>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</si>
  <si>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</si>
  <si>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</si>
  <si>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</si>
  <si>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</si>
  <si>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</si>
  <si>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</si>
  <si>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</si>
  <si>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</si>
  <si>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</si>
  <si>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</si>
  <si>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</si>
  <si>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</si>
  <si>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</si>
  <si>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</si>
  <si>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</si>
  <si>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</si>
  <si>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</si>
  <si>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</si>
  <si>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</si>
  <si>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</si>
  <si>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</si>
  <si>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</si>
  <si>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</si>
  <si>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</si>
  <si>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</si>
  <si>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</si>
  <si>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</si>
  <si>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</si>
  <si>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</si>
  <si>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</si>
  <si>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</si>
  <si>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</si>
  <si>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</si>
  <si>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</si>
  <si>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</si>
  <si>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</si>
  <si>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</si>
  <si>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</si>
  <si>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</si>
  <si>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</si>
  <si>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</si>
  <si>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</si>
  <si>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</si>
  <si>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</si>
  <si>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</si>
  <si>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</si>
  <si>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</si>
  <si>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</si>
  <si>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</si>
  <si>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</si>
  <si>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</si>
  <si>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</si>
  <si>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</si>
  <si>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</si>
  <si>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</si>
  <si>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</si>
  <si>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</si>
  <si>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</si>
  <si>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</si>
  <si>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</si>
  <si>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</si>
  <si>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</si>
  <si>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</si>
  <si>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</si>
  <si>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</si>
  <si>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</si>
  <si>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</si>
  <si>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</si>
  <si>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</si>
  <si>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</si>
  <si>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</si>
  <si>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</si>
  <si>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</si>
  <si>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</si>
  <si>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</si>
  <si>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</si>
  <si>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</si>
  <si>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</si>
  <si>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</si>
  <si>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</si>
  <si>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</si>
  <si>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</si>
  <si>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</si>
  <si>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</si>
  <si>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</si>
  <si>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</si>
  <si>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06.2.05.03-0003</t>
  </si>
  <si>
    <t>ФССЦ-2001, 06.2.05.03-0003, приказ Минстроя России №1039/пр от 30.12.2016г.</t>
  </si>
  <si>
    <t>Гранит керамический многоцветный неполированный, размером 400х400х9 мм</t>
  </si>
  <si>
    <t>Клей плиточный «Юнис Гранит»</t>
  </si>
  <si>
    <t>1-100-39</t>
  </si>
  <si>
    <t>Рабочий среднего разряда 3.9</t>
  </si>
  <si>
    <t>01.7.07.07</t>
  </si>
  <si>
    <t>Строительный мусор</t>
  </si>
  <si>
    <t>11.2.04.05</t>
  </si>
  <si>
    <t>Рейки деревянные</t>
  </si>
  <si>
    <t>14.4.01.21</t>
  </si>
  <si>
    <t>Грунтовка</t>
  </si>
  <si>
    <t>04.3.01.09</t>
  </si>
  <si>
    <t>Раствор готовый кладочный тяжелый цементный</t>
  </si>
  <si>
    <t>06.2.05.03</t>
  </si>
  <si>
    <t>Плитки керамические плинтусные</t>
  </si>
  <si>
    <t>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</si>
  <si>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</si>
  <si>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</si>
  <si>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</si>
  <si>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</si>
  <si>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</si>
  <si>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</si>
  <si>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</si>
  <si>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</si>
  <si>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</si>
  <si>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</si>
  <si>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</si>
  <si>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</si>
  <si>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</si>
  <si>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</si>
  <si>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</si>
  <si>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</si>
  <si>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</si>
  <si>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</si>
  <si>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</si>
  <si>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</si>
  <si>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</si>
  <si>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</si>
  <si>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</si>
  <si>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</si>
  <si>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</si>
  <si>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</si>
  <si>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</si>
  <si>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</si>
  <si>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</si>
  <si>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</si>
  <si>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</si>
  <si>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</si>
  <si>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</si>
  <si>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</si>
  <si>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>СМЕТА</t>
  </si>
  <si>
    <t xml:space="preserve">Устройство покрытий из плит керамогранитных размером 40х40 см </t>
  </si>
  <si>
    <t>Приложение 1 к Форме 7</t>
  </si>
  <si>
    <t>на капитальный ремонт напольного покрытия в помещениях коридоров 2-4-го этажей, 6-18-го этажей в здании общежития НИЯУ МИФИ по адресу:  115522, г. Москва, ул. Москворечье, д.2, к.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</si>
</sst>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2" fillId="0" borderId="0" xfId="0" applyFont="1" applyBorder="1" applyAlignment="1">
      <alignment horizontal="center" vertical="top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3"/>
  <sheetViews>
    <sheetView tabSelected="1" zoomScale="80" zoomScaleNormal="80" workbookViewId="0">
      <selection activeCell="B15" sqref="B15:K15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30" ht="16.5" x14ac:dyDescent="0.25">
      <c r="A3" s="14"/>
      <c r="B3" s="74"/>
      <c r="C3" s="74"/>
      <c r="D3" s="74"/>
      <c r="E3" s="74"/>
      <c r="F3" s="13"/>
      <c r="G3" s="13"/>
      <c r="H3" s="74"/>
      <c r="I3" s="74"/>
      <c r="J3" s="74"/>
      <c r="K3" s="74"/>
      <c r="L3" s="74"/>
    </row>
    <row r="4" spans="1:30" ht="14.25" x14ac:dyDescent="0.2">
      <c r="A4" s="13"/>
      <c r="B4" s="59"/>
      <c r="C4" s="59"/>
      <c r="D4" s="59"/>
      <c r="E4" s="59"/>
      <c r="F4" s="13"/>
      <c r="G4" s="13"/>
      <c r="H4" s="59" t="s">
        <v>276</v>
      </c>
      <c r="I4" s="59"/>
      <c r="J4" s="59"/>
      <c r="K4" s="59"/>
      <c r="L4" s="59"/>
    </row>
    <row r="5" spans="1:30" ht="14.25" x14ac:dyDescent="0.2">
      <c r="A5" s="15"/>
      <c r="B5" s="15"/>
      <c r="C5" s="16"/>
      <c r="D5" s="16"/>
      <c r="E5" s="16"/>
      <c r="F5" s="13"/>
      <c r="G5" s="13"/>
      <c r="H5" s="17"/>
      <c r="I5" s="16"/>
      <c r="J5" s="16"/>
      <c r="K5" s="16"/>
      <c r="L5" s="17"/>
    </row>
    <row r="6" spans="1:30" ht="14.25" x14ac:dyDescent="0.2">
      <c r="A6" s="17"/>
      <c r="B6" s="59"/>
      <c r="C6" s="59"/>
      <c r="D6" s="59"/>
      <c r="E6" s="59"/>
      <c r="F6" s="13"/>
      <c r="G6" s="13"/>
      <c r="H6" s="59"/>
      <c r="I6" s="59"/>
      <c r="J6" s="59"/>
      <c r="K6" s="59"/>
      <c r="L6" s="59"/>
    </row>
    <row r="7" spans="1:30" ht="14.25" x14ac:dyDescent="0.2">
      <c r="A7" s="18"/>
      <c r="B7" s="73"/>
      <c r="C7" s="73"/>
      <c r="D7" s="73"/>
      <c r="E7" s="73"/>
      <c r="F7" s="13"/>
      <c r="G7" s="13"/>
      <c r="H7" s="73"/>
      <c r="I7" s="73"/>
      <c r="J7" s="73"/>
      <c r="K7" s="73"/>
      <c r="L7" s="73"/>
    </row>
    <row r="10" spans="1:30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30" ht="15.75" x14ac:dyDescent="0.25">
      <c r="A11" s="19"/>
      <c r="B11" s="69" t="s">
        <v>274</v>
      </c>
      <c r="C11" s="69"/>
      <c r="D11" s="69"/>
      <c r="E11" s="69"/>
      <c r="F11" s="69"/>
      <c r="G11" s="69"/>
      <c r="H11" s="69"/>
      <c r="I11" s="69"/>
      <c r="J11" s="69"/>
      <c r="K11" s="69"/>
      <c r="L11" s="19"/>
    </row>
    <row r="12" spans="1:30" ht="15.75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19"/>
    </row>
    <row r="13" spans="1:30" ht="18" hidden="1" x14ac:dyDescent="0.25">
      <c r="A13" s="1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19"/>
    </row>
    <row r="14" spans="1:30" ht="14.25" hidden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30" ht="36" x14ac:dyDescent="0.25">
      <c r="A15" s="13"/>
      <c r="B15" s="70" t="s">
        <v>277</v>
      </c>
      <c r="C15" s="70"/>
      <c r="D15" s="70"/>
      <c r="E15" s="70"/>
      <c r="F15" s="70"/>
      <c r="G15" s="70"/>
      <c r="H15" s="70"/>
      <c r="I15" s="70"/>
      <c r="J15" s="70"/>
      <c r="K15" s="70"/>
      <c r="L15" s="21"/>
      <c r="AD15" s="54" t="str">
        <f>IF(Source!G12&lt;&gt;"Новый объект", Source!G12, "")</f>
        <v>Замена напольного покрытия 2-4 этажей,6-18 и 24 в общежитии НИЯУ МИФИ по адресу: г. Москва, ул. Москворечье, д.2, к.1</v>
      </c>
    </row>
    <row r="16" spans="1:30" ht="14.25" x14ac:dyDescent="0.2">
      <c r="A16" s="13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18"/>
    </row>
    <row r="17" spans="1:1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14.25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 ht="14.25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ht="14.25" x14ac:dyDescent="0.2">
      <c r="A20" s="13"/>
      <c r="B20" s="13"/>
      <c r="C20" s="13"/>
      <c r="D20" s="13"/>
      <c r="E20" s="22"/>
      <c r="F20" s="22"/>
      <c r="G20" s="72" t="s">
        <v>241</v>
      </c>
      <c r="H20" s="72"/>
      <c r="I20" s="72" t="s">
        <v>242</v>
      </c>
      <c r="J20" s="72"/>
      <c r="K20" s="13"/>
      <c r="L20" s="13"/>
    </row>
    <row r="21" spans="1:12" ht="15" x14ac:dyDescent="0.25">
      <c r="A21" s="13"/>
      <c r="B21" s="13"/>
      <c r="C21" s="64" t="s">
        <v>243</v>
      </c>
      <c r="D21" s="64"/>
      <c r="E21" s="64"/>
      <c r="F21" s="64"/>
      <c r="G21" s="65">
        <f>SUM(O1:O83)/1000</f>
        <v>973.86152000000004</v>
      </c>
      <c r="H21" s="65"/>
      <c r="I21" s="65">
        <f>(Source!P103/1000)</f>
        <v>7852.3752899999999</v>
      </c>
      <c r="J21" s="65"/>
      <c r="K21" s="66" t="s">
        <v>244</v>
      </c>
      <c r="L21" s="66"/>
    </row>
    <row r="22" spans="1:12" ht="14.25" x14ac:dyDescent="0.2">
      <c r="A22" s="13"/>
      <c r="B22" s="13"/>
      <c r="C22" s="68" t="s">
        <v>245</v>
      </c>
      <c r="D22" s="68"/>
      <c r="E22" s="68"/>
      <c r="F22" s="68"/>
      <c r="G22" s="65">
        <f>SUM(W1:W83)/1000</f>
        <v>973.86151999999993</v>
      </c>
      <c r="H22" s="65"/>
      <c r="I22" s="65">
        <f>(Source!P90)/1000</f>
        <v>6654.5553300000001</v>
      </c>
      <c r="J22" s="65"/>
      <c r="K22" s="66" t="s">
        <v>244</v>
      </c>
      <c r="L22" s="66"/>
    </row>
    <row r="23" spans="1:12" ht="14.25" x14ac:dyDescent="0.2">
      <c r="A23" s="13"/>
      <c r="B23" s="13"/>
      <c r="C23" s="68" t="s">
        <v>246</v>
      </c>
      <c r="D23" s="68"/>
      <c r="E23" s="68"/>
      <c r="F23" s="68"/>
      <c r="G23" s="65">
        <f>SUM(X1:X83)/1000</f>
        <v>0</v>
      </c>
      <c r="H23" s="65"/>
      <c r="I23" s="65">
        <f>(Source!P91)/1000</f>
        <v>0</v>
      </c>
      <c r="J23" s="65"/>
      <c r="K23" s="66" t="s">
        <v>244</v>
      </c>
      <c r="L23" s="66"/>
    </row>
    <row r="24" spans="1:12" ht="14.25" x14ac:dyDescent="0.2">
      <c r="A24" s="13"/>
      <c r="B24" s="13"/>
      <c r="C24" s="68" t="s">
        <v>247</v>
      </c>
      <c r="D24" s="68"/>
      <c r="E24" s="68"/>
      <c r="F24" s="68"/>
      <c r="G24" s="65">
        <f>SUM(Y1:Y83)/1000</f>
        <v>0</v>
      </c>
      <c r="H24" s="65"/>
      <c r="I24" s="65">
        <f>(Source!P82)/1000</f>
        <v>0</v>
      </c>
      <c r="J24" s="65"/>
      <c r="K24" s="66" t="s">
        <v>244</v>
      </c>
      <c r="L24" s="66"/>
    </row>
    <row r="25" spans="1:12" ht="14.25" x14ac:dyDescent="0.2">
      <c r="A25" s="13"/>
      <c r="B25" s="13"/>
      <c r="C25" s="68" t="s">
        <v>248</v>
      </c>
      <c r="D25" s="68"/>
      <c r="E25" s="68"/>
      <c r="F25" s="68"/>
      <c r="G25" s="65">
        <f>SUM(Z1:Z83)/1000</f>
        <v>0</v>
      </c>
      <c r="H25" s="65"/>
      <c r="I25" s="65">
        <f>(Source!P92+Source!P93)/1000</f>
        <v>0</v>
      </c>
      <c r="J25" s="65"/>
      <c r="K25" s="66" t="s">
        <v>244</v>
      </c>
      <c r="L25" s="66"/>
    </row>
    <row r="26" spans="1:12" ht="15" x14ac:dyDescent="0.25">
      <c r="A26" s="13"/>
      <c r="B26" s="13"/>
      <c r="C26" s="64" t="s">
        <v>249</v>
      </c>
      <c r="D26" s="64"/>
      <c r="E26" s="64"/>
      <c r="F26" s="64"/>
      <c r="G26" s="65">
        <f>I26</f>
        <v>9714.1833045000021</v>
      </c>
      <c r="H26" s="65"/>
      <c r="I26" s="65">
        <f>(Source!P95+Source!P96)</f>
        <v>9714.1833045000021</v>
      </c>
      <c r="J26" s="65"/>
      <c r="K26" s="66" t="s">
        <v>250</v>
      </c>
      <c r="L26" s="66"/>
    </row>
    <row r="27" spans="1:12" ht="15" x14ac:dyDescent="0.25">
      <c r="A27" s="13"/>
      <c r="B27" s="13"/>
      <c r="C27" s="64" t="s">
        <v>251</v>
      </c>
      <c r="D27" s="64"/>
      <c r="E27" s="64"/>
      <c r="F27" s="64"/>
      <c r="G27" s="65">
        <f>SUM(R1:R83)/1000</f>
        <v>84.986890000000002</v>
      </c>
      <c r="H27" s="65"/>
      <c r="I27" s="65">
        <f>((Source!P88 + Source!P87)/1000)</f>
        <v>580.46057000000008</v>
      </c>
      <c r="J27" s="65"/>
      <c r="K27" s="66" t="s">
        <v>244</v>
      </c>
      <c r="L27" s="66"/>
    </row>
    <row r="28" spans="1:12" ht="14.25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</row>
    <row r="29" spans="1:12" ht="14.25" x14ac:dyDescent="0.2">
      <c r="A29" s="67" t="s">
        <v>264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2" ht="57" x14ac:dyDescent="0.2">
      <c r="A30" s="23" t="s">
        <v>252</v>
      </c>
      <c r="B30" s="23" t="s">
        <v>253</v>
      </c>
      <c r="C30" s="23" t="s">
        <v>254</v>
      </c>
      <c r="D30" s="23" t="s">
        <v>255</v>
      </c>
      <c r="E30" s="23" t="s">
        <v>256</v>
      </c>
      <c r="F30" s="23" t="s">
        <v>257</v>
      </c>
      <c r="G30" s="23" t="s">
        <v>258</v>
      </c>
      <c r="H30" s="23" t="s">
        <v>259</v>
      </c>
      <c r="I30" s="23" t="s">
        <v>260</v>
      </c>
      <c r="J30" s="23" t="s">
        <v>261</v>
      </c>
      <c r="K30" s="23" t="s">
        <v>262</v>
      </c>
      <c r="L30" s="23" t="s">
        <v>263</v>
      </c>
    </row>
    <row r="31" spans="1:12" ht="14.25" x14ac:dyDescent="0.2">
      <c r="A31" s="24">
        <v>1</v>
      </c>
      <c r="B31" s="24">
        <v>2</v>
      </c>
      <c r="C31" s="24">
        <v>3</v>
      </c>
      <c r="D31" s="24">
        <v>4</v>
      </c>
      <c r="E31" s="24">
        <v>5</v>
      </c>
      <c r="F31" s="24">
        <v>6</v>
      </c>
      <c r="G31" s="24">
        <v>7</v>
      </c>
      <c r="H31" s="24">
        <v>8</v>
      </c>
      <c r="I31" s="24">
        <v>9</v>
      </c>
      <c r="J31" s="24">
        <v>10</v>
      </c>
      <c r="K31" s="24">
        <v>11</v>
      </c>
      <c r="L31" s="25">
        <v>12</v>
      </c>
    </row>
    <row r="33" spans="1:26" ht="16.5" x14ac:dyDescent="0.25">
      <c r="A33" s="58" t="str">
        <f>CONCATENATE("Локальная смета: ",IF(Source!G20&lt;&gt;"Новая локальная смета", Source!G20, ""))</f>
        <v xml:space="preserve">Локальная смета: 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26" ht="28.5" x14ac:dyDescent="0.2">
      <c r="A34" s="49" t="str">
        <f>Source!E25</f>
        <v>1</v>
      </c>
      <c r="B34" s="50" t="str">
        <f>Source!F25</f>
        <v>57-3-1</v>
      </c>
      <c r="C34" s="50" t="str">
        <f>Source!G25</f>
        <v>Разборка плинтусов деревянных и из пластмассовых материалов</v>
      </c>
      <c r="D34" s="31" t="str">
        <f>Source!H25</f>
        <v>100 м</v>
      </c>
      <c r="E34" s="12">
        <f>Source!I25</f>
        <v>26.367000000000001</v>
      </c>
      <c r="F34" s="32">
        <f>Source!AL25+Source!AM25+Source!AO25</f>
        <v>29.41</v>
      </c>
      <c r="G34" s="33"/>
      <c r="H34" s="34"/>
      <c r="I34" s="33" t="str">
        <f>Source!BO25</f>
        <v/>
      </c>
      <c r="J34" s="33"/>
      <c r="K34" s="34"/>
      <c r="L34" s="35"/>
      <c r="S34">
        <f>ROUND((Source!FX25/100)*((ROUND(Source!AF25*Source!I25, 2)+ROUND(Source!AE25*Source!I25, 2))), 2)</f>
        <v>620.36</v>
      </c>
      <c r="T34">
        <f>Source!X25</f>
        <v>4237.08</v>
      </c>
      <c r="U34">
        <f>ROUND((Source!FY25/100)*((ROUND(Source!AF25*Source!I25, 2)+ROUND(Source!AE25*Source!I25, 2))), 2)</f>
        <v>527.30999999999995</v>
      </c>
      <c r="V34">
        <f>Source!Y25</f>
        <v>3601.52</v>
      </c>
    </row>
    <row r="35" spans="1:26" x14ac:dyDescent="0.2">
      <c r="C35" s="26" t="str">
        <f>"Объем: "&amp;Source!I25&amp;"=2636,7/"&amp;"100"</f>
        <v>Объем: 26,367=2636,7/100</v>
      </c>
    </row>
    <row r="36" spans="1:26" ht="14.25" x14ac:dyDescent="0.2">
      <c r="A36" s="49"/>
      <c r="B36" s="50"/>
      <c r="C36" s="50" t="s">
        <v>265</v>
      </c>
      <c r="D36" s="31"/>
      <c r="E36" s="12"/>
      <c r="F36" s="32">
        <f>Source!AO25</f>
        <v>29.41</v>
      </c>
      <c r="G36" s="33" t="str">
        <f>Source!DG25</f>
        <v/>
      </c>
      <c r="H36" s="34">
        <f>ROUND(Source!AF25*Source!I25, 2)</f>
        <v>775.45</v>
      </c>
      <c r="I36" s="33"/>
      <c r="J36" s="33">
        <f>IF(Source!BA25&lt;&gt; 0, Source!BA25, 1)</f>
        <v>6.83</v>
      </c>
      <c r="K36" s="34">
        <f>Source!S25</f>
        <v>5296.35</v>
      </c>
      <c r="L36" s="35"/>
      <c r="R36">
        <f>H36</f>
        <v>775.45</v>
      </c>
    </row>
    <row r="37" spans="1:26" ht="14.25" x14ac:dyDescent="0.2">
      <c r="A37" s="49"/>
      <c r="B37" s="50"/>
      <c r="C37" s="50" t="s">
        <v>266</v>
      </c>
      <c r="D37" s="31" t="s">
        <v>267</v>
      </c>
      <c r="E37" s="12">
        <f>Source!BZ25</f>
        <v>80</v>
      </c>
      <c r="F37" s="53"/>
      <c r="G37" s="33"/>
      <c r="H37" s="34">
        <f>SUM(S34:S39)</f>
        <v>620.36</v>
      </c>
      <c r="I37" s="36"/>
      <c r="J37" s="30">
        <f>Source!AT25</f>
        <v>80</v>
      </c>
      <c r="K37" s="34">
        <f>SUM(T34:T39)</f>
        <v>4237.08</v>
      </c>
      <c r="L37" s="35"/>
    </row>
    <row r="38" spans="1:26" ht="14.25" x14ac:dyDescent="0.2">
      <c r="A38" s="49"/>
      <c r="B38" s="50"/>
      <c r="C38" s="50" t="s">
        <v>268</v>
      </c>
      <c r="D38" s="31" t="s">
        <v>267</v>
      </c>
      <c r="E38" s="12">
        <f>Source!CA25</f>
        <v>68</v>
      </c>
      <c r="F38" s="53"/>
      <c r="G38" s="33"/>
      <c r="H38" s="34">
        <f>SUM(U34:U39)</f>
        <v>527.30999999999995</v>
      </c>
      <c r="I38" s="36"/>
      <c r="J38" s="30">
        <f>Source!AU25</f>
        <v>68</v>
      </c>
      <c r="K38" s="34">
        <f>SUM(V34:V39)</f>
        <v>3601.52</v>
      </c>
      <c r="L38" s="35"/>
    </row>
    <row r="39" spans="1:26" ht="14.25" x14ac:dyDescent="0.2">
      <c r="A39" s="51"/>
      <c r="B39" s="52"/>
      <c r="C39" s="52" t="s">
        <v>269</v>
      </c>
      <c r="D39" s="37" t="s">
        <v>270</v>
      </c>
      <c r="E39" s="38">
        <f>Source!AQ25</f>
        <v>3.77</v>
      </c>
      <c r="F39" s="39"/>
      <c r="G39" s="40" t="str">
        <f>Source!DI25</f>
        <v/>
      </c>
      <c r="H39" s="41"/>
      <c r="I39" s="40"/>
      <c r="J39" s="40"/>
      <c r="K39" s="41"/>
      <c r="L39" s="42">
        <f>Source!U25</f>
        <v>99.403590000000008</v>
      </c>
    </row>
    <row r="40" spans="1:26" ht="15" x14ac:dyDescent="0.25">
      <c r="G40" s="57">
        <f>H36+H37+H38</f>
        <v>1923.12</v>
      </c>
      <c r="H40" s="57"/>
      <c r="J40" s="57">
        <f>K36+K37+K38</f>
        <v>13134.95</v>
      </c>
      <c r="K40" s="57"/>
      <c r="L40" s="43">
        <f>Source!U25</f>
        <v>99.403590000000008</v>
      </c>
      <c r="O40" s="27">
        <f>G40</f>
        <v>1923.12</v>
      </c>
      <c r="P40" s="27">
        <f>J40</f>
        <v>13134.95</v>
      </c>
      <c r="Q40" s="27">
        <f>L40</f>
        <v>99.403590000000008</v>
      </c>
      <c r="W40">
        <f>IF(Source!BI25&lt;=1,H36+H37+H38, 0)</f>
        <v>1923.12</v>
      </c>
      <c r="X40">
        <f>IF(Source!BI25=2,H36+H37+H38, 0)</f>
        <v>0</v>
      </c>
      <c r="Y40">
        <f>IF(Source!BI25=3,H36+H37+H38, 0)</f>
        <v>0</v>
      </c>
      <c r="Z40">
        <f>IF(Source!BI25=4,H36+H37+H38, 0)</f>
        <v>0</v>
      </c>
    </row>
    <row r="41" spans="1:26" ht="28.5" x14ac:dyDescent="0.2">
      <c r="A41" s="49" t="str">
        <f>Source!E27</f>
        <v>2</v>
      </c>
      <c r="B41" s="50" t="str">
        <f>Source!F27</f>
        <v>57-2-1</v>
      </c>
      <c r="C41" s="50" t="str">
        <f>Source!G27</f>
        <v>Разборка покрытий полов из линолеума</v>
      </c>
      <c r="D41" s="31" t="str">
        <f>Source!H27</f>
        <v>100 м2</v>
      </c>
      <c r="E41" s="12">
        <f>Source!I27</f>
        <v>24.207000000000001</v>
      </c>
      <c r="F41" s="32">
        <f>Source!AL27+Source!AM27+Source!AO27</f>
        <v>92.9</v>
      </c>
      <c r="G41" s="33"/>
      <c r="H41" s="34"/>
      <c r="I41" s="33" t="str">
        <f>Source!BO27</f>
        <v/>
      </c>
      <c r="J41" s="33"/>
      <c r="K41" s="34"/>
      <c r="L41" s="35"/>
      <c r="S41">
        <f>ROUND((Source!FX27/100)*((ROUND(Source!AF27*Source!I27, 2)+ROUND(Source!AE27*Source!I27, 2))), 2)</f>
        <v>1754.52</v>
      </c>
      <c r="T41">
        <f>Source!X27</f>
        <v>11983.4</v>
      </c>
      <c r="U41">
        <f>ROUND((Source!FY27/100)*((ROUND(Source!AF27*Source!I27, 2)+ROUND(Source!AE27*Source!I27, 2))), 2)</f>
        <v>1491.34</v>
      </c>
      <c r="V41">
        <f>Source!Y27</f>
        <v>10185.89</v>
      </c>
    </row>
    <row r="42" spans="1:26" x14ac:dyDescent="0.2">
      <c r="C42" s="26" t="str">
        <f>"Объем: "&amp;Source!I27&amp;"=2420,7/"&amp;"100"</f>
        <v>Объем: 24,207=2420,7/100</v>
      </c>
    </row>
    <row r="43" spans="1:26" ht="14.25" x14ac:dyDescent="0.2">
      <c r="A43" s="49"/>
      <c r="B43" s="50"/>
      <c r="C43" s="50" t="s">
        <v>265</v>
      </c>
      <c r="D43" s="31"/>
      <c r="E43" s="12"/>
      <c r="F43" s="32">
        <f>Source!AO27</f>
        <v>88.84</v>
      </c>
      <c r="G43" s="33" t="str">
        <f>Source!DG27</f>
        <v/>
      </c>
      <c r="H43" s="34">
        <f>ROUND(Source!AF27*Source!I27, 2)</f>
        <v>2150.5500000000002</v>
      </c>
      <c r="I43" s="33"/>
      <c r="J43" s="33">
        <f>IF(Source!BA27&lt;&gt; 0, Source!BA27, 1)</f>
        <v>6.83</v>
      </c>
      <c r="K43" s="34">
        <f>Source!S27</f>
        <v>14688.26</v>
      </c>
      <c r="L43" s="35"/>
      <c r="R43">
        <f>H43</f>
        <v>2150.5500000000002</v>
      </c>
    </row>
    <row r="44" spans="1:26" ht="14.25" x14ac:dyDescent="0.2">
      <c r="A44" s="49"/>
      <c r="B44" s="50"/>
      <c r="C44" s="50" t="s">
        <v>80</v>
      </c>
      <c r="D44" s="31"/>
      <c r="E44" s="12"/>
      <c r="F44" s="32">
        <f>Source!AM27</f>
        <v>4.0599999999999996</v>
      </c>
      <c r="G44" s="33" t="str">
        <f>Source!DE27</f>
        <v/>
      </c>
      <c r="H44" s="34">
        <f>ROUND(Source!AD27*Source!I27, 2)</f>
        <v>98.28</v>
      </c>
      <c r="I44" s="33"/>
      <c r="J44" s="33">
        <f>IF(Source!BB27&lt;&gt; 0, Source!BB27, 1)</f>
        <v>6.83</v>
      </c>
      <c r="K44" s="34">
        <f>Source!Q27</f>
        <v>671.26</v>
      </c>
      <c r="L44" s="35"/>
    </row>
    <row r="45" spans="1:26" ht="14.25" x14ac:dyDescent="0.2">
      <c r="A45" s="49"/>
      <c r="B45" s="50"/>
      <c r="C45" s="50" t="s">
        <v>271</v>
      </c>
      <c r="D45" s="31"/>
      <c r="E45" s="12"/>
      <c r="F45" s="32">
        <f>Source!AN27</f>
        <v>1.76</v>
      </c>
      <c r="G45" s="33" t="str">
        <f>Source!DF27</f>
        <v/>
      </c>
      <c r="H45" s="44">
        <f>ROUND(Source!AE27*Source!I27, 2)</f>
        <v>42.6</v>
      </c>
      <c r="I45" s="33"/>
      <c r="J45" s="33">
        <f>IF(Source!BS27&lt;&gt; 0, Source!BS27, 1)</f>
        <v>6.83</v>
      </c>
      <c r="K45" s="44">
        <f>Source!R27</f>
        <v>290.99</v>
      </c>
      <c r="L45" s="35"/>
      <c r="R45">
        <f>H45</f>
        <v>42.6</v>
      </c>
    </row>
    <row r="46" spans="1:26" ht="14.25" x14ac:dyDescent="0.2">
      <c r="A46" s="49"/>
      <c r="B46" s="50"/>
      <c r="C46" s="50" t="s">
        <v>266</v>
      </c>
      <c r="D46" s="31" t="s">
        <v>267</v>
      </c>
      <c r="E46" s="12">
        <f>Source!BZ27</f>
        <v>80</v>
      </c>
      <c r="F46" s="53"/>
      <c r="G46" s="33"/>
      <c r="H46" s="34">
        <f>SUM(S41:S48)</f>
        <v>1754.52</v>
      </c>
      <c r="I46" s="36"/>
      <c r="J46" s="30">
        <f>Source!AT27</f>
        <v>80</v>
      </c>
      <c r="K46" s="34">
        <f>SUM(T41:T48)</f>
        <v>11983.4</v>
      </c>
      <c r="L46" s="35"/>
    </row>
    <row r="47" spans="1:26" ht="14.25" x14ac:dyDescent="0.2">
      <c r="A47" s="49"/>
      <c r="B47" s="50"/>
      <c r="C47" s="50" t="s">
        <v>268</v>
      </c>
      <c r="D47" s="31" t="s">
        <v>267</v>
      </c>
      <c r="E47" s="12">
        <f>Source!CA27</f>
        <v>68</v>
      </c>
      <c r="F47" s="53"/>
      <c r="G47" s="33"/>
      <c r="H47" s="34">
        <f>SUM(U41:U48)</f>
        <v>1491.34</v>
      </c>
      <c r="I47" s="36"/>
      <c r="J47" s="30">
        <f>Source!AU27</f>
        <v>68</v>
      </c>
      <c r="K47" s="34">
        <f>SUM(V41:V48)</f>
        <v>10185.89</v>
      </c>
      <c r="L47" s="35"/>
    </row>
    <row r="48" spans="1:26" ht="14.25" x14ac:dyDescent="0.2">
      <c r="A48" s="51"/>
      <c r="B48" s="52"/>
      <c r="C48" s="52" t="s">
        <v>269</v>
      </c>
      <c r="D48" s="37" t="s">
        <v>270</v>
      </c>
      <c r="E48" s="38">
        <f>Source!AQ27</f>
        <v>11.39</v>
      </c>
      <c r="F48" s="39"/>
      <c r="G48" s="40" t="str">
        <f>Source!DI27</f>
        <v/>
      </c>
      <c r="H48" s="41"/>
      <c r="I48" s="40"/>
      <c r="J48" s="40"/>
      <c r="K48" s="41"/>
      <c r="L48" s="42">
        <f>Source!U27</f>
        <v>275.71773000000002</v>
      </c>
    </row>
    <row r="49" spans="1:26" ht="15" x14ac:dyDescent="0.25">
      <c r="G49" s="57">
        <f>H43+H44+H46+H47</f>
        <v>5494.6900000000005</v>
      </c>
      <c r="H49" s="57"/>
      <c r="J49" s="57">
        <f>K43+K44+K46+K47</f>
        <v>37528.81</v>
      </c>
      <c r="K49" s="57"/>
      <c r="L49" s="43">
        <f>Source!U27</f>
        <v>275.71773000000002</v>
      </c>
      <c r="O49" s="27">
        <f>G49</f>
        <v>5494.6900000000005</v>
      </c>
      <c r="P49" s="27">
        <f>J49</f>
        <v>37528.81</v>
      </c>
      <c r="Q49" s="27">
        <f>L49</f>
        <v>275.71773000000002</v>
      </c>
      <c r="W49">
        <f>IF(Source!BI27&lt;=1,H43+H44+H46+H47, 0)</f>
        <v>5494.6900000000005</v>
      </c>
      <c r="X49">
        <f>IF(Source!BI27=2,H43+H44+H46+H47, 0)</f>
        <v>0</v>
      </c>
      <c r="Y49">
        <f>IF(Source!BI27=3,H43+H44+H46+H47, 0)</f>
        <v>0</v>
      </c>
      <c r="Z49">
        <f>IF(Source!BI27=4,H43+H44+H46+H47, 0)</f>
        <v>0</v>
      </c>
    </row>
    <row r="50" spans="1:26" ht="42.75" x14ac:dyDescent="0.2">
      <c r="A50" s="49" t="str">
        <f>Source!E29</f>
        <v>3</v>
      </c>
      <c r="B50" s="50" t="str">
        <f>Source!F29</f>
        <v>11-01-011-08</v>
      </c>
      <c r="C50" s="50" t="str">
        <f>Source!G29</f>
        <v>Устройство стяжек из выравнивающей смеси типа "Старатели" , толщиной 5 мм</v>
      </c>
      <c r="D50" s="31" t="str">
        <f>Source!H29</f>
        <v>100 м2</v>
      </c>
      <c r="E50" s="12">
        <f>Source!I29</f>
        <v>24.207000000000001</v>
      </c>
      <c r="F50" s="32">
        <f>Source!AL29+Source!AM29+Source!AO29</f>
        <v>11028.89</v>
      </c>
      <c r="G50" s="33"/>
      <c r="H50" s="34"/>
      <c r="I50" s="33" t="str">
        <f>Source!BO29</f>
        <v/>
      </c>
      <c r="J50" s="33"/>
      <c r="K50" s="34"/>
      <c r="L50" s="35"/>
      <c r="S50">
        <f>ROUND((Source!FX29/100)*((ROUND(Source!AF29*Source!I29, 2)+ROUND(Source!AE29*Source!I29, 2))), 2)</f>
        <v>9968.32</v>
      </c>
      <c r="T50">
        <f>Source!X29</f>
        <v>68268.160000000003</v>
      </c>
      <c r="U50">
        <f>ROUND((Source!FY29/100)*((ROUND(Source!AF29*Source!I29, 2)+ROUND(Source!AE29*Source!I29, 2))), 2)</f>
        <v>5740.57</v>
      </c>
      <c r="V50">
        <f>Source!Y29</f>
        <v>39361.82</v>
      </c>
    </row>
    <row r="51" spans="1:26" x14ac:dyDescent="0.2">
      <c r="C51" s="26" t="str">
        <f>"Объем: "&amp;Source!I29&amp;"=2420,7/"&amp;"100"</f>
        <v>Объем: 24,207=2420,7/100</v>
      </c>
    </row>
    <row r="52" spans="1:26" ht="14.25" x14ac:dyDescent="0.2">
      <c r="A52" s="49"/>
      <c r="B52" s="50"/>
      <c r="C52" s="50" t="s">
        <v>265</v>
      </c>
      <c r="D52" s="31"/>
      <c r="E52" s="12"/>
      <c r="F52" s="32">
        <f>Source!AO29</f>
        <v>321.33</v>
      </c>
      <c r="G52" s="33" t="str">
        <f>Source!DG29</f>
        <v>)*1,15</v>
      </c>
      <c r="H52" s="34">
        <f>ROUND(Source!AF29*Source!I29, 2)</f>
        <v>8945.2000000000007</v>
      </c>
      <c r="I52" s="33"/>
      <c r="J52" s="33">
        <f>IF(Source!BA29&lt;&gt; 0, Source!BA29, 1)</f>
        <v>6.83</v>
      </c>
      <c r="K52" s="34">
        <f>Source!S29</f>
        <v>61095.72</v>
      </c>
      <c r="L52" s="35"/>
      <c r="R52">
        <f>H52</f>
        <v>8945.2000000000007</v>
      </c>
    </row>
    <row r="53" spans="1:26" ht="14.25" x14ac:dyDescent="0.2">
      <c r="A53" s="49"/>
      <c r="B53" s="50"/>
      <c r="C53" s="50" t="s">
        <v>80</v>
      </c>
      <c r="D53" s="31"/>
      <c r="E53" s="12"/>
      <c r="F53" s="32">
        <f>Source!AM29</f>
        <v>6.23</v>
      </c>
      <c r="G53" s="33" t="str">
        <f>Source!DE29</f>
        <v>)*1,25</v>
      </c>
      <c r="H53" s="34">
        <f>ROUND(Source!AD29*Source!I29, 2)</f>
        <v>188.51</v>
      </c>
      <c r="I53" s="33"/>
      <c r="J53" s="33">
        <f>IF(Source!BB29&lt;&gt; 0, Source!BB29, 1)</f>
        <v>6.83</v>
      </c>
      <c r="K53" s="34">
        <f>Source!Q29</f>
        <v>1287.54</v>
      </c>
      <c r="L53" s="35"/>
    </row>
    <row r="54" spans="1:26" ht="14.25" x14ac:dyDescent="0.2">
      <c r="A54" s="49"/>
      <c r="B54" s="50"/>
      <c r="C54" s="50" t="s">
        <v>271</v>
      </c>
      <c r="D54" s="31"/>
      <c r="E54" s="12"/>
      <c r="F54" s="32">
        <f>Source!AN29</f>
        <v>1.97</v>
      </c>
      <c r="G54" s="33" t="str">
        <f>Source!DF29</f>
        <v>)*1,25</v>
      </c>
      <c r="H54" s="44">
        <f>ROUND(Source!AE29*Source!I29, 2)</f>
        <v>59.61</v>
      </c>
      <c r="I54" s="33"/>
      <c r="J54" s="33">
        <f>IF(Source!BS29&lt;&gt; 0, Source!BS29, 1)</f>
        <v>6.83</v>
      </c>
      <c r="K54" s="44">
        <f>Source!R29</f>
        <v>407.13</v>
      </c>
      <c r="L54" s="35"/>
      <c r="R54">
        <f>H54</f>
        <v>59.61</v>
      </c>
    </row>
    <row r="55" spans="1:26" ht="14.25" x14ac:dyDescent="0.2">
      <c r="A55" s="49"/>
      <c r="B55" s="50"/>
      <c r="C55" s="50" t="s">
        <v>272</v>
      </c>
      <c r="D55" s="31"/>
      <c r="E55" s="12"/>
      <c r="F55" s="32">
        <f>Source!AL29</f>
        <v>10701.33</v>
      </c>
      <c r="G55" s="33" t="str">
        <f>Source!DD29</f>
        <v/>
      </c>
      <c r="H55" s="34">
        <f>ROUND(Source!AC29*Source!I29, 2)</f>
        <v>259047.1</v>
      </c>
      <c r="I55" s="33"/>
      <c r="J55" s="33">
        <f>IF(Source!BC29&lt;&gt; 0, Source!BC29, 1)</f>
        <v>6.83</v>
      </c>
      <c r="K55" s="34">
        <f>Source!P29</f>
        <v>1769291.66</v>
      </c>
      <c r="L55" s="35"/>
    </row>
    <row r="56" spans="1:26" ht="14.25" x14ac:dyDescent="0.2">
      <c r="A56" s="49"/>
      <c r="B56" s="50"/>
      <c r="C56" s="50" t="s">
        <v>266</v>
      </c>
      <c r="D56" s="31" t="s">
        <v>267</v>
      </c>
      <c r="E56" s="12">
        <f>Source!BZ29</f>
        <v>123</v>
      </c>
      <c r="F56" s="59" t="str">
        <f>CONCATENATE(" )", Source!DL29, Source!FT29, "=", Source!FX29)</f>
        <v xml:space="preserve"> )*0,9=110,7</v>
      </c>
      <c r="G56" s="60"/>
      <c r="H56" s="34">
        <f>SUM(S50:S58)</f>
        <v>9968.32</v>
      </c>
      <c r="I56" s="36"/>
      <c r="J56" s="30">
        <f>Source!AT29</f>
        <v>111</v>
      </c>
      <c r="K56" s="34">
        <f>SUM(T50:T58)</f>
        <v>68268.160000000003</v>
      </c>
      <c r="L56" s="35"/>
    </row>
    <row r="57" spans="1:26" ht="14.25" x14ac:dyDescent="0.2">
      <c r="A57" s="49"/>
      <c r="B57" s="50"/>
      <c r="C57" s="50" t="s">
        <v>268</v>
      </c>
      <c r="D57" s="31" t="s">
        <v>267</v>
      </c>
      <c r="E57" s="12">
        <f>Source!CA29</f>
        <v>75</v>
      </c>
      <c r="F57" s="59" t="str">
        <f>CONCATENATE(" )", Source!DM29, Source!FU29, "=", Source!FY29)</f>
        <v xml:space="preserve"> )*0,85=63,75</v>
      </c>
      <c r="G57" s="60"/>
      <c r="H57" s="34">
        <f>SUM(U50:U58)</f>
        <v>5740.57</v>
      </c>
      <c r="I57" s="36"/>
      <c r="J57" s="30">
        <f>Source!AU29</f>
        <v>64</v>
      </c>
      <c r="K57" s="34">
        <f>SUM(V50:V58)</f>
        <v>39361.82</v>
      </c>
      <c r="L57" s="35"/>
    </row>
    <row r="58" spans="1:26" ht="14.25" x14ac:dyDescent="0.2">
      <c r="A58" s="51"/>
      <c r="B58" s="52"/>
      <c r="C58" s="52" t="s">
        <v>269</v>
      </c>
      <c r="D58" s="37" t="s">
        <v>270</v>
      </c>
      <c r="E58" s="38">
        <f>Source!AQ29</f>
        <v>37.67</v>
      </c>
      <c r="F58" s="39"/>
      <c r="G58" s="40" t="str">
        <f>Source!DI29</f>
        <v>)*1,15</v>
      </c>
      <c r="H58" s="41"/>
      <c r="I58" s="40"/>
      <c r="J58" s="40"/>
      <c r="K58" s="41"/>
      <c r="L58" s="42">
        <f>Source!U29</f>
        <v>1048.6593435</v>
      </c>
    </row>
    <row r="59" spans="1:26" ht="15" x14ac:dyDescent="0.25">
      <c r="G59" s="57">
        <f>H52+H53+H55+H56+H57</f>
        <v>283889.7</v>
      </c>
      <c r="H59" s="57"/>
      <c r="J59" s="57">
        <f>K52+K53+K55+K56+K57</f>
        <v>1939304.9</v>
      </c>
      <c r="K59" s="57"/>
      <c r="L59" s="43">
        <f>Source!U29</f>
        <v>1048.6593435</v>
      </c>
      <c r="O59" s="27">
        <f>G59</f>
        <v>283889.7</v>
      </c>
      <c r="P59" s="27">
        <f>J59</f>
        <v>1939304.9</v>
      </c>
      <c r="Q59" s="27">
        <f>L59</f>
        <v>1048.6593435</v>
      </c>
      <c r="W59">
        <f>IF(Source!BI29&lt;=1,H52+H53+H55+H56+H57, 0)</f>
        <v>283889.7</v>
      </c>
      <c r="X59">
        <f>IF(Source!BI29=2,H52+H53+H55+H56+H57, 0)</f>
        <v>0</v>
      </c>
      <c r="Y59">
        <f>IF(Source!BI29=3,H52+H53+H55+H56+H57, 0)</f>
        <v>0</v>
      </c>
      <c r="Z59">
        <f>IF(Source!BI29=4,H52+H53+H55+H56+H57, 0)</f>
        <v>0</v>
      </c>
    </row>
    <row r="60" spans="1:26" ht="28.5" x14ac:dyDescent="0.2">
      <c r="A60" s="49" t="str">
        <f>Source!E31</f>
        <v>4</v>
      </c>
      <c r="B60" s="50" t="str">
        <f>Source!F31</f>
        <v>11-01-047-01</v>
      </c>
      <c r="C60" s="50" t="str">
        <f>Source!G31</f>
        <v xml:space="preserve">Устройство покрытий из плит керамогранитных размером 40х40 см </v>
      </c>
      <c r="D60" s="31" t="str">
        <f>Source!H31</f>
        <v>100 м2</v>
      </c>
      <c r="E60" s="12">
        <f>Source!I31</f>
        <v>24.207000000000001</v>
      </c>
      <c r="F60" s="32">
        <f>Source!AL31+Source!AM31+Source!AO31</f>
        <v>21576.86</v>
      </c>
      <c r="G60" s="33"/>
      <c r="H60" s="34"/>
      <c r="I60" s="33" t="str">
        <f>Source!BO31</f>
        <v/>
      </c>
      <c r="J60" s="33"/>
      <c r="K60" s="34"/>
      <c r="L60" s="35"/>
      <c r="S60">
        <f>ROUND((Source!FX31/100)*((ROUND(Source!AF31*Source!I31, 2)+ROUND(Source!AE31*Source!I31, 2))), 2)</f>
        <v>73171.759999999995</v>
      </c>
      <c r="T60">
        <f>Source!X31</f>
        <v>501117.49</v>
      </c>
      <c r="U60">
        <f>ROUND((Source!FY31/100)*((ROUND(Source!AF31*Source!I31, 2)+ROUND(Source!AE31*Source!I31, 2))), 2)</f>
        <v>42138.21</v>
      </c>
      <c r="V60">
        <f>Source!Y31</f>
        <v>288932.61</v>
      </c>
    </row>
    <row r="61" spans="1:26" x14ac:dyDescent="0.2">
      <c r="C61" s="26" t="str">
        <f>"Объем: "&amp;Source!I31&amp;"=2420,7/"&amp;"100"</f>
        <v>Объем: 24,207=2420,7/100</v>
      </c>
    </row>
    <row r="62" spans="1:26" ht="14.25" x14ac:dyDescent="0.2">
      <c r="A62" s="49"/>
      <c r="B62" s="50"/>
      <c r="C62" s="50" t="s">
        <v>265</v>
      </c>
      <c r="D62" s="31"/>
      <c r="E62" s="12"/>
      <c r="F62" s="32">
        <f>Source!AO31</f>
        <v>2713.07</v>
      </c>
      <c r="G62" s="33" t="str">
        <f>Source!DG31</f>
        <v/>
      </c>
      <c r="H62" s="34">
        <f>ROUND(Source!AF31*Source!I31, 2)</f>
        <v>65675.289999999994</v>
      </c>
      <c r="I62" s="33"/>
      <c r="J62" s="33">
        <f>IF(Source!BA31&lt;&gt; 0, Source!BA31, 1)</f>
        <v>6.83</v>
      </c>
      <c r="K62" s="34">
        <f>Source!S31</f>
        <v>448562.2</v>
      </c>
      <c r="L62" s="35"/>
      <c r="R62">
        <f>H62</f>
        <v>65675.289999999994</v>
      </c>
    </row>
    <row r="63" spans="1:26" ht="14.25" x14ac:dyDescent="0.2">
      <c r="A63" s="49"/>
      <c r="B63" s="50"/>
      <c r="C63" s="50" t="s">
        <v>80</v>
      </c>
      <c r="D63" s="31"/>
      <c r="E63" s="12"/>
      <c r="F63" s="32">
        <f>Source!AM31</f>
        <v>24.15</v>
      </c>
      <c r="G63" s="33" t="str">
        <f>Source!DE31</f>
        <v/>
      </c>
      <c r="H63" s="34">
        <f>ROUND(Source!AD31*Source!I31, 2)</f>
        <v>584.6</v>
      </c>
      <c r="I63" s="33"/>
      <c r="J63" s="33">
        <f>IF(Source!BB31&lt;&gt; 0, Source!BB31, 1)</f>
        <v>6.83</v>
      </c>
      <c r="K63" s="34">
        <f>Source!Q31</f>
        <v>3992.81</v>
      </c>
      <c r="L63" s="35"/>
    </row>
    <row r="64" spans="1:26" ht="14.25" x14ac:dyDescent="0.2">
      <c r="A64" s="49"/>
      <c r="B64" s="50"/>
      <c r="C64" s="50" t="s">
        <v>271</v>
      </c>
      <c r="D64" s="31"/>
      <c r="E64" s="12"/>
      <c r="F64" s="32">
        <f>Source!AN31</f>
        <v>17.510000000000002</v>
      </c>
      <c r="G64" s="33" t="str">
        <f>Source!DF31</f>
        <v/>
      </c>
      <c r="H64" s="44">
        <f>ROUND(Source!AE31*Source!I31, 2)</f>
        <v>423.86</v>
      </c>
      <c r="I64" s="33"/>
      <c r="J64" s="33">
        <f>IF(Source!BS31&lt;&gt; 0, Source!BS31, 1)</f>
        <v>6.83</v>
      </c>
      <c r="K64" s="44">
        <f>Source!R31</f>
        <v>2895</v>
      </c>
      <c r="L64" s="35"/>
      <c r="R64">
        <f>H64</f>
        <v>423.86</v>
      </c>
    </row>
    <row r="65" spans="1:26" ht="14.25" x14ac:dyDescent="0.2">
      <c r="A65" s="49"/>
      <c r="B65" s="50"/>
      <c r="C65" s="50" t="s">
        <v>272</v>
      </c>
      <c r="D65" s="31"/>
      <c r="E65" s="12"/>
      <c r="F65" s="32">
        <f>Source!AL31</f>
        <v>18839.64</v>
      </c>
      <c r="G65" s="33" t="str">
        <f>Source!DD31</f>
        <v/>
      </c>
      <c r="H65" s="34">
        <f>ROUND(Source!AC31*Source!I31, 2)</f>
        <v>456051.17</v>
      </c>
      <c r="I65" s="33"/>
      <c r="J65" s="33">
        <f>IF(Source!BC31&lt;&gt; 0, Source!BC31, 1)</f>
        <v>6.83</v>
      </c>
      <c r="K65" s="34">
        <f>Source!P31</f>
        <v>3114829.46</v>
      </c>
      <c r="L65" s="35"/>
    </row>
    <row r="66" spans="1:26" ht="14.25" x14ac:dyDescent="0.2">
      <c r="A66" s="49"/>
      <c r="B66" s="50"/>
      <c r="C66" s="50" t="s">
        <v>266</v>
      </c>
      <c r="D66" s="31" t="s">
        <v>267</v>
      </c>
      <c r="E66" s="12">
        <f>Source!BZ31</f>
        <v>123</v>
      </c>
      <c r="F66" s="59" t="str">
        <f>CONCATENATE(" )", Source!DL31, Source!FT31, "=", Source!FX31)</f>
        <v xml:space="preserve"> )*0,9=110,7</v>
      </c>
      <c r="G66" s="60"/>
      <c r="H66" s="34">
        <f>SUM(S60:S69)</f>
        <v>73171.759999999995</v>
      </c>
      <c r="I66" s="36"/>
      <c r="J66" s="30">
        <f>Source!AT31</f>
        <v>111</v>
      </c>
      <c r="K66" s="34">
        <f>SUM(T60:T69)</f>
        <v>501117.49</v>
      </c>
      <c r="L66" s="35"/>
    </row>
    <row r="67" spans="1:26" ht="14.25" x14ac:dyDescent="0.2">
      <c r="A67" s="49"/>
      <c r="B67" s="50"/>
      <c r="C67" s="50" t="s">
        <v>268</v>
      </c>
      <c r="D67" s="31" t="s">
        <v>267</v>
      </c>
      <c r="E67" s="12">
        <f>Source!CA31</f>
        <v>75</v>
      </c>
      <c r="F67" s="59" t="str">
        <f>CONCATENATE(" )", Source!DM31, Source!FU31, "=", Source!FY31)</f>
        <v xml:space="preserve"> )*0,85=63,75</v>
      </c>
      <c r="G67" s="60"/>
      <c r="H67" s="34">
        <f>SUM(U60:U69)</f>
        <v>42138.21</v>
      </c>
      <c r="I67" s="36"/>
      <c r="J67" s="30">
        <f>Source!AU31</f>
        <v>64</v>
      </c>
      <c r="K67" s="34">
        <f>SUM(V60:V69)</f>
        <v>288932.61</v>
      </c>
      <c r="L67" s="35"/>
    </row>
    <row r="68" spans="1:26" ht="14.25" x14ac:dyDescent="0.2">
      <c r="A68" s="49"/>
      <c r="B68" s="50"/>
      <c r="C68" s="50" t="s">
        <v>269</v>
      </c>
      <c r="D68" s="31" t="s">
        <v>270</v>
      </c>
      <c r="E68" s="12">
        <f>Source!AQ31</f>
        <v>310.42</v>
      </c>
      <c r="F68" s="32"/>
      <c r="G68" s="33" t="str">
        <f>Source!DI31</f>
        <v/>
      </c>
      <c r="H68" s="34"/>
      <c r="I68" s="33"/>
      <c r="J68" s="33"/>
      <c r="K68" s="34"/>
      <c r="L68" s="45">
        <f>Source!U31</f>
        <v>7514.3369400000011</v>
      </c>
    </row>
    <row r="69" spans="1:26" ht="28.5" x14ac:dyDescent="0.2">
      <c r="A69" s="51" t="str">
        <f>Source!E33</f>
        <v>4,1</v>
      </c>
      <c r="B69" s="52" t="str">
        <f>Source!F33</f>
        <v>14.3.01.02-0103</v>
      </c>
      <c r="C69" s="52" t="str">
        <f>Source!G33</f>
        <v>Грунтовка воднодисперсионная CERESIT CT 17</v>
      </c>
      <c r="D69" s="37" t="str">
        <f>Source!H33</f>
        <v>л</v>
      </c>
      <c r="E69" s="38">
        <f>Source!I33</f>
        <v>484.14</v>
      </c>
      <c r="F69" s="39">
        <f>Source!AL33+Source!AM33+Source!AO33</f>
        <v>9.14</v>
      </c>
      <c r="G69" s="46" t="s">
        <v>6</v>
      </c>
      <c r="H69" s="41">
        <f>ROUND(Source!AC33*Source!I33, 2)+ROUND(Source!AD33*Source!I33, 2)+ROUND(Source!AF33*Source!I33, 2)</f>
        <v>4425.04</v>
      </c>
      <c r="I69" s="40"/>
      <c r="J69" s="40">
        <f>IF(Source!BC33&lt;&gt; 0, Source!BC33, 1)</f>
        <v>6.83</v>
      </c>
      <c r="K69" s="41">
        <f>Source!O33</f>
        <v>30223.02</v>
      </c>
      <c r="L69" s="47"/>
      <c r="S69">
        <f>ROUND((Source!FX33/100)*((ROUND(Source!AF33*Source!I33, 2)+ROUND(Source!AE33*Source!I33, 2))), 2)</f>
        <v>0</v>
      </c>
      <c r="T69">
        <f>Source!X33</f>
        <v>0</v>
      </c>
      <c r="U69">
        <f>ROUND((Source!FY33/100)*((ROUND(Source!AF33*Source!I33, 2)+ROUND(Source!AE33*Source!I33, 2))), 2)</f>
        <v>0</v>
      </c>
      <c r="V69">
        <f>Source!Y33</f>
        <v>0</v>
      </c>
      <c r="W69">
        <f>IF(Source!BI33&lt;=1,H69, 0)</f>
        <v>4425.04</v>
      </c>
      <c r="X69">
        <f>IF(Source!BI33=2,H69, 0)</f>
        <v>0</v>
      </c>
      <c r="Y69">
        <f>IF(Source!BI33=3,H69, 0)</f>
        <v>0</v>
      </c>
      <c r="Z69">
        <f>IF(Source!BI33=4,H69, 0)</f>
        <v>0</v>
      </c>
    </row>
    <row r="70" spans="1:26" ht="15" x14ac:dyDescent="0.25">
      <c r="G70" s="57">
        <f>H62+H63+H65+H66+H67+SUM(H69:H69)</f>
        <v>642046.06999999995</v>
      </c>
      <c r="H70" s="57"/>
      <c r="J70" s="57">
        <f>K62+K63+K65+K66+K67+SUM(K69:K69)</f>
        <v>4387657.59</v>
      </c>
      <c r="K70" s="57"/>
      <c r="L70" s="43">
        <f>Source!U31</f>
        <v>7514.3369400000011</v>
      </c>
      <c r="O70" s="27">
        <f>G70</f>
        <v>642046.06999999995</v>
      </c>
      <c r="P70" s="27">
        <f>J70</f>
        <v>4387657.59</v>
      </c>
      <c r="Q70" s="27">
        <f>L70</f>
        <v>7514.3369400000011</v>
      </c>
      <c r="W70">
        <f>IF(Source!BI31&lt;=1,H62+H63+H65+H66+H67, 0)</f>
        <v>637621.02999999991</v>
      </c>
      <c r="X70">
        <f>IF(Source!BI31=2,H62+H63+H65+H66+H67, 0)</f>
        <v>0</v>
      </c>
      <c r="Y70">
        <f>IF(Source!BI31=3,H62+H63+H65+H66+H67, 0)</f>
        <v>0</v>
      </c>
      <c r="Z70">
        <f>IF(Source!BI31=4,H62+H63+H65+H66+H67, 0)</f>
        <v>0</v>
      </c>
    </row>
    <row r="71" spans="1:26" ht="28.5" x14ac:dyDescent="0.2">
      <c r="A71" s="49" t="str">
        <f>Source!E35</f>
        <v>5</v>
      </c>
      <c r="B71" s="50" t="str">
        <f>Source!F35</f>
        <v>11-01-039-04</v>
      </c>
      <c r="C71" s="50" t="str">
        <f>Source!G35</f>
        <v>Устройство плинтусов из плиток керамических</v>
      </c>
      <c r="D71" s="31" t="str">
        <f>Source!H35</f>
        <v>100 м</v>
      </c>
      <c r="E71" s="12">
        <f>Source!I35</f>
        <v>26.367000000000001</v>
      </c>
      <c r="F71" s="32">
        <f>Source!AL35+Source!AM35+Source!AO35</f>
        <v>232.03</v>
      </c>
      <c r="G71" s="33"/>
      <c r="H71" s="34"/>
      <c r="I71" s="33" t="str">
        <f>Source!BO35</f>
        <v/>
      </c>
      <c r="J71" s="33"/>
      <c r="K71" s="34"/>
      <c r="L71" s="35"/>
      <c r="S71">
        <f>ROUND((Source!FX35/100)*((ROUND(Source!AF35*Source!I35, 2)+ROUND(Source!AE35*Source!I35, 2))), 2)</f>
        <v>7654.16</v>
      </c>
      <c r="T71">
        <f>Source!X35</f>
        <v>52419.66</v>
      </c>
      <c r="U71">
        <f>ROUND((Source!FY35/100)*((ROUND(Source!AF35*Source!I35, 2)+ROUND(Source!AE35*Source!I35, 2))), 2)</f>
        <v>4407.8900000000003</v>
      </c>
      <c r="V71">
        <f>Source!Y35</f>
        <v>30223.95</v>
      </c>
    </row>
    <row r="72" spans="1:26" x14ac:dyDescent="0.2">
      <c r="C72" s="26" t="str">
        <f>"Объем: "&amp;Source!I35&amp;"=2636,7/"&amp;"100"</f>
        <v>Объем: 26,367=2636,7/100</v>
      </c>
    </row>
    <row r="73" spans="1:26" ht="14.25" x14ac:dyDescent="0.2">
      <c r="A73" s="49"/>
      <c r="B73" s="50"/>
      <c r="C73" s="50" t="s">
        <v>265</v>
      </c>
      <c r="D73" s="31"/>
      <c r="E73" s="12"/>
      <c r="F73" s="32">
        <f>Source!AO35</f>
        <v>226.53</v>
      </c>
      <c r="G73" s="33" t="str">
        <f>Source!DG35</f>
        <v>)*1,15</v>
      </c>
      <c r="H73" s="34">
        <f>ROUND(Source!AF35*Source!I35, 2)</f>
        <v>6868.85</v>
      </c>
      <c r="I73" s="33"/>
      <c r="J73" s="33">
        <f>IF(Source!BA35&lt;&gt; 0, Source!BA35, 1)</f>
        <v>6.83</v>
      </c>
      <c r="K73" s="34">
        <f>Source!S35</f>
        <v>46914.27</v>
      </c>
      <c r="L73" s="35"/>
      <c r="R73">
        <f>H73</f>
        <v>6868.85</v>
      </c>
    </row>
    <row r="74" spans="1:26" ht="14.25" x14ac:dyDescent="0.2">
      <c r="A74" s="49"/>
      <c r="B74" s="50"/>
      <c r="C74" s="50" t="s">
        <v>80</v>
      </c>
      <c r="D74" s="31"/>
      <c r="E74" s="12"/>
      <c r="F74" s="32">
        <f>Source!AM35</f>
        <v>5.5</v>
      </c>
      <c r="G74" s="33" t="str">
        <f>Source!DE35</f>
        <v>)*1,25</v>
      </c>
      <c r="H74" s="34">
        <f>ROUND(Source!AD35*Source!I35, 2)</f>
        <v>181.27</v>
      </c>
      <c r="I74" s="33"/>
      <c r="J74" s="33">
        <f>IF(Source!BB35&lt;&gt; 0, Source!BB35, 1)</f>
        <v>6.83</v>
      </c>
      <c r="K74" s="34">
        <f>Source!Q35</f>
        <v>1238.0999999999999</v>
      </c>
      <c r="L74" s="35"/>
    </row>
    <row r="75" spans="1:26" ht="14.25" x14ac:dyDescent="0.2">
      <c r="A75" s="49"/>
      <c r="B75" s="50"/>
      <c r="C75" s="50" t="s">
        <v>271</v>
      </c>
      <c r="D75" s="31"/>
      <c r="E75" s="12"/>
      <c r="F75" s="32">
        <f>Source!AN35</f>
        <v>1.38</v>
      </c>
      <c r="G75" s="33" t="str">
        <f>Source!DF35</f>
        <v>)*1,25</v>
      </c>
      <c r="H75" s="44">
        <f>ROUND(Source!AE35*Source!I35, 2)</f>
        <v>45.48</v>
      </c>
      <c r="I75" s="33"/>
      <c r="J75" s="33">
        <f>IF(Source!BS35&lt;&gt; 0, Source!BS35, 1)</f>
        <v>6.83</v>
      </c>
      <c r="K75" s="44">
        <f>Source!R35</f>
        <v>310.64999999999998</v>
      </c>
      <c r="L75" s="35"/>
      <c r="R75">
        <f>H75</f>
        <v>45.48</v>
      </c>
    </row>
    <row r="76" spans="1:26" ht="14.25" x14ac:dyDescent="0.2">
      <c r="A76" s="49"/>
      <c r="B76" s="50"/>
      <c r="C76" s="50" t="s">
        <v>266</v>
      </c>
      <c r="D76" s="31" t="s">
        <v>267</v>
      </c>
      <c r="E76" s="12">
        <f>Source!BZ35</f>
        <v>123</v>
      </c>
      <c r="F76" s="59" t="str">
        <f>CONCATENATE(" )", Source!DL35, Source!FT35, "=", Source!FX35)</f>
        <v xml:space="preserve"> )*0,9=110,7</v>
      </c>
      <c r="G76" s="60"/>
      <c r="H76" s="34">
        <f>SUM(S71:S80)</f>
        <v>7654.16</v>
      </c>
      <c r="I76" s="36"/>
      <c r="J76" s="30">
        <f>Source!AT35</f>
        <v>111</v>
      </c>
      <c r="K76" s="34">
        <f>SUM(T71:T80)</f>
        <v>52419.66</v>
      </c>
      <c r="L76" s="35"/>
    </row>
    <row r="77" spans="1:26" ht="14.25" x14ac:dyDescent="0.2">
      <c r="A77" s="49"/>
      <c r="B77" s="50"/>
      <c r="C77" s="50" t="s">
        <v>268</v>
      </c>
      <c r="D77" s="31" t="s">
        <v>267</v>
      </c>
      <c r="E77" s="12">
        <f>Source!CA35</f>
        <v>75</v>
      </c>
      <c r="F77" s="59" t="str">
        <f>CONCATENATE(" )", Source!DM35, Source!FU35, "=", Source!FY35)</f>
        <v xml:space="preserve"> )*0,85=63,75</v>
      </c>
      <c r="G77" s="60"/>
      <c r="H77" s="34">
        <f>SUM(U71:U80)</f>
        <v>4407.8900000000003</v>
      </c>
      <c r="I77" s="36"/>
      <c r="J77" s="30">
        <f>Source!AU35</f>
        <v>64</v>
      </c>
      <c r="K77" s="34">
        <f>SUM(V71:V80)</f>
        <v>30223.95</v>
      </c>
      <c r="L77" s="35"/>
    </row>
    <row r="78" spans="1:26" ht="14.25" x14ac:dyDescent="0.2">
      <c r="A78" s="49"/>
      <c r="B78" s="50"/>
      <c r="C78" s="50" t="s">
        <v>269</v>
      </c>
      <c r="D78" s="31" t="s">
        <v>270</v>
      </c>
      <c r="E78" s="12">
        <f>Source!AQ35</f>
        <v>23.82</v>
      </c>
      <c r="F78" s="32"/>
      <c r="G78" s="33" t="str">
        <f>Source!DI35</f>
        <v>)*1,15</v>
      </c>
      <c r="H78" s="34"/>
      <c r="I78" s="33"/>
      <c r="J78" s="33"/>
      <c r="K78" s="34"/>
      <c r="L78" s="45">
        <f>Source!U35</f>
        <v>722.27123099999994</v>
      </c>
    </row>
    <row r="79" spans="1:26" ht="28.5" x14ac:dyDescent="0.2">
      <c r="A79" s="49" t="str">
        <f>Source!E37</f>
        <v>5,1</v>
      </c>
      <c r="B79" s="50" t="str">
        <f>Source!F37</f>
        <v>06.2.05.03-0057</v>
      </c>
      <c r="C79" s="50" t="str">
        <f>Source!G37</f>
        <v>Плитки керамогранитные размером 400х400х9 мм</v>
      </c>
      <c r="D79" s="31" t="str">
        <f>Source!H37</f>
        <v>м2</v>
      </c>
      <c r="E79" s="12">
        <f>Source!I37</f>
        <v>266.30153200000001</v>
      </c>
      <c r="F79" s="32">
        <f>Source!AL37+Source!AM37+Source!AO37</f>
        <v>65.73</v>
      </c>
      <c r="G79" s="48" t="s">
        <v>6</v>
      </c>
      <c r="H79" s="34">
        <f>ROUND(Source!AC37*Source!I37, 2)+ROUND(Source!AD37*Source!I37, 2)+ROUND(Source!AF37*Source!I37, 2)</f>
        <v>17504</v>
      </c>
      <c r="I79" s="33"/>
      <c r="J79" s="33">
        <f>IF(Source!BC37&lt;&gt; 0, Source!BC37, 1)</f>
        <v>6.83</v>
      </c>
      <c r="K79" s="34">
        <f>Source!O37</f>
        <v>119552.32000000001</v>
      </c>
      <c r="L79" s="35"/>
      <c r="S79">
        <f>ROUND((Source!FX37/100)*((ROUND(Source!AF37*Source!I37, 2)+ROUND(Source!AE37*Source!I37, 2))), 2)</f>
        <v>0</v>
      </c>
      <c r="T79">
        <f>Source!X37</f>
        <v>0</v>
      </c>
      <c r="U79">
        <f>ROUND((Source!FY37/100)*((ROUND(Source!AF37*Source!I37, 2)+ROUND(Source!AE37*Source!I37, 2))), 2)</f>
        <v>0</v>
      </c>
      <c r="V79">
        <f>Source!Y37</f>
        <v>0</v>
      </c>
      <c r="W79">
        <f>IF(Source!BI37&lt;=1,H79, 0)</f>
        <v>17504</v>
      </c>
      <c r="X79">
        <f>IF(Source!BI37=2,H79, 0)</f>
        <v>0</v>
      </c>
      <c r="Y79">
        <f>IF(Source!BI37=3,H79, 0)</f>
        <v>0</v>
      </c>
      <c r="Z79">
        <f>IF(Source!BI37=4,H79, 0)</f>
        <v>0</v>
      </c>
    </row>
    <row r="80" spans="1:26" ht="28.5" x14ac:dyDescent="0.2">
      <c r="A80" s="51" t="str">
        <f>Source!E39</f>
        <v>5,2</v>
      </c>
      <c r="B80" s="52" t="str">
        <f>Source!F39</f>
        <v>14.1.06.02-0044</v>
      </c>
      <c r="C80" s="52" t="str">
        <f>Source!G39</f>
        <v>Клей плиточный «Юнис Гранит» (толщ. 4 мм)</v>
      </c>
      <c r="D80" s="37" t="str">
        <f>Source!H39</f>
        <v>кг</v>
      </c>
      <c r="E80" s="38">
        <f>Source!I39</f>
        <v>1054.68</v>
      </c>
      <c r="F80" s="39">
        <f>Source!AL39+Source!AM39+Source!AO39</f>
        <v>3.69</v>
      </c>
      <c r="G80" s="46" t="s">
        <v>6</v>
      </c>
      <c r="H80" s="41">
        <f>ROUND(Source!AC39*Source!I39, 2)+ROUND(Source!AD39*Source!I39, 2)+ROUND(Source!AF39*Source!I39, 2)</f>
        <v>3891.77</v>
      </c>
      <c r="I80" s="40"/>
      <c r="J80" s="40">
        <f>IF(Source!BC39&lt;&gt; 0, Source!BC39, 1)</f>
        <v>6.83</v>
      </c>
      <c r="K80" s="41">
        <f>Source!O39</f>
        <v>26580.78</v>
      </c>
      <c r="L80" s="47"/>
      <c r="S80">
        <f>ROUND((Source!FX39/100)*((ROUND(Source!AF39*Source!I39, 2)+ROUND(Source!AE39*Source!I39, 2))), 2)</f>
        <v>0</v>
      </c>
      <c r="T80">
        <f>Source!X39</f>
        <v>0</v>
      </c>
      <c r="U80">
        <f>ROUND((Source!FY39/100)*((ROUND(Source!AF39*Source!I39, 2)+ROUND(Source!AE39*Source!I39, 2))), 2)</f>
        <v>0</v>
      </c>
      <c r="V80">
        <f>Source!Y39</f>
        <v>0</v>
      </c>
      <c r="W80">
        <f>IF(Source!BI39&lt;=1,H80, 0)</f>
        <v>3891.77</v>
      </c>
      <c r="X80">
        <f>IF(Source!BI39=2,H80, 0)</f>
        <v>0</v>
      </c>
      <c r="Y80">
        <f>IF(Source!BI39=3,H80, 0)</f>
        <v>0</v>
      </c>
      <c r="Z80">
        <f>IF(Source!BI39=4,H80, 0)</f>
        <v>0</v>
      </c>
    </row>
    <row r="81" spans="1:26" ht="15" x14ac:dyDescent="0.25">
      <c r="G81" s="57">
        <f>H73+H74+H76+H77+SUM(H79:H80)</f>
        <v>40507.94</v>
      </c>
      <c r="H81" s="57"/>
      <c r="J81" s="57">
        <f>K73+K74+K76+K77+SUM(K79:K80)</f>
        <v>276929.08</v>
      </c>
      <c r="K81" s="57"/>
      <c r="L81" s="43">
        <f>Source!U35</f>
        <v>722.27123099999994</v>
      </c>
      <c r="O81" s="27">
        <f>G81</f>
        <v>40507.94</v>
      </c>
      <c r="P81" s="27">
        <f>J81</f>
        <v>276929.08</v>
      </c>
      <c r="Q81" s="27">
        <f>L81</f>
        <v>722.27123099999994</v>
      </c>
      <c r="W81">
        <f>IF(Source!BI35&lt;=1,H73+H74+H76+H77, 0)</f>
        <v>19112.170000000002</v>
      </c>
      <c r="X81">
        <f>IF(Source!BI35=2,H73+H74+H76+H77, 0)</f>
        <v>0</v>
      </c>
      <c r="Y81">
        <f>IF(Source!BI35=3,H73+H74+H76+H77, 0)</f>
        <v>0</v>
      </c>
      <c r="Z81">
        <f>IF(Source!BI35=4,H73+H74+H76+H77, 0)</f>
        <v>0</v>
      </c>
    </row>
    <row r="83" spans="1:26" ht="15" x14ac:dyDescent="0.25">
      <c r="A83" s="62" t="str">
        <f>CONCATENATE("Итого по локальной смете: ",IF(Source!G41&lt;&gt;"Новая локальная смета", Source!G41, ""))</f>
        <v xml:space="preserve">Итого по локальной смете: </v>
      </c>
      <c r="B83" s="62"/>
      <c r="C83" s="62"/>
      <c r="D83" s="62"/>
      <c r="E83" s="62"/>
      <c r="F83" s="62"/>
      <c r="G83" s="63">
        <f>SUM(O33:O82)</f>
        <v>973861.52</v>
      </c>
      <c r="H83" s="63"/>
      <c r="I83" s="29"/>
      <c r="J83" s="63">
        <f>SUM(P33:P82)</f>
        <v>6654555.3300000001</v>
      </c>
      <c r="K83" s="63"/>
      <c r="L83" s="43">
        <f>SUM(Q33:Q82)</f>
        <v>9660.3888345000014</v>
      </c>
    </row>
    <row r="84" spans="1:26" ht="15" x14ac:dyDescent="0.25">
      <c r="C84" s="62" t="str">
        <f>Source!H101</f>
        <v>Всего</v>
      </c>
      <c r="D84" s="62"/>
      <c r="E84" s="62"/>
      <c r="F84" s="62"/>
      <c r="G84" s="62"/>
      <c r="H84" s="62"/>
      <c r="I84" s="62"/>
      <c r="J84" s="63">
        <f>IF(Source!P101=0, "", Source!P101)</f>
        <v>6654555.3300000001</v>
      </c>
      <c r="K84" s="63"/>
    </row>
    <row r="85" spans="1:26" ht="15" x14ac:dyDescent="0.25">
      <c r="C85" s="62" t="str">
        <f>Source!H102</f>
        <v>Итого НДС 18%</v>
      </c>
      <c r="D85" s="62"/>
      <c r="E85" s="62"/>
      <c r="F85" s="62"/>
      <c r="G85" s="62"/>
      <c r="H85" s="62"/>
      <c r="I85" s="62"/>
      <c r="J85" s="63">
        <f>IF(Source!P102=0, "", Source!P102)</f>
        <v>1197819.96</v>
      </c>
      <c r="K85" s="63"/>
    </row>
    <row r="86" spans="1:26" ht="15" x14ac:dyDescent="0.25">
      <c r="C86" s="62" t="str">
        <f>Source!H103</f>
        <v>Всего по смете</v>
      </c>
      <c r="D86" s="62"/>
      <c r="E86" s="62"/>
      <c r="F86" s="62"/>
      <c r="G86" s="62"/>
      <c r="H86" s="62"/>
      <c r="I86" s="62"/>
      <c r="J86" s="63">
        <f>IF(Source!P103=0, "", Source!P103)</f>
        <v>7852375.29</v>
      </c>
      <c r="K86" s="63"/>
    </row>
    <row r="89" spans="1:26" ht="14.25" x14ac:dyDescent="0.2">
      <c r="A89" s="28" t="s">
        <v>273</v>
      </c>
      <c r="B89" s="28"/>
      <c r="C89" s="55"/>
      <c r="D89" s="56"/>
      <c r="E89" s="56"/>
      <c r="F89" s="56"/>
      <c r="G89" s="56"/>
      <c r="H89" s="56"/>
      <c r="I89" s="56"/>
      <c r="J89" s="13"/>
      <c r="K89" s="13"/>
      <c r="L89" s="13"/>
    </row>
    <row r="90" spans="1:26" ht="14.25" x14ac:dyDescent="0.2">
      <c r="A90" s="13"/>
      <c r="B90" s="13"/>
      <c r="C90" s="55"/>
      <c r="D90" s="61"/>
      <c r="E90" s="61"/>
      <c r="F90" s="61"/>
      <c r="G90" s="61"/>
      <c r="H90" s="61"/>
      <c r="I90" s="56"/>
      <c r="J90" s="13"/>
      <c r="K90" s="13"/>
      <c r="L90" s="13"/>
    </row>
    <row r="91" spans="1:26" ht="14.25" x14ac:dyDescent="0.2">
      <c r="A91" s="13"/>
      <c r="B91" s="13"/>
      <c r="C91" s="55"/>
      <c r="D91" s="56"/>
      <c r="E91" s="56"/>
      <c r="F91" s="56"/>
      <c r="G91" s="56"/>
      <c r="H91" s="56"/>
      <c r="I91" s="56"/>
      <c r="J91" s="13"/>
      <c r="K91" s="13"/>
      <c r="L91" s="13"/>
    </row>
    <row r="92" spans="1:26" ht="14.25" x14ac:dyDescent="0.2">
      <c r="A92" s="28" t="s">
        <v>273</v>
      </c>
      <c r="B92" s="28"/>
      <c r="C92" s="55"/>
      <c r="D92" s="56"/>
      <c r="E92" s="56"/>
      <c r="F92" s="56"/>
      <c r="G92" s="56"/>
      <c r="H92" s="56"/>
      <c r="I92" s="56"/>
      <c r="J92" s="13"/>
      <c r="K92" s="13"/>
      <c r="L92" s="13"/>
    </row>
    <row r="93" spans="1:26" ht="14.25" x14ac:dyDescent="0.2">
      <c r="A93" s="13"/>
      <c r="B93" s="13"/>
      <c r="C93" s="56"/>
      <c r="D93" s="61"/>
      <c r="E93" s="61"/>
      <c r="F93" s="61"/>
      <c r="G93" s="61"/>
      <c r="H93" s="61"/>
      <c r="I93" s="56"/>
      <c r="J93" s="13"/>
      <c r="K93" s="13"/>
      <c r="L93" s="13"/>
    </row>
  </sheetData>
  <mergeCells count="71"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3:K13"/>
    <mergeCell ref="B15:K15"/>
    <mergeCell ref="B16:K16"/>
    <mergeCell ref="G20:H20"/>
    <mergeCell ref="I20:J20"/>
    <mergeCell ref="C21:F21"/>
    <mergeCell ref="G21:H21"/>
    <mergeCell ref="I21:J21"/>
    <mergeCell ref="K21:L21"/>
    <mergeCell ref="C22:F22"/>
    <mergeCell ref="G22:H22"/>
    <mergeCell ref="I22:J22"/>
    <mergeCell ref="K22:L22"/>
    <mergeCell ref="C23:F23"/>
    <mergeCell ref="G23:H23"/>
    <mergeCell ref="I23:J23"/>
    <mergeCell ref="K23:L23"/>
    <mergeCell ref="C24:F24"/>
    <mergeCell ref="G24:H24"/>
    <mergeCell ref="I24:J24"/>
    <mergeCell ref="K24:L24"/>
    <mergeCell ref="C25:F25"/>
    <mergeCell ref="G25:H25"/>
    <mergeCell ref="I25:J25"/>
    <mergeCell ref="K25:L25"/>
    <mergeCell ref="C26:F26"/>
    <mergeCell ref="G26:H26"/>
    <mergeCell ref="I26:J26"/>
    <mergeCell ref="K26:L26"/>
    <mergeCell ref="D93:H93"/>
    <mergeCell ref="C84:I84"/>
    <mergeCell ref="J84:K84"/>
    <mergeCell ref="C27:F27"/>
    <mergeCell ref="G27:H27"/>
    <mergeCell ref="I27:J27"/>
    <mergeCell ref="K27:L27"/>
    <mergeCell ref="A29:L29"/>
    <mergeCell ref="G83:H83"/>
    <mergeCell ref="J83:K83"/>
    <mergeCell ref="A83:F83"/>
    <mergeCell ref="C85:I85"/>
    <mergeCell ref="J85:K85"/>
    <mergeCell ref="C86:I86"/>
    <mergeCell ref="J86:K86"/>
    <mergeCell ref="D90:H90"/>
    <mergeCell ref="F56:G56"/>
    <mergeCell ref="J81:K81"/>
    <mergeCell ref="G81:H81"/>
    <mergeCell ref="F77:G77"/>
    <mergeCell ref="F76:G76"/>
    <mergeCell ref="J70:K70"/>
    <mergeCell ref="G70:H70"/>
    <mergeCell ref="F67:G67"/>
    <mergeCell ref="F66:G66"/>
    <mergeCell ref="J59:K59"/>
    <mergeCell ref="G59:H59"/>
    <mergeCell ref="F57:G57"/>
    <mergeCell ref="J49:K49"/>
    <mergeCell ref="G49:H49"/>
    <mergeCell ref="J40:K40"/>
    <mergeCell ref="G40:H40"/>
    <mergeCell ref="A33:L33"/>
  </mergeCells>
  <pageMargins left="0.4" right="0.2" top="0.4" bottom="0.4" header="0.2" footer="0.2"/>
  <pageSetup paperSize="9" scale="53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40"/>
  <sheetViews>
    <sheetView workbookViewId="0">
      <selection activeCell="M36" sqref="M3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134</v>
      </c>
      <c r="C12" s="1">
        <v>0</v>
      </c>
      <c r="D12" s="1">
        <f>ROW(A73)</f>
        <v>73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B73</f>
        <v>134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объект_(Копия)_(Копия)_(Копия)</v>
      </c>
      <c r="G18" s="3" t="str">
        <f t="shared" si="0"/>
        <v>Замена напольного покрытия 2-4 этажей,6-18 и 24 в общежитии НИЯУ МИФИ по адресу: г. Москва, ул. Москворечье, д.2, к.1</v>
      </c>
      <c r="H18" s="3"/>
      <c r="I18" s="3"/>
      <c r="J18" s="3"/>
      <c r="K18" s="3"/>
      <c r="L18" s="3"/>
      <c r="M18" s="3"/>
      <c r="N18" s="3"/>
      <c r="O18" s="3">
        <f t="shared" ref="O18:AT18" si="1">O73</f>
        <v>826387.08</v>
      </c>
      <c r="P18" s="3">
        <f t="shared" si="1"/>
        <v>740919.08</v>
      </c>
      <c r="Q18" s="3">
        <f t="shared" si="1"/>
        <v>1052.6600000000001</v>
      </c>
      <c r="R18" s="3">
        <f t="shared" si="1"/>
        <v>571.54999999999995</v>
      </c>
      <c r="S18" s="3">
        <f t="shared" si="1"/>
        <v>84415.34</v>
      </c>
      <c r="T18" s="3">
        <f t="shared" si="1"/>
        <v>0</v>
      </c>
      <c r="U18" s="3">
        <f t="shared" si="1"/>
        <v>9660.3888345000014</v>
      </c>
      <c r="V18" s="3">
        <f t="shared" si="1"/>
        <v>53.794469999999997</v>
      </c>
      <c r="W18" s="3">
        <f t="shared" si="1"/>
        <v>0</v>
      </c>
      <c r="X18" s="3">
        <f t="shared" si="1"/>
        <v>93415.19</v>
      </c>
      <c r="Y18" s="3">
        <f t="shared" si="1"/>
        <v>54510.36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974312.63</v>
      </c>
      <c r="AS18" s="3">
        <f t="shared" si="1"/>
        <v>974312.63</v>
      </c>
      <c r="AT18" s="3">
        <f t="shared" si="1"/>
        <v>0</v>
      </c>
      <c r="AU18" s="3">
        <f t="shared" ref="AU18:BZ18" si="2">AU73</f>
        <v>0</v>
      </c>
      <c r="AV18" s="3">
        <f t="shared" si="2"/>
        <v>740919.08</v>
      </c>
      <c r="AW18" s="3">
        <f t="shared" si="2"/>
        <v>740919.08</v>
      </c>
      <c r="AX18" s="3">
        <f t="shared" si="2"/>
        <v>0</v>
      </c>
      <c r="AY18" s="3">
        <f t="shared" si="2"/>
        <v>740919.08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CA73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DG73</f>
        <v>5644223.75</v>
      </c>
      <c r="DH18" s="4">
        <f t="shared" si="4"/>
        <v>5060477.24</v>
      </c>
      <c r="DI18" s="4">
        <f t="shared" si="4"/>
        <v>7189.71</v>
      </c>
      <c r="DJ18" s="4">
        <f t="shared" si="4"/>
        <v>3903.77</v>
      </c>
      <c r="DK18" s="4">
        <f t="shared" si="4"/>
        <v>576556.80000000005</v>
      </c>
      <c r="DL18" s="4">
        <f t="shared" si="4"/>
        <v>0</v>
      </c>
      <c r="DM18" s="4">
        <f t="shared" si="4"/>
        <v>9660.3888345000014</v>
      </c>
      <c r="DN18" s="4">
        <f t="shared" si="4"/>
        <v>53.794469999999997</v>
      </c>
      <c r="DO18" s="4">
        <f t="shared" si="4"/>
        <v>0</v>
      </c>
      <c r="DP18" s="4">
        <f t="shared" si="4"/>
        <v>638025.79</v>
      </c>
      <c r="DQ18" s="4">
        <f t="shared" si="4"/>
        <v>372305.79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6654555.3300000001</v>
      </c>
      <c r="EK18" s="4">
        <f t="shared" si="4"/>
        <v>6654555.3300000001</v>
      </c>
      <c r="EL18" s="4">
        <f t="shared" si="4"/>
        <v>0</v>
      </c>
      <c r="EM18" s="4">
        <f t="shared" ref="EM18:FR18" si="5">EM73</f>
        <v>0</v>
      </c>
      <c r="EN18" s="4">
        <f t="shared" si="5"/>
        <v>5060477.24</v>
      </c>
      <c r="EO18" s="4">
        <f t="shared" si="5"/>
        <v>5060477.24</v>
      </c>
      <c r="EP18" s="4">
        <f t="shared" si="5"/>
        <v>0</v>
      </c>
      <c r="EQ18" s="4">
        <f t="shared" si="5"/>
        <v>5060477.24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FS73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ROW(A41)</f>
        <v>41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B41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O41</f>
        <v>826387.08</v>
      </c>
      <c r="P22" s="3">
        <f t="shared" si="8"/>
        <v>740919.08</v>
      </c>
      <c r="Q22" s="3">
        <f t="shared" si="8"/>
        <v>1052.6600000000001</v>
      </c>
      <c r="R22" s="3">
        <f t="shared" si="8"/>
        <v>571.54999999999995</v>
      </c>
      <c r="S22" s="3">
        <f t="shared" si="8"/>
        <v>84415.34</v>
      </c>
      <c r="T22" s="3">
        <f t="shared" si="8"/>
        <v>0</v>
      </c>
      <c r="U22" s="3">
        <f t="shared" si="8"/>
        <v>9660.3888345000014</v>
      </c>
      <c r="V22" s="3">
        <f t="shared" si="8"/>
        <v>53.794469999999997</v>
      </c>
      <c r="W22" s="3">
        <f t="shared" si="8"/>
        <v>0</v>
      </c>
      <c r="X22" s="3">
        <f t="shared" si="8"/>
        <v>93415.19</v>
      </c>
      <c r="Y22" s="3">
        <f t="shared" si="8"/>
        <v>54510.36</v>
      </c>
      <c r="Z22" s="3">
        <f t="shared" si="8"/>
        <v>0</v>
      </c>
      <c r="AA22" s="3">
        <f t="shared" si="8"/>
        <v>0</v>
      </c>
      <c r="AB22" s="3">
        <f t="shared" si="8"/>
        <v>826387.08</v>
      </c>
      <c r="AC22" s="3">
        <f t="shared" si="8"/>
        <v>740919.08</v>
      </c>
      <c r="AD22" s="3">
        <f t="shared" si="8"/>
        <v>1052.6600000000001</v>
      </c>
      <c r="AE22" s="3">
        <f t="shared" si="8"/>
        <v>571.54999999999995</v>
      </c>
      <c r="AF22" s="3">
        <f t="shared" si="8"/>
        <v>84415.34</v>
      </c>
      <c r="AG22" s="3">
        <f t="shared" si="8"/>
        <v>0</v>
      </c>
      <c r="AH22" s="3">
        <f t="shared" si="8"/>
        <v>9660.3888345000014</v>
      </c>
      <c r="AI22" s="3">
        <f t="shared" si="8"/>
        <v>53.794469999999997</v>
      </c>
      <c r="AJ22" s="3">
        <f t="shared" si="8"/>
        <v>0</v>
      </c>
      <c r="AK22" s="3">
        <f t="shared" si="8"/>
        <v>93415.19</v>
      </c>
      <c r="AL22" s="3">
        <f t="shared" si="8"/>
        <v>54510.36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974312.63</v>
      </c>
      <c r="AS22" s="3">
        <f t="shared" si="8"/>
        <v>974312.63</v>
      </c>
      <c r="AT22" s="3">
        <f t="shared" si="8"/>
        <v>0</v>
      </c>
      <c r="AU22" s="3">
        <f t="shared" ref="AU22:BZ22" si="9">AU41</f>
        <v>0</v>
      </c>
      <c r="AV22" s="3">
        <f t="shared" si="9"/>
        <v>740919.08</v>
      </c>
      <c r="AW22" s="3">
        <f t="shared" si="9"/>
        <v>740919.08</v>
      </c>
      <c r="AX22" s="3">
        <f t="shared" si="9"/>
        <v>0</v>
      </c>
      <c r="AY22" s="3">
        <f t="shared" si="9"/>
        <v>740919.08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CA41</f>
        <v>974312.63</v>
      </c>
      <c r="CB22" s="3">
        <f t="shared" si="10"/>
        <v>974312.63</v>
      </c>
      <c r="CC22" s="3">
        <f t="shared" si="10"/>
        <v>0</v>
      </c>
      <c r="CD22" s="3">
        <f t="shared" si="10"/>
        <v>0</v>
      </c>
      <c r="CE22" s="3">
        <f t="shared" si="10"/>
        <v>740919.08</v>
      </c>
      <c r="CF22" s="3">
        <f t="shared" si="10"/>
        <v>740919.08</v>
      </c>
      <c r="CG22" s="3">
        <f t="shared" si="10"/>
        <v>0</v>
      </c>
      <c r="CH22" s="3">
        <f t="shared" si="10"/>
        <v>740919.08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DG41</f>
        <v>5644223.75</v>
      </c>
      <c r="DH22" s="4">
        <f t="shared" si="11"/>
        <v>5060477.24</v>
      </c>
      <c r="DI22" s="4">
        <f t="shared" si="11"/>
        <v>7189.71</v>
      </c>
      <c r="DJ22" s="4">
        <f t="shared" si="11"/>
        <v>3903.77</v>
      </c>
      <c r="DK22" s="4">
        <f t="shared" si="11"/>
        <v>576556.80000000005</v>
      </c>
      <c r="DL22" s="4">
        <f t="shared" si="11"/>
        <v>0</v>
      </c>
      <c r="DM22" s="4">
        <f t="shared" si="11"/>
        <v>9660.3888345000014</v>
      </c>
      <c r="DN22" s="4">
        <f t="shared" si="11"/>
        <v>53.794469999999997</v>
      </c>
      <c r="DO22" s="4">
        <f t="shared" si="11"/>
        <v>0</v>
      </c>
      <c r="DP22" s="4">
        <f t="shared" si="11"/>
        <v>638025.79</v>
      </c>
      <c r="DQ22" s="4">
        <f t="shared" si="11"/>
        <v>372305.79</v>
      </c>
      <c r="DR22" s="4">
        <f t="shared" si="11"/>
        <v>0</v>
      </c>
      <c r="DS22" s="4">
        <f t="shared" si="11"/>
        <v>0</v>
      </c>
      <c r="DT22" s="4">
        <f t="shared" si="11"/>
        <v>5644223.75</v>
      </c>
      <c r="DU22" s="4">
        <f t="shared" si="11"/>
        <v>5060477.24</v>
      </c>
      <c r="DV22" s="4">
        <f t="shared" si="11"/>
        <v>7189.71</v>
      </c>
      <c r="DW22" s="4">
        <f t="shared" si="11"/>
        <v>3903.77</v>
      </c>
      <c r="DX22" s="4">
        <f t="shared" si="11"/>
        <v>576556.80000000005</v>
      </c>
      <c r="DY22" s="4">
        <f t="shared" si="11"/>
        <v>0</v>
      </c>
      <c r="DZ22" s="4">
        <f t="shared" si="11"/>
        <v>9660.3888345000014</v>
      </c>
      <c r="EA22" s="4">
        <f t="shared" si="11"/>
        <v>53.794469999999997</v>
      </c>
      <c r="EB22" s="4">
        <f t="shared" si="11"/>
        <v>0</v>
      </c>
      <c r="EC22" s="4">
        <f t="shared" si="11"/>
        <v>638025.79</v>
      </c>
      <c r="ED22" s="4">
        <f t="shared" si="11"/>
        <v>372305.79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6654555.3300000001</v>
      </c>
      <c r="EK22" s="4">
        <f t="shared" si="11"/>
        <v>6654555.3300000001</v>
      </c>
      <c r="EL22" s="4">
        <f t="shared" si="11"/>
        <v>0</v>
      </c>
      <c r="EM22" s="4">
        <f t="shared" ref="EM22:FR22" si="12">EM41</f>
        <v>0</v>
      </c>
      <c r="EN22" s="4">
        <f t="shared" si="12"/>
        <v>5060477.24</v>
      </c>
      <c r="EO22" s="4">
        <f t="shared" si="12"/>
        <v>5060477.24</v>
      </c>
      <c r="EP22" s="4">
        <f t="shared" si="12"/>
        <v>0</v>
      </c>
      <c r="EQ22" s="4">
        <f t="shared" si="12"/>
        <v>5060477.24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FS41</f>
        <v>6654555.3300000001</v>
      </c>
      <c r="FT22" s="4">
        <f t="shared" si="13"/>
        <v>6654555.3300000001</v>
      </c>
      <c r="FU22" s="4">
        <f t="shared" si="13"/>
        <v>0</v>
      </c>
      <c r="FV22" s="4">
        <f t="shared" si="13"/>
        <v>0</v>
      </c>
      <c r="FW22" s="4">
        <f t="shared" si="13"/>
        <v>5060477.24</v>
      </c>
      <c r="FX22" s="4">
        <f t="shared" si="13"/>
        <v>5060477.24</v>
      </c>
      <c r="FY22" s="4">
        <f t="shared" si="13"/>
        <v>0</v>
      </c>
      <c r="FZ22" s="4">
        <f t="shared" si="13"/>
        <v>5060477.24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ROW(EtalonRes!A2)</f>
        <v>2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ROUND(2636.7/100,9)</f>
        <v>26.367000000000001</v>
      </c>
      <c r="J24" s="2">
        <v>0</v>
      </c>
      <c r="K24" s="2"/>
      <c r="L24" s="2"/>
      <c r="M24" s="2"/>
      <c r="N24" s="2"/>
      <c r="O24" s="2">
        <f t="shared" ref="O24:O39" si="14">ROUND(CP24,2)</f>
        <v>775.45</v>
      </c>
      <c r="P24" s="2">
        <f t="shared" ref="P24:P39" si="15">ROUND(CQ24*I24,2)</f>
        <v>0</v>
      </c>
      <c r="Q24" s="2">
        <f t="shared" ref="Q24:Q39" si="16">ROUND(CR24*I24,2)</f>
        <v>0</v>
      </c>
      <c r="R24" s="2">
        <f t="shared" ref="R24:R39" si="17">ROUND(CS24*I24,2)</f>
        <v>0</v>
      </c>
      <c r="S24" s="2">
        <f t="shared" ref="S24:S39" si="18">ROUND(CT24*I24,2)</f>
        <v>775.45</v>
      </c>
      <c r="T24" s="2">
        <f t="shared" ref="T24:T39" si="19">ROUND(CU24*I24,2)</f>
        <v>0</v>
      </c>
      <c r="U24" s="2">
        <f t="shared" ref="U24:U39" si="20">CV24*I24</f>
        <v>99.403590000000008</v>
      </c>
      <c r="V24" s="2">
        <f t="shared" ref="V24:V39" si="21">CW24*I24</f>
        <v>0</v>
      </c>
      <c r="W24" s="2">
        <f t="shared" ref="W24:W39" si="22">ROUND(CX24*I24,2)</f>
        <v>0</v>
      </c>
      <c r="X24" s="2">
        <f t="shared" ref="X24:X39" si="23">ROUND(CY24,2)</f>
        <v>620.36</v>
      </c>
      <c r="Y24" s="2">
        <f t="shared" ref="Y24:Y39" si="24">ROUND(CZ24,2)</f>
        <v>527.30999999999995</v>
      </c>
      <c r="Z24" s="2"/>
      <c r="AA24" s="2">
        <v>16492569</v>
      </c>
      <c r="AB24" s="2">
        <f t="shared" ref="AB24:AB39" si="25">ROUND((AC24+AD24+AF24),6)</f>
        <v>29.41</v>
      </c>
      <c r="AC24" s="2">
        <f t="shared" ref="AC24:AC39" si="26">ROUND((ES24),6)</f>
        <v>0</v>
      </c>
      <c r="AD24" s="2">
        <f>ROUND((((ET24)-(EU24))+AE24),6)</f>
        <v>0</v>
      </c>
      <c r="AE24" s="2">
        <f t="shared" ref="AE24:AF27" si="27">ROUND((EU24),6)</f>
        <v>0</v>
      </c>
      <c r="AF24" s="2">
        <f t="shared" si="27"/>
        <v>29.41</v>
      </c>
      <c r="AG24" s="2">
        <f t="shared" ref="AG24:AG39" si="28">ROUND((AP24),6)</f>
        <v>0</v>
      </c>
      <c r="AH24" s="2">
        <f t="shared" ref="AH24:AI27" si="29">(EW24)</f>
        <v>3.77</v>
      </c>
      <c r="AI24" s="2">
        <f t="shared" si="29"/>
        <v>0</v>
      </c>
      <c r="AJ24" s="2">
        <f t="shared" ref="AJ24:AJ39" si="30">ROUND((AS24),6)</f>
        <v>0</v>
      </c>
      <c r="AK24" s="2">
        <v>29.41</v>
      </c>
      <c r="AL24" s="2">
        <v>0</v>
      </c>
      <c r="AM24" s="2">
        <v>0</v>
      </c>
      <c r="AN24" s="2">
        <v>0</v>
      </c>
      <c r="AO24" s="2">
        <v>29.41</v>
      </c>
      <c r="AP24" s="2">
        <v>0</v>
      </c>
      <c r="AQ24" s="2">
        <v>3.77</v>
      </c>
      <c r="AR24" s="2">
        <v>0</v>
      </c>
      <c r="AS24" s="2">
        <v>0</v>
      </c>
      <c r="AT24" s="2">
        <v>80</v>
      </c>
      <c r="AU24" s="2">
        <v>68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57001</v>
      </c>
      <c r="BN24" s="2">
        <v>0</v>
      </c>
      <c r="BO24" s="2" t="s">
        <v>6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80</v>
      </c>
      <c r="CA24" s="2">
        <v>68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39" si="31">(P24+Q24+S24)</f>
        <v>775.45</v>
      </c>
      <c r="CQ24" s="2">
        <f t="shared" ref="CQ24:CQ39" si="32">AC24*BC24</f>
        <v>0</v>
      </c>
      <c r="CR24" s="2">
        <f t="shared" ref="CR24:CR39" si="33">AD24*BB24</f>
        <v>0</v>
      </c>
      <c r="CS24" s="2">
        <f t="shared" ref="CS24:CS39" si="34">AE24*BS24</f>
        <v>0</v>
      </c>
      <c r="CT24" s="2">
        <f t="shared" ref="CT24:CT39" si="35">AF24*BA24</f>
        <v>29.41</v>
      </c>
      <c r="CU24" s="2">
        <f t="shared" ref="CU24:CU39" si="36">AG24</f>
        <v>0</v>
      </c>
      <c r="CV24" s="2">
        <f t="shared" ref="CV24:CV39" si="37">AH24</f>
        <v>3.77</v>
      </c>
      <c r="CW24" s="2">
        <f t="shared" ref="CW24:CW39" si="38">AI24</f>
        <v>0</v>
      </c>
      <c r="CX24" s="2">
        <f t="shared" ref="CX24:CX39" si="39">AJ24</f>
        <v>0</v>
      </c>
      <c r="CY24" s="2">
        <f t="shared" ref="CY24:CY39" si="40">(((S24+R24)*AT24)/100)</f>
        <v>620.36</v>
      </c>
      <c r="CZ24" s="2">
        <f t="shared" ref="CZ24:CZ39" si="41">(((S24+R24)*AU24)/100)</f>
        <v>527.30600000000004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1003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15139179</v>
      </c>
      <c r="EF24" s="2">
        <v>6</v>
      </c>
      <c r="EG24" s="2" t="s">
        <v>18</v>
      </c>
      <c r="EH24" s="2">
        <v>0</v>
      </c>
      <c r="EI24" s="2" t="s">
        <v>6</v>
      </c>
      <c r="EJ24" s="2">
        <v>1</v>
      </c>
      <c r="EK24" s="2">
        <v>57001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131072</v>
      </c>
      <c r="ER24" s="2">
        <v>29.41</v>
      </c>
      <c r="ES24" s="2">
        <v>0</v>
      </c>
      <c r="ET24" s="2">
        <v>0</v>
      </c>
      <c r="EU24" s="2">
        <v>0</v>
      </c>
      <c r="EV24" s="2">
        <v>29.41</v>
      </c>
      <c r="EW24" s="2">
        <v>3.77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39" si="42">ROUND(IF(AND(BH24=3,BI24=3),P24,0),2)</f>
        <v>0</v>
      </c>
      <c r="FS24" s="2">
        <v>0</v>
      </c>
      <c r="FT24" s="2"/>
      <c r="FU24" s="2"/>
      <c r="FV24" s="2"/>
      <c r="FW24" s="2"/>
      <c r="FX24" s="2">
        <v>80</v>
      </c>
      <c r="FY24" s="2">
        <v>68</v>
      </c>
      <c r="FZ24" s="2"/>
      <c r="GA24" s="2" t="s">
        <v>6</v>
      </c>
      <c r="GB24" s="2"/>
      <c r="GC24" s="2"/>
      <c r="GD24" s="2">
        <v>0</v>
      </c>
      <c r="GE24" s="2"/>
      <c r="GF24" s="2">
        <v>-1431764135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39" si="43">ROUND(IF(AND(BH24=3,BI24=3,FS24&lt;&gt;0),P24,0),2)</f>
        <v>0</v>
      </c>
      <c r="GM24" s="2">
        <f t="shared" ref="GM24:GM39" si="44">ROUND(O24+X24+Y24+GK24,2)+GX24</f>
        <v>1923.12</v>
      </c>
      <c r="GN24" s="2">
        <f t="shared" ref="GN24:GN39" si="45">IF(OR(BI24=0,BI24=1),ROUND(O24+X24+Y24+GK24,2),0)</f>
        <v>1923.12</v>
      </c>
      <c r="GO24" s="2">
        <f t="shared" ref="GO24:GO39" si="46">IF(BI24=2,ROUND(O24+X24+Y24+GK24,2),0)</f>
        <v>0</v>
      </c>
      <c r="GP24" s="2">
        <f t="shared" ref="GP24:GP39" si="47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39" si="48">ROUND(GT24,6)</f>
        <v>0</v>
      </c>
      <c r="GW24" s="2">
        <v>1</v>
      </c>
      <c r="GX24" s="2">
        <f t="shared" ref="GX24:GX39" si="49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ROW(EtalonRes!A4)</f>
        <v>4</v>
      </c>
      <c r="E25" t="s">
        <v>13</v>
      </c>
      <c r="F25" t="s">
        <v>14</v>
      </c>
      <c r="G25" t="s">
        <v>15</v>
      </c>
      <c r="H25" t="s">
        <v>16</v>
      </c>
      <c r="I25">
        <f>ROUND(2636.7/100,9)</f>
        <v>26.367000000000001</v>
      </c>
      <c r="J25">
        <v>0</v>
      </c>
      <c r="O25">
        <f t="shared" si="14"/>
        <v>5296.35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5296.35</v>
      </c>
      <c r="T25">
        <f t="shared" si="19"/>
        <v>0</v>
      </c>
      <c r="U25">
        <f t="shared" si="20"/>
        <v>99.403590000000008</v>
      </c>
      <c r="V25">
        <f t="shared" si="21"/>
        <v>0</v>
      </c>
      <c r="W25">
        <f t="shared" si="22"/>
        <v>0</v>
      </c>
      <c r="X25">
        <f t="shared" si="23"/>
        <v>4237.08</v>
      </c>
      <c r="Y25">
        <f t="shared" si="24"/>
        <v>3601.52</v>
      </c>
      <c r="AA25">
        <v>16492570</v>
      </c>
      <c r="AB25">
        <f t="shared" si="25"/>
        <v>29.41</v>
      </c>
      <c r="AC25">
        <f t="shared" si="26"/>
        <v>0</v>
      </c>
      <c r="AD25">
        <f>ROUND((((ET25)-(EU25))+AE25),6)</f>
        <v>0</v>
      </c>
      <c r="AE25">
        <f t="shared" si="27"/>
        <v>0</v>
      </c>
      <c r="AF25">
        <f t="shared" si="27"/>
        <v>29.41</v>
      </c>
      <c r="AG25">
        <f t="shared" si="28"/>
        <v>0</v>
      </c>
      <c r="AH25">
        <f t="shared" si="29"/>
        <v>3.77</v>
      </c>
      <c r="AI25">
        <f t="shared" si="29"/>
        <v>0</v>
      </c>
      <c r="AJ25">
        <f t="shared" si="30"/>
        <v>0</v>
      </c>
      <c r="AK25">
        <v>29.41</v>
      </c>
      <c r="AL25">
        <v>0</v>
      </c>
      <c r="AM25">
        <v>0</v>
      </c>
      <c r="AN25">
        <v>0</v>
      </c>
      <c r="AO25">
        <v>29.41</v>
      </c>
      <c r="AP25">
        <v>0</v>
      </c>
      <c r="AQ25">
        <v>3.77</v>
      </c>
      <c r="AR25">
        <v>0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6.83</v>
      </c>
      <c r="BA25">
        <v>6.83</v>
      </c>
      <c r="BB25">
        <v>6.83</v>
      </c>
      <c r="BC25">
        <v>6.83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57001</v>
      </c>
      <c r="BN25">
        <v>0</v>
      </c>
      <c r="BO25" t="s">
        <v>6</v>
      </c>
      <c r="BP25">
        <v>0</v>
      </c>
      <c r="BQ25">
        <v>6</v>
      </c>
      <c r="BR25">
        <v>0</v>
      </c>
      <c r="BS25">
        <v>6.83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1"/>
        <v>5296.35</v>
      </c>
      <c r="CQ25">
        <f t="shared" si="32"/>
        <v>0</v>
      </c>
      <c r="CR25">
        <f t="shared" si="33"/>
        <v>0</v>
      </c>
      <c r="CS25">
        <f t="shared" si="34"/>
        <v>0</v>
      </c>
      <c r="CT25">
        <f t="shared" si="35"/>
        <v>200.87030000000001</v>
      </c>
      <c r="CU25">
        <f t="shared" si="36"/>
        <v>0</v>
      </c>
      <c r="CV25">
        <f t="shared" si="37"/>
        <v>3.77</v>
      </c>
      <c r="CW25">
        <f t="shared" si="38"/>
        <v>0</v>
      </c>
      <c r="CX25">
        <f t="shared" si="39"/>
        <v>0</v>
      </c>
      <c r="CY25">
        <f t="shared" si="40"/>
        <v>4237.08</v>
      </c>
      <c r="CZ25">
        <f t="shared" si="41"/>
        <v>3601.5180000000005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1003</v>
      </c>
      <c r="DV25" t="s">
        <v>16</v>
      </c>
      <c r="DW25" t="s">
        <v>16</v>
      </c>
      <c r="DX25">
        <v>100</v>
      </c>
      <c r="EE25">
        <v>15139179</v>
      </c>
      <c r="EF25">
        <v>6</v>
      </c>
      <c r="EG25" t="s">
        <v>18</v>
      </c>
      <c r="EH25">
        <v>0</v>
      </c>
      <c r="EI25" t="s">
        <v>6</v>
      </c>
      <c r="EJ25">
        <v>1</v>
      </c>
      <c r="EK25">
        <v>57001</v>
      </c>
      <c r="EL25" t="s">
        <v>19</v>
      </c>
      <c r="EM25" t="s">
        <v>20</v>
      </c>
      <c r="EO25" t="s">
        <v>6</v>
      </c>
      <c r="EQ25">
        <v>131072</v>
      </c>
      <c r="ER25">
        <v>29.41</v>
      </c>
      <c r="ES25">
        <v>0</v>
      </c>
      <c r="ET25">
        <v>0</v>
      </c>
      <c r="EU25">
        <v>0</v>
      </c>
      <c r="EV25">
        <v>29.41</v>
      </c>
      <c r="EW25">
        <v>3.77</v>
      </c>
      <c r="EX25">
        <v>0</v>
      </c>
      <c r="EY25">
        <v>0</v>
      </c>
      <c r="FQ25">
        <v>0</v>
      </c>
      <c r="FR25">
        <f t="shared" si="42"/>
        <v>0</v>
      </c>
      <c r="FS25">
        <v>0</v>
      </c>
      <c r="FX25">
        <v>80</v>
      </c>
      <c r="FY25">
        <v>68</v>
      </c>
      <c r="GA25" t="s">
        <v>6</v>
      </c>
      <c r="GD25">
        <v>0</v>
      </c>
      <c r="GF25">
        <v>-1431764135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3"/>
        <v>0</v>
      </c>
      <c r="GM25">
        <f t="shared" si="44"/>
        <v>13134.95</v>
      </c>
      <c r="GN25">
        <f t="shared" si="45"/>
        <v>13134.95</v>
      </c>
      <c r="GO25">
        <f t="shared" si="46"/>
        <v>0</v>
      </c>
      <c r="GP25">
        <f t="shared" si="47"/>
        <v>0</v>
      </c>
      <c r="GR25">
        <v>0</v>
      </c>
      <c r="GS25">
        <v>3</v>
      </c>
      <c r="GT25">
        <v>0</v>
      </c>
      <c r="GU25" t="s">
        <v>6</v>
      </c>
      <c r="GV25">
        <f t="shared" si="48"/>
        <v>0</v>
      </c>
      <c r="GW25">
        <v>1</v>
      </c>
      <c r="GX25">
        <f t="shared" si="49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ROW(SmtRes!A5)</f>
        <v>5</v>
      </c>
      <c r="D26" s="2">
        <f>ROW(EtalonRes!A8)</f>
        <v>8</v>
      </c>
      <c r="E26" s="2" t="s">
        <v>21</v>
      </c>
      <c r="F26" s="2" t="s">
        <v>22</v>
      </c>
      <c r="G26" s="2" t="s">
        <v>23</v>
      </c>
      <c r="H26" s="2" t="s">
        <v>24</v>
      </c>
      <c r="I26" s="2">
        <f t="shared" ref="I26:I31" si="50">ROUND(2420.7/100,9)</f>
        <v>24.207000000000001</v>
      </c>
      <c r="J26" s="2">
        <v>0</v>
      </c>
      <c r="K26" s="2"/>
      <c r="L26" s="2"/>
      <c r="M26" s="2"/>
      <c r="N26" s="2"/>
      <c r="O26" s="2">
        <f t="shared" si="14"/>
        <v>2248.83</v>
      </c>
      <c r="P26" s="2">
        <f t="shared" si="15"/>
        <v>0</v>
      </c>
      <c r="Q26" s="2">
        <f t="shared" si="16"/>
        <v>98.28</v>
      </c>
      <c r="R26" s="2">
        <f t="shared" si="17"/>
        <v>42.6</v>
      </c>
      <c r="S26" s="2">
        <f t="shared" si="18"/>
        <v>2150.5500000000002</v>
      </c>
      <c r="T26" s="2">
        <f t="shared" si="19"/>
        <v>0</v>
      </c>
      <c r="U26" s="2">
        <f t="shared" si="20"/>
        <v>275.71773000000002</v>
      </c>
      <c r="V26" s="2">
        <f t="shared" si="21"/>
        <v>3.1469100000000001</v>
      </c>
      <c r="W26" s="2">
        <f t="shared" si="22"/>
        <v>0</v>
      </c>
      <c r="X26" s="2">
        <f t="shared" si="23"/>
        <v>1754.52</v>
      </c>
      <c r="Y26" s="2">
        <f t="shared" si="24"/>
        <v>1491.34</v>
      </c>
      <c r="Z26" s="2"/>
      <c r="AA26" s="2">
        <v>16492569</v>
      </c>
      <c r="AB26" s="2">
        <f t="shared" si="25"/>
        <v>92.9</v>
      </c>
      <c r="AC26" s="2">
        <f t="shared" si="26"/>
        <v>0</v>
      </c>
      <c r="AD26" s="2">
        <f>ROUND((((ET26)-(EU26))+AE26),6)</f>
        <v>4.0599999999999996</v>
      </c>
      <c r="AE26" s="2">
        <f t="shared" si="27"/>
        <v>1.76</v>
      </c>
      <c r="AF26" s="2">
        <f t="shared" si="27"/>
        <v>88.84</v>
      </c>
      <c r="AG26" s="2">
        <f t="shared" si="28"/>
        <v>0</v>
      </c>
      <c r="AH26" s="2">
        <f t="shared" si="29"/>
        <v>11.39</v>
      </c>
      <c r="AI26" s="2">
        <f t="shared" si="29"/>
        <v>0.13</v>
      </c>
      <c r="AJ26" s="2">
        <f t="shared" si="30"/>
        <v>0</v>
      </c>
      <c r="AK26" s="2">
        <v>92.9</v>
      </c>
      <c r="AL26" s="2">
        <v>0</v>
      </c>
      <c r="AM26" s="2">
        <v>4.0599999999999996</v>
      </c>
      <c r="AN26" s="2">
        <v>1.76</v>
      </c>
      <c r="AO26" s="2">
        <v>88.84</v>
      </c>
      <c r="AP26" s="2">
        <v>0</v>
      </c>
      <c r="AQ26" s="2">
        <v>11.39</v>
      </c>
      <c r="AR26" s="2">
        <v>0.13</v>
      </c>
      <c r="AS26" s="2">
        <v>0</v>
      </c>
      <c r="AT26" s="2">
        <v>80</v>
      </c>
      <c r="AU26" s="2">
        <v>68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25</v>
      </c>
      <c r="BK26" s="2"/>
      <c r="BL26" s="2"/>
      <c r="BM26" s="2">
        <v>57001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80</v>
      </c>
      <c r="CA26" s="2">
        <v>68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1"/>
        <v>2248.8300000000004</v>
      </c>
      <c r="CQ26" s="2">
        <f t="shared" si="32"/>
        <v>0</v>
      </c>
      <c r="CR26" s="2">
        <f t="shared" si="33"/>
        <v>4.0599999999999996</v>
      </c>
      <c r="CS26" s="2">
        <f t="shared" si="34"/>
        <v>1.76</v>
      </c>
      <c r="CT26" s="2">
        <f t="shared" si="35"/>
        <v>88.84</v>
      </c>
      <c r="CU26" s="2">
        <f t="shared" si="36"/>
        <v>0</v>
      </c>
      <c r="CV26" s="2">
        <f t="shared" si="37"/>
        <v>11.39</v>
      </c>
      <c r="CW26" s="2">
        <f t="shared" si="38"/>
        <v>0.13</v>
      </c>
      <c r="CX26" s="2">
        <f t="shared" si="39"/>
        <v>0</v>
      </c>
      <c r="CY26" s="2">
        <f t="shared" si="40"/>
        <v>1754.52</v>
      </c>
      <c r="CZ26" s="2">
        <f t="shared" si="41"/>
        <v>1491.3420000000001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24</v>
      </c>
      <c r="DW26" s="2" t="s">
        <v>24</v>
      </c>
      <c r="DX26" s="2">
        <v>100</v>
      </c>
      <c r="DY26" s="2"/>
      <c r="DZ26" s="2"/>
      <c r="EA26" s="2"/>
      <c r="EB26" s="2"/>
      <c r="EC26" s="2"/>
      <c r="ED26" s="2"/>
      <c r="EE26" s="2">
        <v>15139179</v>
      </c>
      <c r="EF26" s="2">
        <v>6</v>
      </c>
      <c r="EG26" s="2" t="s">
        <v>18</v>
      </c>
      <c r="EH26" s="2">
        <v>0</v>
      </c>
      <c r="EI26" s="2" t="s">
        <v>6</v>
      </c>
      <c r="EJ26" s="2">
        <v>1</v>
      </c>
      <c r="EK26" s="2">
        <v>57001</v>
      </c>
      <c r="EL26" s="2" t="s">
        <v>19</v>
      </c>
      <c r="EM26" s="2" t="s">
        <v>20</v>
      </c>
      <c r="EN26" s="2"/>
      <c r="EO26" s="2" t="s">
        <v>6</v>
      </c>
      <c r="EP26" s="2"/>
      <c r="EQ26" s="2">
        <v>131072</v>
      </c>
      <c r="ER26" s="2">
        <v>92.9</v>
      </c>
      <c r="ES26" s="2">
        <v>0</v>
      </c>
      <c r="ET26" s="2">
        <v>4.0599999999999996</v>
      </c>
      <c r="EU26" s="2">
        <v>1.76</v>
      </c>
      <c r="EV26" s="2">
        <v>88.84</v>
      </c>
      <c r="EW26" s="2">
        <v>11.39</v>
      </c>
      <c r="EX26" s="2">
        <v>0.13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2"/>
        <v>0</v>
      </c>
      <c r="FS26" s="2">
        <v>0</v>
      </c>
      <c r="FT26" s="2"/>
      <c r="FU26" s="2"/>
      <c r="FV26" s="2"/>
      <c r="FW26" s="2"/>
      <c r="FX26" s="2">
        <v>80</v>
      </c>
      <c r="FY26" s="2">
        <v>68</v>
      </c>
      <c r="FZ26" s="2"/>
      <c r="GA26" s="2" t="s">
        <v>6</v>
      </c>
      <c r="GB26" s="2"/>
      <c r="GC26" s="2"/>
      <c r="GD26" s="2">
        <v>0</v>
      </c>
      <c r="GE26" s="2"/>
      <c r="GF26" s="2">
        <v>334444289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3"/>
        <v>0</v>
      </c>
      <c r="GM26" s="2">
        <f t="shared" si="44"/>
        <v>5494.69</v>
      </c>
      <c r="GN26" s="2">
        <f t="shared" si="45"/>
        <v>5494.69</v>
      </c>
      <c r="GO26" s="2">
        <f t="shared" si="46"/>
        <v>0</v>
      </c>
      <c r="GP26" s="2">
        <f t="shared" si="47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8"/>
        <v>0</v>
      </c>
      <c r="GW26" s="2">
        <v>1</v>
      </c>
      <c r="GX26" s="2">
        <f t="shared" si="49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ROW(SmtRes!A8)</f>
        <v>8</v>
      </c>
      <c r="D27">
        <f>ROW(EtalonRes!A12)</f>
        <v>12</v>
      </c>
      <c r="E27" t="s">
        <v>21</v>
      </c>
      <c r="F27" t="s">
        <v>22</v>
      </c>
      <c r="G27" t="s">
        <v>23</v>
      </c>
      <c r="H27" t="s">
        <v>24</v>
      </c>
      <c r="I27">
        <f t="shared" si="50"/>
        <v>24.207000000000001</v>
      </c>
      <c r="J27">
        <v>0</v>
      </c>
      <c r="O27">
        <f t="shared" si="14"/>
        <v>15359.52</v>
      </c>
      <c r="P27">
        <f t="shared" si="15"/>
        <v>0</v>
      </c>
      <c r="Q27">
        <f t="shared" si="16"/>
        <v>671.26</v>
      </c>
      <c r="R27">
        <f t="shared" si="17"/>
        <v>290.99</v>
      </c>
      <c r="S27">
        <f t="shared" si="18"/>
        <v>14688.26</v>
      </c>
      <c r="T27">
        <f t="shared" si="19"/>
        <v>0</v>
      </c>
      <c r="U27">
        <f t="shared" si="20"/>
        <v>275.71773000000002</v>
      </c>
      <c r="V27">
        <f t="shared" si="21"/>
        <v>3.1469100000000001</v>
      </c>
      <c r="W27">
        <f t="shared" si="22"/>
        <v>0</v>
      </c>
      <c r="X27">
        <f t="shared" si="23"/>
        <v>11983.4</v>
      </c>
      <c r="Y27">
        <f t="shared" si="24"/>
        <v>10185.89</v>
      </c>
      <c r="AA27">
        <v>16492570</v>
      </c>
      <c r="AB27">
        <f t="shared" si="25"/>
        <v>92.9</v>
      </c>
      <c r="AC27">
        <f t="shared" si="26"/>
        <v>0</v>
      </c>
      <c r="AD27">
        <f>ROUND((((ET27)-(EU27))+AE27),6)</f>
        <v>4.0599999999999996</v>
      </c>
      <c r="AE27">
        <f t="shared" si="27"/>
        <v>1.76</v>
      </c>
      <c r="AF27">
        <f t="shared" si="27"/>
        <v>88.84</v>
      </c>
      <c r="AG27">
        <f t="shared" si="28"/>
        <v>0</v>
      </c>
      <c r="AH27">
        <f t="shared" si="29"/>
        <v>11.39</v>
      </c>
      <c r="AI27">
        <f t="shared" si="29"/>
        <v>0.13</v>
      </c>
      <c r="AJ27">
        <f t="shared" si="30"/>
        <v>0</v>
      </c>
      <c r="AK27">
        <v>92.9</v>
      </c>
      <c r="AL27">
        <v>0</v>
      </c>
      <c r="AM27">
        <v>4.0599999999999996</v>
      </c>
      <c r="AN27">
        <v>1.76</v>
      </c>
      <c r="AO27">
        <v>88.84</v>
      </c>
      <c r="AP27">
        <v>0</v>
      </c>
      <c r="AQ27">
        <v>11.39</v>
      </c>
      <c r="AR27">
        <v>0.13</v>
      </c>
      <c r="AS27">
        <v>0</v>
      </c>
      <c r="AT27">
        <v>80</v>
      </c>
      <c r="AU27">
        <v>68</v>
      </c>
      <c r="AV27">
        <v>1</v>
      </c>
      <c r="AW27">
        <v>1</v>
      </c>
      <c r="AZ27">
        <v>6.83</v>
      </c>
      <c r="BA27">
        <v>6.83</v>
      </c>
      <c r="BB27">
        <v>6.83</v>
      </c>
      <c r="BC27">
        <v>6.83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25</v>
      </c>
      <c r="BM27">
        <v>57001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6.83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80</v>
      </c>
      <c r="CA27">
        <v>68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1"/>
        <v>15359.52</v>
      </c>
      <c r="CQ27">
        <f t="shared" si="32"/>
        <v>0</v>
      </c>
      <c r="CR27">
        <f t="shared" si="33"/>
        <v>27.729799999999997</v>
      </c>
      <c r="CS27">
        <f t="shared" si="34"/>
        <v>12.020799999999999</v>
      </c>
      <c r="CT27">
        <f t="shared" si="35"/>
        <v>606.77719999999999</v>
      </c>
      <c r="CU27">
        <f t="shared" si="36"/>
        <v>0</v>
      </c>
      <c r="CV27">
        <f t="shared" si="37"/>
        <v>11.39</v>
      </c>
      <c r="CW27">
        <f t="shared" si="38"/>
        <v>0.13</v>
      </c>
      <c r="CX27">
        <f t="shared" si="39"/>
        <v>0</v>
      </c>
      <c r="CY27">
        <f t="shared" si="40"/>
        <v>11983.4</v>
      </c>
      <c r="CZ27">
        <f t="shared" si="41"/>
        <v>10185.89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24</v>
      </c>
      <c r="DW27" t="s">
        <v>24</v>
      </c>
      <c r="DX27">
        <v>100</v>
      </c>
      <c r="EE27">
        <v>15139179</v>
      </c>
      <c r="EF27">
        <v>6</v>
      </c>
      <c r="EG27" t="s">
        <v>18</v>
      </c>
      <c r="EH27">
        <v>0</v>
      </c>
      <c r="EI27" t="s">
        <v>6</v>
      </c>
      <c r="EJ27">
        <v>1</v>
      </c>
      <c r="EK27">
        <v>57001</v>
      </c>
      <c r="EL27" t="s">
        <v>19</v>
      </c>
      <c r="EM27" t="s">
        <v>20</v>
      </c>
      <c r="EO27" t="s">
        <v>6</v>
      </c>
      <c r="EQ27">
        <v>131072</v>
      </c>
      <c r="ER27">
        <v>92.9</v>
      </c>
      <c r="ES27">
        <v>0</v>
      </c>
      <c r="ET27">
        <v>4.0599999999999996</v>
      </c>
      <c r="EU27">
        <v>1.76</v>
      </c>
      <c r="EV27">
        <v>88.84</v>
      </c>
      <c r="EW27">
        <v>11.39</v>
      </c>
      <c r="EX27">
        <v>0.13</v>
      </c>
      <c r="EY27">
        <v>0</v>
      </c>
      <c r="FQ27">
        <v>0</v>
      </c>
      <c r="FR27">
        <f t="shared" si="42"/>
        <v>0</v>
      </c>
      <c r="FS27">
        <v>0</v>
      </c>
      <c r="FX27">
        <v>80</v>
      </c>
      <c r="FY27">
        <v>68</v>
      </c>
      <c r="GA27" t="s">
        <v>6</v>
      </c>
      <c r="GD27">
        <v>0</v>
      </c>
      <c r="GF27">
        <v>334444289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3"/>
        <v>0</v>
      </c>
      <c r="GM27">
        <f t="shared" si="44"/>
        <v>37528.81</v>
      </c>
      <c r="GN27">
        <f t="shared" si="45"/>
        <v>37528.81</v>
      </c>
      <c r="GO27">
        <f t="shared" si="46"/>
        <v>0</v>
      </c>
      <c r="GP27">
        <f t="shared" si="47"/>
        <v>0</v>
      </c>
      <c r="GR27">
        <v>0</v>
      </c>
      <c r="GS27">
        <v>3</v>
      </c>
      <c r="GT27">
        <v>0</v>
      </c>
      <c r="GU27" t="s">
        <v>6</v>
      </c>
      <c r="GV27">
        <f t="shared" si="48"/>
        <v>0</v>
      </c>
      <c r="GW27">
        <v>1</v>
      </c>
      <c r="GX27">
        <f t="shared" si="49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ROW(SmtRes!A15)</f>
        <v>15</v>
      </c>
      <c r="D28" s="2">
        <f>ROW(EtalonRes!A19)</f>
        <v>19</v>
      </c>
      <c r="E28" s="2" t="s">
        <v>26</v>
      </c>
      <c r="F28" s="2" t="s">
        <v>27</v>
      </c>
      <c r="G28" s="2" t="s">
        <v>28</v>
      </c>
      <c r="H28" s="2" t="s">
        <v>24</v>
      </c>
      <c r="I28" s="2">
        <f t="shared" si="50"/>
        <v>24.207000000000001</v>
      </c>
      <c r="J28" s="2">
        <v>0</v>
      </c>
      <c r="K28" s="2"/>
      <c r="L28" s="2"/>
      <c r="M28" s="2"/>
      <c r="N28" s="2"/>
      <c r="O28" s="2">
        <f t="shared" si="14"/>
        <v>268180.81</v>
      </c>
      <c r="P28" s="2">
        <f t="shared" si="15"/>
        <v>259047.1</v>
      </c>
      <c r="Q28" s="2">
        <f t="shared" si="16"/>
        <v>188.51</v>
      </c>
      <c r="R28" s="2">
        <f t="shared" si="17"/>
        <v>59.61</v>
      </c>
      <c r="S28" s="2">
        <f t="shared" si="18"/>
        <v>8945.2000000000007</v>
      </c>
      <c r="T28" s="2">
        <f t="shared" si="19"/>
        <v>0</v>
      </c>
      <c r="U28" s="2">
        <f t="shared" si="20"/>
        <v>1048.6593435</v>
      </c>
      <c r="V28" s="2">
        <f t="shared" si="21"/>
        <v>5.1439875000000006</v>
      </c>
      <c r="W28" s="2">
        <f t="shared" si="22"/>
        <v>0</v>
      </c>
      <c r="X28" s="2">
        <f t="shared" si="23"/>
        <v>9995.34</v>
      </c>
      <c r="Y28" s="2">
        <f t="shared" si="24"/>
        <v>5763.08</v>
      </c>
      <c r="Z28" s="2"/>
      <c r="AA28" s="2">
        <v>16492569</v>
      </c>
      <c r="AB28" s="2">
        <f t="shared" si="25"/>
        <v>11078.647000000001</v>
      </c>
      <c r="AC28" s="2">
        <f t="shared" si="26"/>
        <v>10701.33</v>
      </c>
      <c r="AD28" s="2">
        <f>ROUND(((((ET28*1.25))-((EU28*1.25)))+AE28),6)</f>
        <v>7.7874999999999996</v>
      </c>
      <c r="AE28" s="2">
        <f>ROUND(((EU28*1.25)),6)</f>
        <v>2.4624999999999999</v>
      </c>
      <c r="AF28" s="2">
        <f>ROUND(((EV28*1.15)),6)</f>
        <v>369.52949999999998</v>
      </c>
      <c r="AG28" s="2">
        <f t="shared" si="28"/>
        <v>0</v>
      </c>
      <c r="AH28" s="2">
        <f>((EW28*1.15))</f>
        <v>43.320499999999996</v>
      </c>
      <c r="AI28" s="2">
        <f>((EX28*1.25))</f>
        <v>0.21250000000000002</v>
      </c>
      <c r="AJ28" s="2">
        <f t="shared" si="30"/>
        <v>0</v>
      </c>
      <c r="AK28" s="2">
        <v>11028.89</v>
      </c>
      <c r="AL28" s="2">
        <v>10701.33</v>
      </c>
      <c r="AM28" s="2">
        <v>6.23</v>
      </c>
      <c r="AN28" s="2">
        <v>1.97</v>
      </c>
      <c r="AO28" s="2">
        <v>321.33</v>
      </c>
      <c r="AP28" s="2">
        <v>0</v>
      </c>
      <c r="AQ28" s="2">
        <v>37.67</v>
      </c>
      <c r="AR28" s="2">
        <v>0.17</v>
      </c>
      <c r="AS28" s="2">
        <v>0</v>
      </c>
      <c r="AT28" s="2">
        <v>111</v>
      </c>
      <c r="AU28" s="2">
        <v>64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29</v>
      </c>
      <c r="BK28" s="2"/>
      <c r="BL28" s="2"/>
      <c r="BM28" s="2">
        <v>11001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123</v>
      </c>
      <c r="CA28" s="2">
        <v>75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240</v>
      </c>
      <c r="CO28" s="2">
        <v>0</v>
      </c>
      <c r="CP28" s="2">
        <f t="shared" si="31"/>
        <v>268180.81</v>
      </c>
      <c r="CQ28" s="2">
        <f t="shared" si="32"/>
        <v>10701.33</v>
      </c>
      <c r="CR28" s="2">
        <f t="shared" si="33"/>
        <v>7.7874999999999996</v>
      </c>
      <c r="CS28" s="2">
        <f t="shared" si="34"/>
        <v>2.4624999999999999</v>
      </c>
      <c r="CT28" s="2">
        <f t="shared" si="35"/>
        <v>369.52949999999998</v>
      </c>
      <c r="CU28" s="2">
        <f t="shared" si="36"/>
        <v>0</v>
      </c>
      <c r="CV28" s="2">
        <f t="shared" si="37"/>
        <v>43.320499999999996</v>
      </c>
      <c r="CW28" s="2">
        <f t="shared" si="38"/>
        <v>0.21250000000000002</v>
      </c>
      <c r="CX28" s="2">
        <f t="shared" si="39"/>
        <v>0</v>
      </c>
      <c r="CY28" s="2">
        <f t="shared" si="40"/>
        <v>9995.3391000000011</v>
      </c>
      <c r="CZ28" s="2">
        <f t="shared" si="41"/>
        <v>5763.0784000000012</v>
      </c>
      <c r="DA28" s="2"/>
      <c r="DB28" s="2"/>
      <c r="DC28" s="2" t="s">
        <v>6</v>
      </c>
      <c r="DD28" s="2" t="s">
        <v>6</v>
      </c>
      <c r="DE28" s="2" t="s">
        <v>30</v>
      </c>
      <c r="DF28" s="2" t="s">
        <v>30</v>
      </c>
      <c r="DG28" s="2" t="s">
        <v>31</v>
      </c>
      <c r="DH28" s="2" t="s">
        <v>6</v>
      </c>
      <c r="DI28" s="2" t="s">
        <v>31</v>
      </c>
      <c r="DJ28" s="2" t="s">
        <v>30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24</v>
      </c>
      <c r="DW28" s="2" t="s">
        <v>24</v>
      </c>
      <c r="DX28" s="2">
        <v>100</v>
      </c>
      <c r="DY28" s="2"/>
      <c r="DZ28" s="2"/>
      <c r="EA28" s="2"/>
      <c r="EB28" s="2"/>
      <c r="EC28" s="2"/>
      <c r="ED28" s="2"/>
      <c r="EE28" s="2">
        <v>15139101</v>
      </c>
      <c r="EF28" s="2">
        <v>2</v>
      </c>
      <c r="EG28" s="2" t="s">
        <v>32</v>
      </c>
      <c r="EH28" s="2">
        <v>0</v>
      </c>
      <c r="EI28" s="2" t="s">
        <v>6</v>
      </c>
      <c r="EJ28" s="2">
        <v>1</v>
      </c>
      <c r="EK28" s="2">
        <v>11001</v>
      </c>
      <c r="EL28" s="2" t="s">
        <v>19</v>
      </c>
      <c r="EM28" s="2" t="s">
        <v>33</v>
      </c>
      <c r="EN28" s="2"/>
      <c r="EO28" s="2" t="s">
        <v>34</v>
      </c>
      <c r="EP28" s="2"/>
      <c r="EQ28" s="2">
        <v>0</v>
      </c>
      <c r="ER28" s="2">
        <v>11028.89</v>
      </c>
      <c r="ES28" s="2">
        <v>10701.33</v>
      </c>
      <c r="ET28" s="2">
        <v>6.23</v>
      </c>
      <c r="EU28" s="2">
        <v>1.97</v>
      </c>
      <c r="EV28" s="2">
        <v>321.33</v>
      </c>
      <c r="EW28" s="2">
        <v>37.67</v>
      </c>
      <c r="EX28" s="2">
        <v>0.17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2"/>
        <v>0</v>
      </c>
      <c r="FS28" s="2">
        <v>0</v>
      </c>
      <c r="FT28" s="2" t="s">
        <v>35</v>
      </c>
      <c r="FU28" s="2" t="s">
        <v>36</v>
      </c>
      <c r="FV28" s="2"/>
      <c r="FW28" s="2"/>
      <c r="FX28" s="2">
        <v>110.7</v>
      </c>
      <c r="FY28" s="2">
        <v>63.75</v>
      </c>
      <c r="FZ28" s="2"/>
      <c r="GA28" s="2" t="s">
        <v>6</v>
      </c>
      <c r="GB28" s="2"/>
      <c r="GC28" s="2"/>
      <c r="GD28" s="2">
        <v>0</v>
      </c>
      <c r="GE28" s="2"/>
      <c r="GF28" s="2">
        <v>973139087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3"/>
        <v>0</v>
      </c>
      <c r="GM28" s="2">
        <f t="shared" si="44"/>
        <v>283939.23</v>
      </c>
      <c r="GN28" s="2">
        <f t="shared" si="45"/>
        <v>283939.23</v>
      </c>
      <c r="GO28" s="2">
        <f t="shared" si="46"/>
        <v>0</v>
      </c>
      <c r="GP28" s="2">
        <f t="shared" si="47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8"/>
        <v>0</v>
      </c>
      <c r="GW28" s="2">
        <v>1</v>
      </c>
      <c r="GX28" s="2">
        <f t="shared" si="49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ROW(SmtRes!A22)</f>
        <v>22</v>
      </c>
      <c r="D29">
        <f>ROW(EtalonRes!A26)</f>
        <v>26</v>
      </c>
      <c r="E29" t="s">
        <v>26</v>
      </c>
      <c r="F29" t="s">
        <v>27</v>
      </c>
      <c r="G29" t="s">
        <v>28</v>
      </c>
      <c r="H29" t="s">
        <v>24</v>
      </c>
      <c r="I29">
        <f t="shared" si="50"/>
        <v>24.207000000000001</v>
      </c>
      <c r="J29">
        <v>0</v>
      </c>
      <c r="O29">
        <f t="shared" si="14"/>
        <v>1831674.92</v>
      </c>
      <c r="P29">
        <f t="shared" si="15"/>
        <v>1769291.66</v>
      </c>
      <c r="Q29">
        <f t="shared" si="16"/>
        <v>1287.54</v>
      </c>
      <c r="R29">
        <f t="shared" si="17"/>
        <v>407.13</v>
      </c>
      <c r="S29">
        <f t="shared" si="18"/>
        <v>61095.72</v>
      </c>
      <c r="T29">
        <f t="shared" si="19"/>
        <v>0</v>
      </c>
      <c r="U29">
        <f t="shared" si="20"/>
        <v>1048.6593435</v>
      </c>
      <c r="V29">
        <f t="shared" si="21"/>
        <v>5.1439875000000006</v>
      </c>
      <c r="W29">
        <f t="shared" si="22"/>
        <v>0</v>
      </c>
      <c r="X29">
        <f t="shared" si="23"/>
        <v>68268.160000000003</v>
      </c>
      <c r="Y29">
        <f t="shared" si="24"/>
        <v>39361.82</v>
      </c>
      <c r="AA29">
        <v>16492570</v>
      </c>
      <c r="AB29">
        <f t="shared" si="25"/>
        <v>11078.647000000001</v>
      </c>
      <c r="AC29">
        <f t="shared" si="26"/>
        <v>10701.33</v>
      </c>
      <c r="AD29">
        <f>ROUND(((((ET29*1.25))-((EU29*1.25)))+AE29),6)</f>
        <v>7.7874999999999996</v>
      </c>
      <c r="AE29">
        <f>ROUND(((EU29*1.25)),6)</f>
        <v>2.4624999999999999</v>
      </c>
      <c r="AF29">
        <f>ROUND(((EV29*1.15)),6)</f>
        <v>369.52949999999998</v>
      </c>
      <c r="AG29">
        <f t="shared" si="28"/>
        <v>0</v>
      </c>
      <c r="AH29">
        <f>((EW29*1.15))</f>
        <v>43.320499999999996</v>
      </c>
      <c r="AI29">
        <f>((EX29*1.25))</f>
        <v>0.21250000000000002</v>
      </c>
      <c r="AJ29">
        <f t="shared" si="30"/>
        <v>0</v>
      </c>
      <c r="AK29">
        <v>11028.89</v>
      </c>
      <c r="AL29">
        <v>10701.33</v>
      </c>
      <c r="AM29">
        <v>6.23</v>
      </c>
      <c r="AN29">
        <v>1.97</v>
      </c>
      <c r="AO29">
        <v>321.33</v>
      </c>
      <c r="AP29">
        <v>0</v>
      </c>
      <c r="AQ29">
        <v>37.67</v>
      </c>
      <c r="AR29">
        <v>0.17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6.83</v>
      </c>
      <c r="BA29">
        <v>6.83</v>
      </c>
      <c r="BB29">
        <v>6.83</v>
      </c>
      <c r="BC29">
        <v>6.83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11001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6.83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240</v>
      </c>
      <c r="CO29">
        <v>0</v>
      </c>
      <c r="CP29">
        <f t="shared" si="31"/>
        <v>1831674.92</v>
      </c>
      <c r="CQ29">
        <f t="shared" si="32"/>
        <v>73090.083899999998</v>
      </c>
      <c r="CR29">
        <f t="shared" si="33"/>
        <v>53.188624999999995</v>
      </c>
      <c r="CS29">
        <f t="shared" si="34"/>
        <v>16.818874999999998</v>
      </c>
      <c r="CT29">
        <f t="shared" si="35"/>
        <v>2523.886485</v>
      </c>
      <c r="CU29">
        <f t="shared" si="36"/>
        <v>0</v>
      </c>
      <c r="CV29">
        <f t="shared" si="37"/>
        <v>43.320499999999996</v>
      </c>
      <c r="CW29">
        <f t="shared" si="38"/>
        <v>0.21250000000000002</v>
      </c>
      <c r="CX29">
        <f t="shared" si="39"/>
        <v>0</v>
      </c>
      <c r="CY29">
        <f t="shared" si="40"/>
        <v>68268.163499999995</v>
      </c>
      <c r="CZ29">
        <f t="shared" si="41"/>
        <v>39361.824000000001</v>
      </c>
      <c r="DC29" t="s">
        <v>6</v>
      </c>
      <c r="DD29" t="s">
        <v>6</v>
      </c>
      <c r="DE29" t="s">
        <v>30</v>
      </c>
      <c r="DF29" t="s">
        <v>30</v>
      </c>
      <c r="DG29" t="s">
        <v>31</v>
      </c>
      <c r="DH29" t="s">
        <v>6</v>
      </c>
      <c r="DI29" t="s">
        <v>31</v>
      </c>
      <c r="DJ29" t="s">
        <v>30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24</v>
      </c>
      <c r="DW29" t="s">
        <v>24</v>
      </c>
      <c r="DX29">
        <v>100</v>
      </c>
      <c r="EE29">
        <v>15139101</v>
      </c>
      <c r="EF29">
        <v>2</v>
      </c>
      <c r="EG29" t="s">
        <v>32</v>
      </c>
      <c r="EH29">
        <v>0</v>
      </c>
      <c r="EI29" t="s">
        <v>6</v>
      </c>
      <c r="EJ29">
        <v>1</v>
      </c>
      <c r="EK29">
        <v>11001</v>
      </c>
      <c r="EL29" t="s">
        <v>19</v>
      </c>
      <c r="EM29" t="s">
        <v>33</v>
      </c>
      <c r="EO29" t="s">
        <v>34</v>
      </c>
      <c r="EQ29">
        <v>0</v>
      </c>
      <c r="ER29">
        <v>11028.89</v>
      </c>
      <c r="ES29">
        <v>10701.33</v>
      </c>
      <c r="ET29">
        <v>6.23</v>
      </c>
      <c r="EU29">
        <v>1.97</v>
      </c>
      <c r="EV29">
        <v>321.33</v>
      </c>
      <c r="EW29">
        <v>37.67</v>
      </c>
      <c r="EX29">
        <v>0.17</v>
      </c>
      <c r="EY29">
        <v>0</v>
      </c>
      <c r="FQ29">
        <v>0</v>
      </c>
      <c r="FR29">
        <f t="shared" si="42"/>
        <v>0</v>
      </c>
      <c r="FS29">
        <v>0</v>
      </c>
      <c r="FT29" t="s">
        <v>35</v>
      </c>
      <c r="FU29" t="s">
        <v>36</v>
      </c>
      <c r="FX29">
        <v>110.7</v>
      </c>
      <c r="FY29">
        <v>63.75</v>
      </c>
      <c r="GA29" t="s">
        <v>6</v>
      </c>
      <c r="GD29">
        <v>0</v>
      </c>
      <c r="GF29">
        <v>973139087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3"/>
        <v>0</v>
      </c>
      <c r="GM29">
        <f t="shared" si="44"/>
        <v>1939304.9</v>
      </c>
      <c r="GN29">
        <f t="shared" si="45"/>
        <v>1939304.9</v>
      </c>
      <c r="GO29">
        <f t="shared" si="46"/>
        <v>0</v>
      </c>
      <c r="GP29">
        <f t="shared" si="47"/>
        <v>0</v>
      </c>
      <c r="GR29">
        <v>0</v>
      </c>
      <c r="GS29">
        <v>3</v>
      </c>
      <c r="GT29">
        <v>0</v>
      </c>
      <c r="GU29" t="s">
        <v>6</v>
      </c>
      <c r="GV29">
        <f t="shared" si="48"/>
        <v>0</v>
      </c>
      <c r="GW29">
        <v>1</v>
      </c>
      <c r="GX29">
        <f t="shared" si="4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ROW(SmtRes!A33)</f>
        <v>33</v>
      </c>
      <c r="D30" s="2">
        <f>ROW(EtalonRes!A38)</f>
        <v>38</v>
      </c>
      <c r="E30" s="2" t="s">
        <v>37</v>
      </c>
      <c r="F30" s="2" t="s">
        <v>38</v>
      </c>
      <c r="G30" s="2" t="s">
        <v>275</v>
      </c>
      <c r="H30" s="2" t="s">
        <v>24</v>
      </c>
      <c r="I30" s="2">
        <f t="shared" si="50"/>
        <v>24.207000000000001</v>
      </c>
      <c r="J30" s="2">
        <v>0</v>
      </c>
      <c r="K30" s="2"/>
      <c r="L30" s="2"/>
      <c r="M30" s="2"/>
      <c r="N30" s="2"/>
      <c r="O30" s="2">
        <f t="shared" si="14"/>
        <v>522311.06</v>
      </c>
      <c r="P30" s="2">
        <f t="shared" si="15"/>
        <v>456051.17</v>
      </c>
      <c r="Q30" s="2">
        <f t="shared" si="16"/>
        <v>584.6</v>
      </c>
      <c r="R30" s="2">
        <f t="shared" si="17"/>
        <v>423.86</v>
      </c>
      <c r="S30" s="2">
        <f t="shared" si="18"/>
        <v>65675.289999999994</v>
      </c>
      <c r="T30" s="2">
        <f t="shared" si="19"/>
        <v>0</v>
      </c>
      <c r="U30" s="2">
        <f t="shared" si="20"/>
        <v>7514.3369400000011</v>
      </c>
      <c r="V30" s="2">
        <f t="shared" si="21"/>
        <v>41.87811</v>
      </c>
      <c r="W30" s="2">
        <f t="shared" si="22"/>
        <v>0</v>
      </c>
      <c r="X30" s="2">
        <f t="shared" si="23"/>
        <v>73370.06</v>
      </c>
      <c r="Y30" s="2">
        <f t="shared" si="24"/>
        <v>42303.46</v>
      </c>
      <c r="Z30" s="2"/>
      <c r="AA30" s="2">
        <v>16492569</v>
      </c>
      <c r="AB30" s="2">
        <f t="shared" si="25"/>
        <v>21576.86</v>
      </c>
      <c r="AC30" s="2">
        <f t="shared" si="26"/>
        <v>18839.64</v>
      </c>
      <c r="AD30" s="2">
        <f>ROUND((((ET30)-(EU30))+AE30),6)</f>
        <v>24.15</v>
      </c>
      <c r="AE30" s="2">
        <f t="shared" ref="AE30:AF33" si="51">ROUND((EU30),6)</f>
        <v>17.510000000000002</v>
      </c>
      <c r="AF30" s="2">
        <f t="shared" si="51"/>
        <v>2713.07</v>
      </c>
      <c r="AG30" s="2">
        <f t="shared" si="28"/>
        <v>0</v>
      </c>
      <c r="AH30" s="2">
        <f t="shared" ref="AH30:AI33" si="52">(EW30)</f>
        <v>310.42</v>
      </c>
      <c r="AI30" s="2">
        <f t="shared" si="52"/>
        <v>1.73</v>
      </c>
      <c r="AJ30" s="2">
        <f t="shared" si="30"/>
        <v>0</v>
      </c>
      <c r="AK30" s="2">
        <v>21576.86</v>
      </c>
      <c r="AL30" s="2">
        <v>18839.64</v>
      </c>
      <c r="AM30" s="2">
        <v>24.15</v>
      </c>
      <c r="AN30" s="2">
        <v>17.510000000000002</v>
      </c>
      <c r="AO30" s="2">
        <v>2713.07</v>
      </c>
      <c r="AP30" s="2">
        <v>0</v>
      </c>
      <c r="AQ30" s="2">
        <v>310.42</v>
      </c>
      <c r="AR30" s="2">
        <v>1.73</v>
      </c>
      <c r="AS30" s="2">
        <v>0</v>
      </c>
      <c r="AT30" s="2">
        <v>111</v>
      </c>
      <c r="AU30" s="2">
        <v>64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39</v>
      </c>
      <c r="BK30" s="2"/>
      <c r="BL30" s="2"/>
      <c r="BM30" s="2">
        <v>11001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123</v>
      </c>
      <c r="CA30" s="2">
        <v>75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1"/>
        <v>522311.05999999994</v>
      </c>
      <c r="CQ30" s="2">
        <f t="shared" si="32"/>
        <v>18839.64</v>
      </c>
      <c r="CR30" s="2">
        <f t="shared" si="33"/>
        <v>24.15</v>
      </c>
      <c r="CS30" s="2">
        <f t="shared" si="34"/>
        <v>17.510000000000002</v>
      </c>
      <c r="CT30" s="2">
        <f t="shared" si="35"/>
        <v>2713.07</v>
      </c>
      <c r="CU30" s="2">
        <f t="shared" si="36"/>
        <v>0</v>
      </c>
      <c r="CV30" s="2">
        <f t="shared" si="37"/>
        <v>310.42</v>
      </c>
      <c r="CW30" s="2">
        <f t="shared" si="38"/>
        <v>1.73</v>
      </c>
      <c r="CX30" s="2">
        <f t="shared" si="39"/>
        <v>0</v>
      </c>
      <c r="CY30" s="2">
        <f t="shared" si="40"/>
        <v>73370.056499999992</v>
      </c>
      <c r="CZ30" s="2">
        <f t="shared" si="41"/>
        <v>42303.455999999998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24</v>
      </c>
      <c r="DW30" s="2" t="s">
        <v>24</v>
      </c>
      <c r="DX30" s="2">
        <v>100</v>
      </c>
      <c r="DY30" s="2"/>
      <c r="DZ30" s="2"/>
      <c r="EA30" s="2"/>
      <c r="EB30" s="2"/>
      <c r="EC30" s="2"/>
      <c r="ED30" s="2"/>
      <c r="EE30" s="2">
        <v>15139101</v>
      </c>
      <c r="EF30" s="2">
        <v>2</v>
      </c>
      <c r="EG30" s="2" t="s">
        <v>32</v>
      </c>
      <c r="EH30" s="2">
        <v>0</v>
      </c>
      <c r="EI30" s="2" t="s">
        <v>6</v>
      </c>
      <c r="EJ30" s="2">
        <v>1</v>
      </c>
      <c r="EK30" s="2">
        <v>11001</v>
      </c>
      <c r="EL30" s="2" t="s">
        <v>19</v>
      </c>
      <c r="EM30" s="2" t="s">
        <v>33</v>
      </c>
      <c r="EN30" s="2"/>
      <c r="EO30" s="2" t="s">
        <v>6</v>
      </c>
      <c r="EP30" s="2"/>
      <c r="EQ30" s="2">
        <v>0</v>
      </c>
      <c r="ER30" s="2">
        <v>21576.86</v>
      </c>
      <c r="ES30" s="2">
        <v>18839.64</v>
      </c>
      <c r="ET30" s="2">
        <v>24.15</v>
      </c>
      <c r="EU30" s="2">
        <v>17.510000000000002</v>
      </c>
      <c r="EV30" s="2">
        <v>2713.07</v>
      </c>
      <c r="EW30" s="2">
        <v>310.42</v>
      </c>
      <c r="EX30" s="2">
        <v>1.73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2"/>
        <v>0</v>
      </c>
      <c r="FS30" s="2">
        <v>0</v>
      </c>
      <c r="FT30" s="2" t="s">
        <v>35</v>
      </c>
      <c r="FU30" s="2" t="s">
        <v>36</v>
      </c>
      <c r="FV30" s="2"/>
      <c r="FW30" s="2"/>
      <c r="FX30" s="2">
        <v>110.7</v>
      </c>
      <c r="FY30" s="2">
        <v>63.75</v>
      </c>
      <c r="FZ30" s="2"/>
      <c r="GA30" s="2" t="s">
        <v>6</v>
      </c>
      <c r="GB30" s="2"/>
      <c r="GC30" s="2"/>
      <c r="GD30" s="2">
        <v>0</v>
      </c>
      <c r="GE30" s="2"/>
      <c r="GF30" s="2">
        <v>445220548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3"/>
        <v>0</v>
      </c>
      <c r="GM30" s="2">
        <f t="shared" si="44"/>
        <v>637984.57999999996</v>
      </c>
      <c r="GN30" s="2">
        <f t="shared" si="45"/>
        <v>637984.57999999996</v>
      </c>
      <c r="GO30" s="2">
        <f t="shared" si="46"/>
        <v>0</v>
      </c>
      <c r="GP30" s="2">
        <f t="shared" si="47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8"/>
        <v>0</v>
      </c>
      <c r="GW30" s="2">
        <v>1</v>
      </c>
      <c r="GX30" s="2">
        <f t="shared" si="4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ROW(SmtRes!A44)</f>
        <v>44</v>
      </c>
      <c r="D31">
        <f>ROW(EtalonRes!A50)</f>
        <v>50</v>
      </c>
      <c r="E31" t="s">
        <v>37</v>
      </c>
      <c r="F31" t="s">
        <v>38</v>
      </c>
      <c r="G31" t="s">
        <v>275</v>
      </c>
      <c r="H31" t="s">
        <v>24</v>
      </c>
      <c r="I31">
        <f t="shared" si="50"/>
        <v>24.207000000000001</v>
      </c>
      <c r="J31">
        <v>0</v>
      </c>
      <c r="O31">
        <f t="shared" si="14"/>
        <v>3567384.47</v>
      </c>
      <c r="P31">
        <f t="shared" si="15"/>
        <v>3114829.46</v>
      </c>
      <c r="Q31">
        <f t="shared" si="16"/>
        <v>3992.81</v>
      </c>
      <c r="R31">
        <f t="shared" si="17"/>
        <v>2895</v>
      </c>
      <c r="S31">
        <f t="shared" si="18"/>
        <v>448562.2</v>
      </c>
      <c r="T31">
        <f t="shared" si="19"/>
        <v>0</v>
      </c>
      <c r="U31">
        <f t="shared" si="20"/>
        <v>7514.3369400000011</v>
      </c>
      <c r="V31">
        <f t="shared" si="21"/>
        <v>41.87811</v>
      </c>
      <c r="W31">
        <f t="shared" si="22"/>
        <v>0</v>
      </c>
      <c r="X31">
        <f t="shared" si="23"/>
        <v>501117.49</v>
      </c>
      <c r="Y31">
        <f t="shared" si="24"/>
        <v>288932.61</v>
      </c>
      <c r="AA31">
        <v>16492570</v>
      </c>
      <c r="AB31">
        <f t="shared" si="25"/>
        <v>21576.86</v>
      </c>
      <c r="AC31">
        <f t="shared" si="26"/>
        <v>18839.64</v>
      </c>
      <c r="AD31">
        <f>ROUND((((ET31)-(EU31))+AE31),6)</f>
        <v>24.15</v>
      </c>
      <c r="AE31">
        <f t="shared" si="51"/>
        <v>17.510000000000002</v>
      </c>
      <c r="AF31">
        <f t="shared" si="51"/>
        <v>2713.07</v>
      </c>
      <c r="AG31">
        <f t="shared" si="28"/>
        <v>0</v>
      </c>
      <c r="AH31">
        <f t="shared" si="52"/>
        <v>310.42</v>
      </c>
      <c r="AI31">
        <f t="shared" si="52"/>
        <v>1.73</v>
      </c>
      <c r="AJ31">
        <f t="shared" si="30"/>
        <v>0</v>
      </c>
      <c r="AK31">
        <v>21576.86</v>
      </c>
      <c r="AL31">
        <v>18839.64</v>
      </c>
      <c r="AM31">
        <v>24.15</v>
      </c>
      <c r="AN31">
        <v>17.510000000000002</v>
      </c>
      <c r="AO31">
        <v>2713.07</v>
      </c>
      <c r="AP31">
        <v>0</v>
      </c>
      <c r="AQ31">
        <v>310.42</v>
      </c>
      <c r="AR31">
        <v>1.73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6.83</v>
      </c>
      <c r="BA31">
        <v>6.83</v>
      </c>
      <c r="BB31">
        <v>6.83</v>
      </c>
      <c r="BC31">
        <v>6.83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39</v>
      </c>
      <c r="BM31">
        <v>11001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6.83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1"/>
        <v>3567384.47</v>
      </c>
      <c r="CQ31">
        <f t="shared" si="32"/>
        <v>128674.7412</v>
      </c>
      <c r="CR31">
        <f t="shared" si="33"/>
        <v>164.94450000000001</v>
      </c>
      <c r="CS31">
        <f t="shared" si="34"/>
        <v>119.59330000000001</v>
      </c>
      <c r="CT31">
        <f t="shared" si="35"/>
        <v>18530.268100000001</v>
      </c>
      <c r="CU31">
        <f t="shared" si="36"/>
        <v>0</v>
      </c>
      <c r="CV31">
        <f t="shared" si="37"/>
        <v>310.42</v>
      </c>
      <c r="CW31">
        <f t="shared" si="38"/>
        <v>1.73</v>
      </c>
      <c r="CX31">
        <f t="shared" si="39"/>
        <v>0</v>
      </c>
      <c r="CY31">
        <f t="shared" si="40"/>
        <v>501117.49200000003</v>
      </c>
      <c r="CZ31">
        <f t="shared" si="41"/>
        <v>288932.60800000001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24</v>
      </c>
      <c r="DW31" t="s">
        <v>24</v>
      </c>
      <c r="DX31">
        <v>100</v>
      </c>
      <c r="EE31">
        <v>15139101</v>
      </c>
      <c r="EF31">
        <v>2</v>
      </c>
      <c r="EG31" t="s">
        <v>32</v>
      </c>
      <c r="EH31">
        <v>0</v>
      </c>
      <c r="EI31" t="s">
        <v>6</v>
      </c>
      <c r="EJ31">
        <v>1</v>
      </c>
      <c r="EK31">
        <v>11001</v>
      </c>
      <c r="EL31" t="s">
        <v>19</v>
      </c>
      <c r="EM31" t="s">
        <v>33</v>
      </c>
      <c r="EO31" t="s">
        <v>6</v>
      </c>
      <c r="EQ31">
        <v>0</v>
      </c>
      <c r="ER31">
        <v>21576.86</v>
      </c>
      <c r="ES31">
        <v>18839.64</v>
      </c>
      <c r="ET31">
        <v>24.15</v>
      </c>
      <c r="EU31">
        <v>17.510000000000002</v>
      </c>
      <c r="EV31">
        <v>2713.07</v>
      </c>
      <c r="EW31">
        <v>310.42</v>
      </c>
      <c r="EX31">
        <v>1.73</v>
      </c>
      <c r="EY31">
        <v>0</v>
      </c>
      <c r="FQ31">
        <v>0</v>
      </c>
      <c r="FR31">
        <f t="shared" si="42"/>
        <v>0</v>
      </c>
      <c r="FS31">
        <v>0</v>
      </c>
      <c r="FT31" t="s">
        <v>35</v>
      </c>
      <c r="FU31" t="s">
        <v>36</v>
      </c>
      <c r="FX31">
        <v>110.7</v>
      </c>
      <c r="FY31">
        <v>63.75</v>
      </c>
      <c r="GA31" t="s">
        <v>6</v>
      </c>
      <c r="GD31">
        <v>0</v>
      </c>
      <c r="GF31">
        <v>445220548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3"/>
        <v>0</v>
      </c>
      <c r="GM31">
        <f t="shared" si="44"/>
        <v>4357434.57</v>
      </c>
      <c r="GN31">
        <f t="shared" si="45"/>
        <v>4357434.57</v>
      </c>
      <c r="GO31">
        <f t="shared" si="46"/>
        <v>0</v>
      </c>
      <c r="GP31">
        <f t="shared" si="47"/>
        <v>0</v>
      </c>
      <c r="GR31">
        <v>0</v>
      </c>
      <c r="GS31">
        <v>3</v>
      </c>
      <c r="GT31">
        <v>0</v>
      </c>
      <c r="GU31" t="s">
        <v>6</v>
      </c>
      <c r="GV31">
        <f t="shared" si="48"/>
        <v>0</v>
      </c>
      <c r="GW31">
        <v>1</v>
      </c>
      <c r="GX31">
        <f t="shared" si="49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33</v>
      </c>
      <c r="D32" s="2"/>
      <c r="E32" s="2" t="s">
        <v>40</v>
      </c>
      <c r="F32" s="2" t="s">
        <v>41</v>
      </c>
      <c r="G32" s="2" t="s">
        <v>42</v>
      </c>
      <c r="H32" s="2" t="s">
        <v>43</v>
      </c>
      <c r="I32" s="2">
        <f>I30*J32</f>
        <v>484.14</v>
      </c>
      <c r="J32" s="2">
        <v>20</v>
      </c>
      <c r="K32" s="2"/>
      <c r="L32" s="2"/>
      <c r="M32" s="2"/>
      <c r="N32" s="2"/>
      <c r="O32" s="2">
        <f t="shared" si="14"/>
        <v>4425.04</v>
      </c>
      <c r="P32" s="2">
        <f t="shared" si="15"/>
        <v>4425.04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16492569</v>
      </c>
      <c r="AB32" s="2">
        <f t="shared" si="25"/>
        <v>9.14</v>
      </c>
      <c r="AC32" s="2">
        <f t="shared" si="26"/>
        <v>9.14</v>
      </c>
      <c r="AD32" s="2">
        <f>ROUND((((ET32)-(EU32))+AE32),6)</f>
        <v>0</v>
      </c>
      <c r="AE32" s="2">
        <f t="shared" si="51"/>
        <v>0</v>
      </c>
      <c r="AF32" s="2">
        <f t="shared" si="51"/>
        <v>0</v>
      </c>
      <c r="AG32" s="2">
        <f t="shared" si="28"/>
        <v>0</v>
      </c>
      <c r="AH32" s="2">
        <f t="shared" si="52"/>
        <v>0</v>
      </c>
      <c r="AI32" s="2">
        <f t="shared" si="52"/>
        <v>0</v>
      </c>
      <c r="AJ32" s="2">
        <f t="shared" si="30"/>
        <v>0</v>
      </c>
      <c r="AK32" s="2">
        <v>9.14</v>
      </c>
      <c r="AL32" s="2">
        <v>9.14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111</v>
      </c>
      <c r="AU32" s="2">
        <v>64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44</v>
      </c>
      <c r="BK32" s="2"/>
      <c r="BL32" s="2"/>
      <c r="BM32" s="2">
        <v>11001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123</v>
      </c>
      <c r="CA32" s="2">
        <v>75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1"/>
        <v>4425.04</v>
      </c>
      <c r="CQ32" s="2">
        <f t="shared" si="32"/>
        <v>9.14</v>
      </c>
      <c r="CR32" s="2">
        <f t="shared" si="33"/>
        <v>0</v>
      </c>
      <c r="CS32" s="2">
        <f t="shared" si="34"/>
        <v>0</v>
      </c>
      <c r="CT32" s="2">
        <f t="shared" si="35"/>
        <v>0</v>
      </c>
      <c r="CU32" s="2">
        <f t="shared" si="36"/>
        <v>0</v>
      </c>
      <c r="CV32" s="2">
        <f t="shared" si="37"/>
        <v>0</v>
      </c>
      <c r="CW32" s="2">
        <f t="shared" si="38"/>
        <v>0</v>
      </c>
      <c r="CX32" s="2">
        <f t="shared" si="39"/>
        <v>0</v>
      </c>
      <c r="CY32" s="2">
        <f t="shared" si="40"/>
        <v>0</v>
      </c>
      <c r="CZ32" s="2">
        <f t="shared" si="41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1002</v>
      </c>
      <c r="DV32" s="2" t="s">
        <v>43</v>
      </c>
      <c r="DW32" s="2" t="s">
        <v>43</v>
      </c>
      <c r="DX32" s="2">
        <v>1</v>
      </c>
      <c r="DY32" s="2"/>
      <c r="DZ32" s="2"/>
      <c r="EA32" s="2"/>
      <c r="EB32" s="2"/>
      <c r="EC32" s="2"/>
      <c r="ED32" s="2"/>
      <c r="EE32" s="2">
        <v>15139101</v>
      </c>
      <c r="EF32" s="2">
        <v>2</v>
      </c>
      <c r="EG32" s="2" t="s">
        <v>32</v>
      </c>
      <c r="EH32" s="2">
        <v>0</v>
      </c>
      <c r="EI32" s="2" t="s">
        <v>6</v>
      </c>
      <c r="EJ32" s="2">
        <v>1</v>
      </c>
      <c r="EK32" s="2">
        <v>11001</v>
      </c>
      <c r="EL32" s="2" t="s">
        <v>19</v>
      </c>
      <c r="EM32" s="2" t="s">
        <v>33</v>
      </c>
      <c r="EN32" s="2"/>
      <c r="EO32" s="2" t="s">
        <v>6</v>
      </c>
      <c r="EP32" s="2"/>
      <c r="EQ32" s="2">
        <v>0</v>
      </c>
      <c r="ER32" s="2">
        <v>9.14</v>
      </c>
      <c r="ES32" s="2">
        <v>9.14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2"/>
        <v>0</v>
      </c>
      <c r="FS32" s="2">
        <v>0</v>
      </c>
      <c r="FT32" s="2" t="s">
        <v>35</v>
      </c>
      <c r="FU32" s="2" t="s">
        <v>36</v>
      </c>
      <c r="FV32" s="2"/>
      <c r="FW32" s="2"/>
      <c r="FX32" s="2">
        <v>110.7</v>
      </c>
      <c r="FY32" s="2">
        <v>63.75</v>
      </c>
      <c r="FZ32" s="2"/>
      <c r="GA32" s="2" t="s">
        <v>6</v>
      </c>
      <c r="GB32" s="2"/>
      <c r="GC32" s="2"/>
      <c r="GD32" s="2">
        <v>0</v>
      </c>
      <c r="GE32" s="2"/>
      <c r="GF32" s="2">
        <v>-972933126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3"/>
        <v>0</v>
      </c>
      <c r="GM32" s="2">
        <f t="shared" si="44"/>
        <v>4425.04</v>
      </c>
      <c r="GN32" s="2">
        <f t="shared" si="45"/>
        <v>4425.04</v>
      </c>
      <c r="GO32" s="2">
        <f t="shared" si="46"/>
        <v>0</v>
      </c>
      <c r="GP32" s="2">
        <f t="shared" si="47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8"/>
        <v>0</v>
      </c>
      <c r="GW32" s="2">
        <v>1</v>
      </c>
      <c r="GX32" s="2">
        <f t="shared" si="4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44</v>
      </c>
      <c r="E33" t="s">
        <v>40</v>
      </c>
      <c r="F33" t="s">
        <v>41</v>
      </c>
      <c r="G33" t="s">
        <v>42</v>
      </c>
      <c r="H33" t="s">
        <v>43</v>
      </c>
      <c r="I33">
        <f>I31*J33</f>
        <v>484.14</v>
      </c>
      <c r="J33">
        <v>20</v>
      </c>
      <c r="O33">
        <f t="shared" si="14"/>
        <v>30223.02</v>
      </c>
      <c r="P33">
        <f t="shared" si="15"/>
        <v>30223.02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16492570</v>
      </c>
      <c r="AB33">
        <f t="shared" si="25"/>
        <v>9.14</v>
      </c>
      <c r="AC33">
        <f t="shared" si="26"/>
        <v>9.14</v>
      </c>
      <c r="AD33">
        <f>ROUND((((ET33)-(EU33))+AE33),6)</f>
        <v>0</v>
      </c>
      <c r="AE33">
        <f t="shared" si="51"/>
        <v>0</v>
      </c>
      <c r="AF33">
        <f t="shared" si="51"/>
        <v>0</v>
      </c>
      <c r="AG33">
        <f t="shared" si="28"/>
        <v>0</v>
      </c>
      <c r="AH33">
        <f t="shared" si="52"/>
        <v>0</v>
      </c>
      <c r="AI33">
        <f t="shared" si="52"/>
        <v>0</v>
      </c>
      <c r="AJ33">
        <f t="shared" si="30"/>
        <v>0</v>
      </c>
      <c r="AK33">
        <v>9.14</v>
      </c>
      <c r="AL33">
        <v>9.14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6.83</v>
      </c>
      <c r="BA33">
        <v>1</v>
      </c>
      <c r="BB33">
        <v>1</v>
      </c>
      <c r="BC33">
        <v>6.83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44</v>
      </c>
      <c r="BM33">
        <v>11001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1"/>
        <v>30223.02</v>
      </c>
      <c r="CQ33">
        <f t="shared" si="32"/>
        <v>62.426200000000001</v>
      </c>
      <c r="CR33">
        <f t="shared" si="33"/>
        <v>0</v>
      </c>
      <c r="CS33">
        <f t="shared" si="34"/>
        <v>0</v>
      </c>
      <c r="CT33">
        <f t="shared" si="35"/>
        <v>0</v>
      </c>
      <c r="CU33">
        <f t="shared" si="36"/>
        <v>0</v>
      </c>
      <c r="CV33">
        <f t="shared" si="37"/>
        <v>0</v>
      </c>
      <c r="CW33">
        <f t="shared" si="38"/>
        <v>0</v>
      </c>
      <c r="CX33">
        <f t="shared" si="39"/>
        <v>0</v>
      </c>
      <c r="CY33">
        <f t="shared" si="40"/>
        <v>0</v>
      </c>
      <c r="CZ33">
        <f t="shared" si="41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1002</v>
      </c>
      <c r="DV33" t="s">
        <v>43</v>
      </c>
      <c r="DW33" t="s">
        <v>43</v>
      </c>
      <c r="DX33">
        <v>1</v>
      </c>
      <c r="EE33">
        <v>15139101</v>
      </c>
      <c r="EF33">
        <v>2</v>
      </c>
      <c r="EG33" t="s">
        <v>32</v>
      </c>
      <c r="EH33">
        <v>0</v>
      </c>
      <c r="EI33" t="s">
        <v>6</v>
      </c>
      <c r="EJ33">
        <v>1</v>
      </c>
      <c r="EK33">
        <v>11001</v>
      </c>
      <c r="EL33" t="s">
        <v>19</v>
      </c>
      <c r="EM33" t="s">
        <v>33</v>
      </c>
      <c r="EO33" t="s">
        <v>6</v>
      </c>
      <c r="EQ33">
        <v>0</v>
      </c>
      <c r="ER33">
        <v>9.14</v>
      </c>
      <c r="ES33">
        <v>9.14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2"/>
        <v>0</v>
      </c>
      <c r="FS33">
        <v>0</v>
      </c>
      <c r="FT33" t="s">
        <v>35</v>
      </c>
      <c r="FU33" t="s">
        <v>36</v>
      </c>
      <c r="FX33">
        <v>110.7</v>
      </c>
      <c r="FY33">
        <v>63.75</v>
      </c>
      <c r="GA33" t="s">
        <v>6</v>
      </c>
      <c r="GD33">
        <v>0</v>
      </c>
      <c r="GF33">
        <v>-972933126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3"/>
        <v>0</v>
      </c>
      <c r="GM33">
        <f t="shared" si="44"/>
        <v>30223.02</v>
      </c>
      <c r="GN33">
        <f t="shared" si="45"/>
        <v>30223.02</v>
      </c>
      <c r="GO33">
        <f t="shared" si="46"/>
        <v>0</v>
      </c>
      <c r="GP33">
        <f t="shared" si="47"/>
        <v>0</v>
      </c>
      <c r="GR33">
        <v>0</v>
      </c>
      <c r="GS33">
        <v>3</v>
      </c>
      <c r="GT33">
        <v>0</v>
      </c>
      <c r="GU33" t="s">
        <v>6</v>
      </c>
      <c r="GV33">
        <f t="shared" si="48"/>
        <v>0</v>
      </c>
      <c r="GW33">
        <v>1</v>
      </c>
      <c r="GX33">
        <f t="shared" si="49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ROW(SmtRes!A50)</f>
        <v>50</v>
      </c>
      <c r="D34" s="2">
        <f>ROW(EtalonRes!A56)</f>
        <v>56</v>
      </c>
      <c r="E34" s="2" t="s">
        <v>45</v>
      </c>
      <c r="F34" s="2" t="s">
        <v>46</v>
      </c>
      <c r="G34" s="2" t="s">
        <v>47</v>
      </c>
      <c r="H34" s="2" t="s">
        <v>16</v>
      </c>
      <c r="I34" s="2">
        <f>ROUND(2636.7/100,9)</f>
        <v>26.367000000000001</v>
      </c>
      <c r="J34" s="2">
        <v>0</v>
      </c>
      <c r="K34" s="2"/>
      <c r="L34" s="2"/>
      <c r="M34" s="2"/>
      <c r="N34" s="2"/>
      <c r="O34" s="2">
        <f t="shared" si="14"/>
        <v>7050.12</v>
      </c>
      <c r="P34" s="2">
        <f t="shared" si="15"/>
        <v>0</v>
      </c>
      <c r="Q34" s="2">
        <f t="shared" si="16"/>
        <v>181.27</v>
      </c>
      <c r="R34" s="2">
        <f t="shared" si="17"/>
        <v>45.48</v>
      </c>
      <c r="S34" s="2">
        <f t="shared" si="18"/>
        <v>6868.85</v>
      </c>
      <c r="T34" s="2">
        <f t="shared" si="19"/>
        <v>0</v>
      </c>
      <c r="U34" s="2">
        <f t="shared" si="20"/>
        <v>722.27123099999994</v>
      </c>
      <c r="V34" s="2">
        <f t="shared" si="21"/>
        <v>3.6254625000000003</v>
      </c>
      <c r="W34" s="2">
        <f t="shared" si="22"/>
        <v>0</v>
      </c>
      <c r="X34" s="2">
        <f t="shared" si="23"/>
        <v>7674.91</v>
      </c>
      <c r="Y34" s="2">
        <f t="shared" si="24"/>
        <v>4425.17</v>
      </c>
      <c r="Z34" s="2"/>
      <c r="AA34" s="2">
        <v>16492569</v>
      </c>
      <c r="AB34" s="2">
        <f t="shared" si="25"/>
        <v>267.3845</v>
      </c>
      <c r="AC34" s="2">
        <f t="shared" si="26"/>
        <v>0</v>
      </c>
      <c r="AD34" s="2">
        <f>ROUND(((((ET34*1.25))-((EU34*1.25)))+AE34),6)</f>
        <v>6.875</v>
      </c>
      <c r="AE34" s="2">
        <f>ROUND(((EU34*1.25)),6)</f>
        <v>1.7250000000000001</v>
      </c>
      <c r="AF34" s="2">
        <f>ROUND(((EV34*1.15)),6)</f>
        <v>260.5095</v>
      </c>
      <c r="AG34" s="2">
        <f t="shared" si="28"/>
        <v>0</v>
      </c>
      <c r="AH34" s="2">
        <f>((EW34*1.15))</f>
        <v>27.392999999999997</v>
      </c>
      <c r="AI34" s="2">
        <f>((EX34*1.25))</f>
        <v>0.13750000000000001</v>
      </c>
      <c r="AJ34" s="2">
        <f t="shared" si="30"/>
        <v>0</v>
      </c>
      <c r="AK34" s="2">
        <v>232.03</v>
      </c>
      <c r="AL34" s="2">
        <v>0</v>
      </c>
      <c r="AM34" s="2">
        <v>5.5</v>
      </c>
      <c r="AN34" s="2">
        <v>1.38</v>
      </c>
      <c r="AO34" s="2">
        <v>226.53</v>
      </c>
      <c r="AP34" s="2">
        <v>0</v>
      </c>
      <c r="AQ34" s="2">
        <v>23.82</v>
      </c>
      <c r="AR34" s="2">
        <v>0.11</v>
      </c>
      <c r="AS34" s="2">
        <v>0</v>
      </c>
      <c r="AT34" s="2">
        <v>111</v>
      </c>
      <c r="AU34" s="2">
        <v>64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48</v>
      </c>
      <c r="BK34" s="2"/>
      <c r="BL34" s="2"/>
      <c r="BM34" s="2">
        <v>11001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123</v>
      </c>
      <c r="CA34" s="2">
        <v>75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240</v>
      </c>
      <c r="CO34" s="2">
        <v>0</v>
      </c>
      <c r="CP34" s="2">
        <f t="shared" si="31"/>
        <v>7050.1200000000008</v>
      </c>
      <c r="CQ34" s="2">
        <f t="shared" si="32"/>
        <v>0</v>
      </c>
      <c r="CR34" s="2">
        <f t="shared" si="33"/>
        <v>6.875</v>
      </c>
      <c r="CS34" s="2">
        <f t="shared" si="34"/>
        <v>1.7250000000000001</v>
      </c>
      <c r="CT34" s="2">
        <f t="shared" si="35"/>
        <v>260.5095</v>
      </c>
      <c r="CU34" s="2">
        <f t="shared" si="36"/>
        <v>0</v>
      </c>
      <c r="CV34" s="2">
        <f t="shared" si="37"/>
        <v>27.392999999999997</v>
      </c>
      <c r="CW34" s="2">
        <f t="shared" si="38"/>
        <v>0.13750000000000001</v>
      </c>
      <c r="CX34" s="2">
        <f t="shared" si="39"/>
        <v>0</v>
      </c>
      <c r="CY34" s="2">
        <f t="shared" si="40"/>
        <v>7674.9062999999996</v>
      </c>
      <c r="CZ34" s="2">
        <f t="shared" si="41"/>
        <v>4425.1711999999998</v>
      </c>
      <c r="DA34" s="2"/>
      <c r="DB34" s="2"/>
      <c r="DC34" s="2" t="s">
        <v>6</v>
      </c>
      <c r="DD34" s="2" t="s">
        <v>6</v>
      </c>
      <c r="DE34" s="2" t="s">
        <v>30</v>
      </c>
      <c r="DF34" s="2" t="s">
        <v>30</v>
      </c>
      <c r="DG34" s="2" t="s">
        <v>31</v>
      </c>
      <c r="DH34" s="2" t="s">
        <v>6</v>
      </c>
      <c r="DI34" s="2" t="s">
        <v>31</v>
      </c>
      <c r="DJ34" s="2" t="s">
        <v>30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1003</v>
      </c>
      <c r="DV34" s="2" t="s">
        <v>16</v>
      </c>
      <c r="DW34" s="2" t="s">
        <v>16</v>
      </c>
      <c r="DX34" s="2">
        <v>100</v>
      </c>
      <c r="DY34" s="2"/>
      <c r="DZ34" s="2"/>
      <c r="EA34" s="2"/>
      <c r="EB34" s="2"/>
      <c r="EC34" s="2"/>
      <c r="ED34" s="2"/>
      <c r="EE34" s="2">
        <v>15139101</v>
      </c>
      <c r="EF34" s="2">
        <v>2</v>
      </c>
      <c r="EG34" s="2" t="s">
        <v>32</v>
      </c>
      <c r="EH34" s="2">
        <v>0</v>
      </c>
      <c r="EI34" s="2" t="s">
        <v>6</v>
      </c>
      <c r="EJ34" s="2">
        <v>1</v>
      </c>
      <c r="EK34" s="2">
        <v>11001</v>
      </c>
      <c r="EL34" s="2" t="s">
        <v>19</v>
      </c>
      <c r="EM34" s="2" t="s">
        <v>33</v>
      </c>
      <c r="EN34" s="2"/>
      <c r="EO34" s="2" t="s">
        <v>34</v>
      </c>
      <c r="EP34" s="2"/>
      <c r="EQ34" s="2">
        <v>0</v>
      </c>
      <c r="ER34" s="2">
        <v>232.03</v>
      </c>
      <c r="ES34" s="2">
        <v>0</v>
      </c>
      <c r="ET34" s="2">
        <v>5.5</v>
      </c>
      <c r="EU34" s="2">
        <v>1.38</v>
      </c>
      <c r="EV34" s="2">
        <v>226.53</v>
      </c>
      <c r="EW34" s="2">
        <v>23.82</v>
      </c>
      <c r="EX34" s="2">
        <v>0.11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2"/>
        <v>0</v>
      </c>
      <c r="FS34" s="2">
        <v>0</v>
      </c>
      <c r="FT34" s="2" t="s">
        <v>35</v>
      </c>
      <c r="FU34" s="2" t="s">
        <v>36</v>
      </c>
      <c r="FV34" s="2"/>
      <c r="FW34" s="2"/>
      <c r="FX34" s="2">
        <v>110.7</v>
      </c>
      <c r="FY34" s="2">
        <v>63.75</v>
      </c>
      <c r="FZ34" s="2"/>
      <c r="GA34" s="2" t="s">
        <v>6</v>
      </c>
      <c r="GB34" s="2"/>
      <c r="GC34" s="2"/>
      <c r="GD34" s="2">
        <v>0</v>
      </c>
      <c r="GE34" s="2"/>
      <c r="GF34" s="2">
        <v>1990727352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3"/>
        <v>0</v>
      </c>
      <c r="GM34" s="2">
        <f t="shared" si="44"/>
        <v>19150.2</v>
      </c>
      <c r="GN34" s="2">
        <f t="shared" si="45"/>
        <v>19150.2</v>
      </c>
      <c r="GO34" s="2">
        <f t="shared" si="46"/>
        <v>0</v>
      </c>
      <c r="GP34" s="2">
        <f t="shared" si="47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8"/>
        <v>0</v>
      </c>
      <c r="GW34" s="2">
        <v>1</v>
      </c>
      <c r="GX34" s="2">
        <f t="shared" si="4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ROW(SmtRes!A56)</f>
        <v>56</v>
      </c>
      <c r="D35">
        <f>ROW(EtalonRes!A62)</f>
        <v>62</v>
      </c>
      <c r="E35" t="s">
        <v>45</v>
      </c>
      <c r="F35" t="s">
        <v>46</v>
      </c>
      <c r="G35" t="s">
        <v>47</v>
      </c>
      <c r="H35" t="s">
        <v>16</v>
      </c>
      <c r="I35">
        <f>ROUND(2636.7/100,9)</f>
        <v>26.367000000000001</v>
      </c>
      <c r="J35">
        <v>0</v>
      </c>
      <c r="O35">
        <f t="shared" si="14"/>
        <v>48152.37</v>
      </c>
      <c r="P35">
        <f t="shared" si="15"/>
        <v>0</v>
      </c>
      <c r="Q35">
        <f t="shared" si="16"/>
        <v>1238.0999999999999</v>
      </c>
      <c r="R35">
        <f t="shared" si="17"/>
        <v>310.64999999999998</v>
      </c>
      <c r="S35">
        <f t="shared" si="18"/>
        <v>46914.27</v>
      </c>
      <c r="T35">
        <f t="shared" si="19"/>
        <v>0</v>
      </c>
      <c r="U35">
        <f t="shared" si="20"/>
        <v>722.27123099999994</v>
      </c>
      <c r="V35">
        <f t="shared" si="21"/>
        <v>3.6254625000000003</v>
      </c>
      <c r="W35">
        <f t="shared" si="22"/>
        <v>0</v>
      </c>
      <c r="X35">
        <f t="shared" si="23"/>
        <v>52419.66</v>
      </c>
      <c r="Y35">
        <f t="shared" si="24"/>
        <v>30223.95</v>
      </c>
      <c r="AA35">
        <v>16492570</v>
      </c>
      <c r="AB35">
        <f t="shared" si="25"/>
        <v>267.3845</v>
      </c>
      <c r="AC35">
        <f t="shared" si="26"/>
        <v>0</v>
      </c>
      <c r="AD35">
        <f>ROUND(((((ET35*1.25))-((EU35*1.25)))+AE35),6)</f>
        <v>6.875</v>
      </c>
      <c r="AE35">
        <f>ROUND(((EU35*1.25)),6)</f>
        <v>1.7250000000000001</v>
      </c>
      <c r="AF35">
        <f>ROUND(((EV35*1.15)),6)</f>
        <v>260.5095</v>
      </c>
      <c r="AG35">
        <f t="shared" si="28"/>
        <v>0</v>
      </c>
      <c r="AH35">
        <f>((EW35*1.15))</f>
        <v>27.392999999999997</v>
      </c>
      <c r="AI35">
        <f>((EX35*1.25))</f>
        <v>0.13750000000000001</v>
      </c>
      <c r="AJ35">
        <f t="shared" si="30"/>
        <v>0</v>
      </c>
      <c r="AK35">
        <v>232.03</v>
      </c>
      <c r="AL35">
        <v>0</v>
      </c>
      <c r="AM35">
        <v>5.5</v>
      </c>
      <c r="AN35">
        <v>1.38</v>
      </c>
      <c r="AO35">
        <v>226.53</v>
      </c>
      <c r="AP35">
        <v>0</v>
      </c>
      <c r="AQ35">
        <v>23.82</v>
      </c>
      <c r="AR35">
        <v>0.11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6.83</v>
      </c>
      <c r="BA35">
        <v>6.83</v>
      </c>
      <c r="BB35">
        <v>6.83</v>
      </c>
      <c r="BC35">
        <v>6.83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48</v>
      </c>
      <c r="BM35">
        <v>11001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6.83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240</v>
      </c>
      <c r="CO35">
        <v>0</v>
      </c>
      <c r="CP35">
        <f t="shared" si="31"/>
        <v>48152.369999999995</v>
      </c>
      <c r="CQ35">
        <f t="shared" si="32"/>
        <v>0</v>
      </c>
      <c r="CR35">
        <f t="shared" si="33"/>
        <v>46.956249999999997</v>
      </c>
      <c r="CS35">
        <f t="shared" si="34"/>
        <v>11.781750000000001</v>
      </c>
      <c r="CT35">
        <f t="shared" si="35"/>
        <v>1779.2798850000001</v>
      </c>
      <c r="CU35">
        <f t="shared" si="36"/>
        <v>0</v>
      </c>
      <c r="CV35">
        <f t="shared" si="37"/>
        <v>27.392999999999997</v>
      </c>
      <c r="CW35">
        <f t="shared" si="38"/>
        <v>0.13750000000000001</v>
      </c>
      <c r="CX35">
        <f t="shared" si="39"/>
        <v>0</v>
      </c>
      <c r="CY35">
        <f t="shared" si="40"/>
        <v>52419.661200000002</v>
      </c>
      <c r="CZ35">
        <f t="shared" si="41"/>
        <v>30223.948799999998</v>
      </c>
      <c r="DC35" t="s">
        <v>6</v>
      </c>
      <c r="DD35" t="s">
        <v>6</v>
      </c>
      <c r="DE35" t="s">
        <v>30</v>
      </c>
      <c r="DF35" t="s">
        <v>30</v>
      </c>
      <c r="DG35" t="s">
        <v>31</v>
      </c>
      <c r="DH35" t="s">
        <v>6</v>
      </c>
      <c r="DI35" t="s">
        <v>31</v>
      </c>
      <c r="DJ35" t="s">
        <v>30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16</v>
      </c>
      <c r="DW35" t="s">
        <v>16</v>
      </c>
      <c r="DX35">
        <v>100</v>
      </c>
      <c r="EE35">
        <v>15139101</v>
      </c>
      <c r="EF35">
        <v>2</v>
      </c>
      <c r="EG35" t="s">
        <v>32</v>
      </c>
      <c r="EH35">
        <v>0</v>
      </c>
      <c r="EI35" t="s">
        <v>6</v>
      </c>
      <c r="EJ35">
        <v>1</v>
      </c>
      <c r="EK35">
        <v>11001</v>
      </c>
      <c r="EL35" t="s">
        <v>19</v>
      </c>
      <c r="EM35" t="s">
        <v>33</v>
      </c>
      <c r="EO35" t="s">
        <v>34</v>
      </c>
      <c r="EQ35">
        <v>0</v>
      </c>
      <c r="ER35">
        <v>232.03</v>
      </c>
      <c r="ES35">
        <v>0</v>
      </c>
      <c r="ET35">
        <v>5.5</v>
      </c>
      <c r="EU35">
        <v>1.38</v>
      </c>
      <c r="EV35">
        <v>226.53</v>
      </c>
      <c r="EW35">
        <v>23.82</v>
      </c>
      <c r="EX35">
        <v>0.11</v>
      </c>
      <c r="EY35">
        <v>0</v>
      </c>
      <c r="FQ35">
        <v>0</v>
      </c>
      <c r="FR35">
        <f t="shared" si="42"/>
        <v>0</v>
      </c>
      <c r="FS35">
        <v>0</v>
      </c>
      <c r="FT35" t="s">
        <v>35</v>
      </c>
      <c r="FU35" t="s">
        <v>36</v>
      </c>
      <c r="FX35">
        <v>110.7</v>
      </c>
      <c r="FY35">
        <v>63.75</v>
      </c>
      <c r="GA35" t="s">
        <v>6</v>
      </c>
      <c r="GD35">
        <v>0</v>
      </c>
      <c r="GF35">
        <v>1990727352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3"/>
        <v>0</v>
      </c>
      <c r="GM35">
        <f t="shared" si="44"/>
        <v>130795.98</v>
      </c>
      <c r="GN35">
        <f t="shared" si="45"/>
        <v>130795.98</v>
      </c>
      <c r="GO35">
        <f t="shared" si="46"/>
        <v>0</v>
      </c>
      <c r="GP35">
        <f t="shared" si="47"/>
        <v>0</v>
      </c>
      <c r="GR35">
        <v>0</v>
      </c>
      <c r="GS35">
        <v>3</v>
      </c>
      <c r="GT35">
        <v>0</v>
      </c>
      <c r="GU35" t="s">
        <v>6</v>
      </c>
      <c r="GV35">
        <f t="shared" si="48"/>
        <v>0</v>
      </c>
      <c r="GW35">
        <v>1</v>
      </c>
      <c r="GX35">
        <f t="shared" si="49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49</v>
      </c>
      <c r="D36" s="2"/>
      <c r="E36" s="2" t="s">
        <v>49</v>
      </c>
      <c r="F36" s="2" t="s">
        <v>50</v>
      </c>
      <c r="G36" s="2" t="s">
        <v>51</v>
      </c>
      <c r="H36" s="2" t="s">
        <v>52</v>
      </c>
      <c r="I36" s="2">
        <f>I34*J36</f>
        <v>266.30153200000001</v>
      </c>
      <c r="J36" s="2">
        <v>10.099803997421018</v>
      </c>
      <c r="K36" s="2"/>
      <c r="L36" s="2"/>
      <c r="M36" s="2"/>
      <c r="N36" s="2"/>
      <c r="O36" s="2">
        <f t="shared" si="14"/>
        <v>17504</v>
      </c>
      <c r="P36" s="2">
        <f t="shared" si="15"/>
        <v>17504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16492569</v>
      </c>
      <c r="AB36" s="2">
        <f t="shared" si="25"/>
        <v>65.73</v>
      </c>
      <c r="AC36" s="2">
        <f t="shared" si="26"/>
        <v>65.73</v>
      </c>
      <c r="AD36" s="2">
        <f>ROUND((((ET36)-(EU36))+AE36),6)</f>
        <v>0</v>
      </c>
      <c r="AE36" s="2">
        <f t="shared" ref="AE36:AF39" si="53">ROUND((EU36),6)</f>
        <v>0</v>
      </c>
      <c r="AF36" s="2">
        <f t="shared" si="53"/>
        <v>0</v>
      </c>
      <c r="AG36" s="2">
        <f t="shared" si="28"/>
        <v>0</v>
      </c>
      <c r="AH36" s="2">
        <f t="shared" ref="AH36:AI39" si="54">(EW36)</f>
        <v>0</v>
      </c>
      <c r="AI36" s="2">
        <f t="shared" si="54"/>
        <v>0</v>
      </c>
      <c r="AJ36" s="2">
        <f t="shared" si="30"/>
        <v>0</v>
      </c>
      <c r="AK36" s="2">
        <v>65.73</v>
      </c>
      <c r="AL36" s="2">
        <v>65.73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111</v>
      </c>
      <c r="AU36" s="2">
        <v>64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53</v>
      </c>
      <c r="BK36" s="2"/>
      <c r="BL36" s="2"/>
      <c r="BM36" s="2">
        <v>11001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123</v>
      </c>
      <c r="CA36" s="2">
        <v>75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1"/>
        <v>17504</v>
      </c>
      <c r="CQ36" s="2">
        <f t="shared" si="32"/>
        <v>65.73</v>
      </c>
      <c r="CR36" s="2">
        <f t="shared" si="33"/>
        <v>0</v>
      </c>
      <c r="CS36" s="2">
        <f t="shared" si="34"/>
        <v>0</v>
      </c>
      <c r="CT36" s="2">
        <f t="shared" si="35"/>
        <v>0</v>
      </c>
      <c r="CU36" s="2">
        <f t="shared" si="36"/>
        <v>0</v>
      </c>
      <c r="CV36" s="2">
        <f t="shared" si="37"/>
        <v>0</v>
      </c>
      <c r="CW36" s="2">
        <f t="shared" si="38"/>
        <v>0</v>
      </c>
      <c r="CX36" s="2">
        <f t="shared" si="39"/>
        <v>0</v>
      </c>
      <c r="CY36" s="2">
        <f t="shared" si="40"/>
        <v>0</v>
      </c>
      <c r="CZ36" s="2">
        <f t="shared" si="41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52</v>
      </c>
      <c r="DW36" s="2" t="s">
        <v>52</v>
      </c>
      <c r="DX36" s="2">
        <v>1</v>
      </c>
      <c r="DY36" s="2"/>
      <c r="DZ36" s="2"/>
      <c r="EA36" s="2"/>
      <c r="EB36" s="2"/>
      <c r="EC36" s="2"/>
      <c r="ED36" s="2"/>
      <c r="EE36" s="2">
        <v>15139101</v>
      </c>
      <c r="EF36" s="2">
        <v>2</v>
      </c>
      <c r="EG36" s="2" t="s">
        <v>32</v>
      </c>
      <c r="EH36" s="2">
        <v>0</v>
      </c>
      <c r="EI36" s="2" t="s">
        <v>6</v>
      </c>
      <c r="EJ36" s="2">
        <v>1</v>
      </c>
      <c r="EK36" s="2">
        <v>11001</v>
      </c>
      <c r="EL36" s="2" t="s">
        <v>19</v>
      </c>
      <c r="EM36" s="2" t="s">
        <v>33</v>
      </c>
      <c r="EN36" s="2"/>
      <c r="EO36" s="2" t="s">
        <v>6</v>
      </c>
      <c r="EP36" s="2"/>
      <c r="EQ36" s="2">
        <v>0</v>
      </c>
      <c r="ER36" s="2">
        <v>65.73</v>
      </c>
      <c r="ES36" s="2">
        <v>65.73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2"/>
        <v>0</v>
      </c>
      <c r="FS36" s="2">
        <v>0</v>
      </c>
      <c r="FT36" s="2" t="s">
        <v>35</v>
      </c>
      <c r="FU36" s="2" t="s">
        <v>36</v>
      </c>
      <c r="FV36" s="2"/>
      <c r="FW36" s="2"/>
      <c r="FX36" s="2">
        <v>110.7</v>
      </c>
      <c r="FY36" s="2">
        <v>63.75</v>
      </c>
      <c r="FZ36" s="2"/>
      <c r="GA36" s="2" t="s">
        <v>6</v>
      </c>
      <c r="GB36" s="2"/>
      <c r="GC36" s="2"/>
      <c r="GD36" s="2">
        <v>0</v>
      </c>
      <c r="GE36" s="2"/>
      <c r="GF36" s="2">
        <v>-1358421812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3"/>
        <v>0</v>
      </c>
      <c r="GM36" s="2">
        <f t="shared" si="44"/>
        <v>17504</v>
      </c>
      <c r="GN36" s="2">
        <f t="shared" si="45"/>
        <v>17504</v>
      </c>
      <c r="GO36" s="2">
        <f t="shared" si="46"/>
        <v>0</v>
      </c>
      <c r="GP36" s="2">
        <f t="shared" si="47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8"/>
        <v>0</v>
      </c>
      <c r="GW36" s="2">
        <v>1</v>
      </c>
      <c r="GX36" s="2">
        <f t="shared" si="4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55</v>
      </c>
      <c r="E37" t="s">
        <v>49</v>
      </c>
      <c r="F37" t="s">
        <v>50</v>
      </c>
      <c r="G37" t="s">
        <v>51</v>
      </c>
      <c r="H37" t="s">
        <v>52</v>
      </c>
      <c r="I37">
        <f>I35*J37</f>
        <v>266.30153200000001</v>
      </c>
      <c r="J37">
        <v>10.099803997421018</v>
      </c>
      <c r="O37">
        <f t="shared" si="14"/>
        <v>119552.32000000001</v>
      </c>
      <c r="P37">
        <f t="shared" si="15"/>
        <v>119552.32000000001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16492570</v>
      </c>
      <c r="AB37">
        <f t="shared" si="25"/>
        <v>65.73</v>
      </c>
      <c r="AC37">
        <f t="shared" si="26"/>
        <v>65.73</v>
      </c>
      <c r="AD37">
        <f>ROUND((((ET37)-(EU37))+AE37),6)</f>
        <v>0</v>
      </c>
      <c r="AE37">
        <f t="shared" si="53"/>
        <v>0</v>
      </c>
      <c r="AF37">
        <f t="shared" si="53"/>
        <v>0</v>
      </c>
      <c r="AG37">
        <f t="shared" si="28"/>
        <v>0</v>
      </c>
      <c r="AH37">
        <f t="shared" si="54"/>
        <v>0</v>
      </c>
      <c r="AI37">
        <f t="shared" si="54"/>
        <v>0</v>
      </c>
      <c r="AJ37">
        <f t="shared" si="30"/>
        <v>0</v>
      </c>
      <c r="AK37">
        <v>65.73</v>
      </c>
      <c r="AL37">
        <v>65.73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6.83</v>
      </c>
      <c r="BA37">
        <v>1</v>
      </c>
      <c r="BB37">
        <v>1</v>
      </c>
      <c r="BC37">
        <v>6.83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53</v>
      </c>
      <c r="BM37">
        <v>11001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1"/>
        <v>119552.32000000001</v>
      </c>
      <c r="CQ37">
        <f t="shared" si="32"/>
        <v>448.9359</v>
      </c>
      <c r="CR37">
        <f t="shared" si="33"/>
        <v>0</v>
      </c>
      <c r="CS37">
        <f t="shared" si="34"/>
        <v>0</v>
      </c>
      <c r="CT37">
        <f t="shared" si="35"/>
        <v>0</v>
      </c>
      <c r="CU37">
        <f t="shared" si="36"/>
        <v>0</v>
      </c>
      <c r="CV37">
        <f t="shared" si="37"/>
        <v>0</v>
      </c>
      <c r="CW37">
        <f t="shared" si="38"/>
        <v>0</v>
      </c>
      <c r="CX37">
        <f t="shared" si="39"/>
        <v>0</v>
      </c>
      <c r="CY37">
        <f t="shared" si="40"/>
        <v>0</v>
      </c>
      <c r="CZ37">
        <f t="shared" si="41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52</v>
      </c>
      <c r="DW37" t="s">
        <v>52</v>
      </c>
      <c r="DX37">
        <v>1</v>
      </c>
      <c r="EE37">
        <v>15139101</v>
      </c>
      <c r="EF37">
        <v>2</v>
      </c>
      <c r="EG37" t="s">
        <v>32</v>
      </c>
      <c r="EH37">
        <v>0</v>
      </c>
      <c r="EI37" t="s">
        <v>6</v>
      </c>
      <c r="EJ37">
        <v>1</v>
      </c>
      <c r="EK37">
        <v>11001</v>
      </c>
      <c r="EL37" t="s">
        <v>19</v>
      </c>
      <c r="EM37" t="s">
        <v>33</v>
      </c>
      <c r="EO37" t="s">
        <v>6</v>
      </c>
      <c r="EQ37">
        <v>0</v>
      </c>
      <c r="ER37">
        <v>65.73</v>
      </c>
      <c r="ES37">
        <v>65.73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2"/>
        <v>0</v>
      </c>
      <c r="FS37">
        <v>0</v>
      </c>
      <c r="FT37" t="s">
        <v>35</v>
      </c>
      <c r="FU37" t="s">
        <v>36</v>
      </c>
      <c r="FX37">
        <v>110.7</v>
      </c>
      <c r="FY37">
        <v>63.75</v>
      </c>
      <c r="GA37" t="s">
        <v>6</v>
      </c>
      <c r="GD37">
        <v>0</v>
      </c>
      <c r="GF37">
        <v>-1358421812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3"/>
        <v>0</v>
      </c>
      <c r="GM37">
        <f t="shared" si="44"/>
        <v>119552.32000000001</v>
      </c>
      <c r="GN37">
        <f t="shared" si="45"/>
        <v>119552.32000000001</v>
      </c>
      <c r="GO37">
        <f t="shared" si="46"/>
        <v>0</v>
      </c>
      <c r="GP37">
        <f t="shared" si="47"/>
        <v>0</v>
      </c>
      <c r="GR37">
        <v>0</v>
      </c>
      <c r="GS37">
        <v>3</v>
      </c>
      <c r="GT37">
        <v>0</v>
      </c>
      <c r="GU37" t="s">
        <v>6</v>
      </c>
      <c r="GV37">
        <f t="shared" si="48"/>
        <v>0</v>
      </c>
      <c r="GW37">
        <v>1</v>
      </c>
      <c r="GX37">
        <f t="shared" si="49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50</v>
      </c>
      <c r="D38" s="2"/>
      <c r="E38" s="2" t="s">
        <v>54</v>
      </c>
      <c r="F38" s="2" t="s">
        <v>55</v>
      </c>
      <c r="G38" s="2" t="s">
        <v>56</v>
      </c>
      <c r="H38" s="2" t="s">
        <v>57</v>
      </c>
      <c r="I38" s="2">
        <f>I34*J38</f>
        <v>1054.68</v>
      </c>
      <c r="J38" s="2">
        <v>40</v>
      </c>
      <c r="K38" s="2"/>
      <c r="L38" s="2"/>
      <c r="M38" s="2"/>
      <c r="N38" s="2"/>
      <c r="O38" s="2">
        <f t="shared" si="14"/>
        <v>3891.77</v>
      </c>
      <c r="P38" s="2">
        <f t="shared" si="15"/>
        <v>3891.77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16492569</v>
      </c>
      <c r="AB38" s="2">
        <f t="shared" si="25"/>
        <v>3.69</v>
      </c>
      <c r="AC38" s="2">
        <f t="shared" si="26"/>
        <v>3.69</v>
      </c>
      <c r="AD38" s="2">
        <f>ROUND((((ET38)-(EU38))+AE38),6)</f>
        <v>0</v>
      </c>
      <c r="AE38" s="2">
        <f t="shared" si="53"/>
        <v>0</v>
      </c>
      <c r="AF38" s="2">
        <f t="shared" si="53"/>
        <v>0</v>
      </c>
      <c r="AG38" s="2">
        <f t="shared" si="28"/>
        <v>0</v>
      </c>
      <c r="AH38" s="2">
        <f t="shared" si="54"/>
        <v>0</v>
      </c>
      <c r="AI38" s="2">
        <f t="shared" si="54"/>
        <v>0</v>
      </c>
      <c r="AJ38" s="2">
        <f t="shared" si="30"/>
        <v>0</v>
      </c>
      <c r="AK38" s="2">
        <v>3.69</v>
      </c>
      <c r="AL38" s="2">
        <v>3.69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58</v>
      </c>
      <c r="BK38" s="2"/>
      <c r="BL38" s="2"/>
      <c r="BM38" s="2">
        <v>11001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1"/>
        <v>3891.77</v>
      </c>
      <c r="CQ38" s="2">
        <f t="shared" si="32"/>
        <v>3.69</v>
      </c>
      <c r="CR38" s="2">
        <f t="shared" si="33"/>
        <v>0</v>
      </c>
      <c r="CS38" s="2">
        <f t="shared" si="34"/>
        <v>0</v>
      </c>
      <c r="CT38" s="2">
        <f t="shared" si="35"/>
        <v>0</v>
      </c>
      <c r="CU38" s="2">
        <f t="shared" si="36"/>
        <v>0</v>
      </c>
      <c r="CV38" s="2">
        <f t="shared" si="37"/>
        <v>0</v>
      </c>
      <c r="CW38" s="2">
        <f t="shared" si="38"/>
        <v>0</v>
      </c>
      <c r="CX38" s="2">
        <f t="shared" si="39"/>
        <v>0</v>
      </c>
      <c r="CY38" s="2">
        <f t="shared" si="40"/>
        <v>0</v>
      </c>
      <c r="CZ38" s="2">
        <f t="shared" si="41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57</v>
      </c>
      <c r="DW38" s="2" t="s">
        <v>57</v>
      </c>
      <c r="DX38" s="2">
        <v>1</v>
      </c>
      <c r="DY38" s="2"/>
      <c r="DZ38" s="2"/>
      <c r="EA38" s="2"/>
      <c r="EB38" s="2"/>
      <c r="EC38" s="2"/>
      <c r="ED38" s="2"/>
      <c r="EE38" s="2">
        <v>15139101</v>
      </c>
      <c r="EF38" s="2">
        <v>2</v>
      </c>
      <c r="EG38" s="2" t="s">
        <v>32</v>
      </c>
      <c r="EH38" s="2">
        <v>0</v>
      </c>
      <c r="EI38" s="2" t="s">
        <v>6</v>
      </c>
      <c r="EJ38" s="2">
        <v>1</v>
      </c>
      <c r="EK38" s="2">
        <v>11001</v>
      </c>
      <c r="EL38" s="2" t="s">
        <v>19</v>
      </c>
      <c r="EM38" s="2" t="s">
        <v>33</v>
      </c>
      <c r="EN38" s="2"/>
      <c r="EO38" s="2" t="s">
        <v>6</v>
      </c>
      <c r="EP38" s="2"/>
      <c r="EQ38" s="2">
        <v>0</v>
      </c>
      <c r="ER38" s="2">
        <v>3.69</v>
      </c>
      <c r="ES38" s="2">
        <v>3.69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2"/>
        <v>0</v>
      </c>
      <c r="FS38" s="2">
        <v>0</v>
      </c>
      <c r="FT38" s="2" t="s">
        <v>35</v>
      </c>
      <c r="FU38" s="2" t="s">
        <v>36</v>
      </c>
      <c r="FV38" s="2"/>
      <c r="FW38" s="2"/>
      <c r="FX38" s="2">
        <v>110.7</v>
      </c>
      <c r="FY38" s="2">
        <v>63.75</v>
      </c>
      <c r="FZ38" s="2"/>
      <c r="GA38" s="2" t="s">
        <v>6</v>
      </c>
      <c r="GB38" s="2"/>
      <c r="GC38" s="2"/>
      <c r="GD38" s="2">
        <v>0</v>
      </c>
      <c r="GE38" s="2"/>
      <c r="GF38" s="2">
        <v>75744107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3"/>
        <v>0</v>
      </c>
      <c r="GM38" s="2">
        <f t="shared" si="44"/>
        <v>3891.77</v>
      </c>
      <c r="GN38" s="2">
        <f t="shared" si="45"/>
        <v>3891.77</v>
      </c>
      <c r="GO38" s="2">
        <f t="shared" si="46"/>
        <v>0</v>
      </c>
      <c r="GP38" s="2">
        <f t="shared" si="47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8"/>
        <v>0</v>
      </c>
      <c r="GW38" s="2">
        <v>1</v>
      </c>
      <c r="GX38" s="2">
        <f t="shared" si="4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56</v>
      </c>
      <c r="E39" t="s">
        <v>54</v>
      </c>
      <c r="F39" t="s">
        <v>55</v>
      </c>
      <c r="G39" t="s">
        <v>56</v>
      </c>
      <c r="H39" t="s">
        <v>57</v>
      </c>
      <c r="I39">
        <f>I35*J39</f>
        <v>1054.68</v>
      </c>
      <c r="J39">
        <v>40</v>
      </c>
      <c r="O39">
        <f t="shared" si="14"/>
        <v>26580.78</v>
      </c>
      <c r="P39">
        <f t="shared" si="15"/>
        <v>26580.78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16492570</v>
      </c>
      <c r="AB39">
        <f t="shared" si="25"/>
        <v>3.69</v>
      </c>
      <c r="AC39">
        <f t="shared" si="26"/>
        <v>3.69</v>
      </c>
      <c r="AD39">
        <f>ROUND((((ET39)-(EU39))+AE39),6)</f>
        <v>0</v>
      </c>
      <c r="AE39">
        <f t="shared" si="53"/>
        <v>0</v>
      </c>
      <c r="AF39">
        <f t="shared" si="53"/>
        <v>0</v>
      </c>
      <c r="AG39">
        <f t="shared" si="28"/>
        <v>0</v>
      </c>
      <c r="AH39">
        <f t="shared" si="54"/>
        <v>0</v>
      </c>
      <c r="AI39">
        <f t="shared" si="54"/>
        <v>0</v>
      </c>
      <c r="AJ39">
        <f t="shared" si="30"/>
        <v>0</v>
      </c>
      <c r="AK39">
        <v>3.69</v>
      </c>
      <c r="AL39">
        <v>3.69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6.83</v>
      </c>
      <c r="BA39">
        <v>1</v>
      </c>
      <c r="BB39">
        <v>1</v>
      </c>
      <c r="BC39">
        <v>6.83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58</v>
      </c>
      <c r="BM39">
        <v>11001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1"/>
        <v>26580.78</v>
      </c>
      <c r="CQ39">
        <f t="shared" si="32"/>
        <v>25.2027</v>
      </c>
      <c r="CR39">
        <f t="shared" si="33"/>
        <v>0</v>
      </c>
      <c r="CS39">
        <f t="shared" si="34"/>
        <v>0</v>
      </c>
      <c r="CT39">
        <f t="shared" si="35"/>
        <v>0</v>
      </c>
      <c r="CU39">
        <f t="shared" si="36"/>
        <v>0</v>
      </c>
      <c r="CV39">
        <f t="shared" si="37"/>
        <v>0</v>
      </c>
      <c r="CW39">
        <f t="shared" si="38"/>
        <v>0</v>
      </c>
      <c r="CX39">
        <f t="shared" si="39"/>
        <v>0</v>
      </c>
      <c r="CY39">
        <f t="shared" si="40"/>
        <v>0</v>
      </c>
      <c r="CZ39">
        <f t="shared" si="41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57</v>
      </c>
      <c r="DW39" t="s">
        <v>57</v>
      </c>
      <c r="DX39">
        <v>1</v>
      </c>
      <c r="EE39">
        <v>15139101</v>
      </c>
      <c r="EF39">
        <v>2</v>
      </c>
      <c r="EG39" t="s">
        <v>32</v>
      </c>
      <c r="EH39">
        <v>0</v>
      </c>
      <c r="EI39" t="s">
        <v>6</v>
      </c>
      <c r="EJ39">
        <v>1</v>
      </c>
      <c r="EK39">
        <v>11001</v>
      </c>
      <c r="EL39" t="s">
        <v>19</v>
      </c>
      <c r="EM39" t="s">
        <v>33</v>
      </c>
      <c r="EO39" t="s">
        <v>6</v>
      </c>
      <c r="EQ39">
        <v>0</v>
      </c>
      <c r="ER39">
        <v>3.69</v>
      </c>
      <c r="ES39">
        <v>3.69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2"/>
        <v>0</v>
      </c>
      <c r="FS39">
        <v>0</v>
      </c>
      <c r="FT39" t="s">
        <v>35</v>
      </c>
      <c r="FU39" t="s">
        <v>36</v>
      </c>
      <c r="FX39">
        <v>110.7</v>
      </c>
      <c r="FY39">
        <v>63.75</v>
      </c>
      <c r="GA39" t="s">
        <v>6</v>
      </c>
      <c r="GD39">
        <v>0</v>
      </c>
      <c r="GF39">
        <v>75744107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3"/>
        <v>0</v>
      </c>
      <c r="GM39">
        <f t="shared" si="44"/>
        <v>26580.78</v>
      </c>
      <c r="GN39">
        <f t="shared" si="45"/>
        <v>26580.78</v>
      </c>
      <c r="GO39">
        <f t="shared" si="46"/>
        <v>0</v>
      </c>
      <c r="GP39">
        <f t="shared" si="47"/>
        <v>0</v>
      </c>
      <c r="GR39">
        <v>0</v>
      </c>
      <c r="GS39">
        <v>3</v>
      </c>
      <c r="GT39">
        <v>0</v>
      </c>
      <c r="GU39" t="s">
        <v>6</v>
      </c>
      <c r="GV39">
        <f t="shared" si="48"/>
        <v>0</v>
      </c>
      <c r="GW39">
        <v>1</v>
      </c>
      <c r="GX39">
        <f t="shared" si="49"/>
        <v>0</v>
      </c>
      <c r="HA39">
        <v>0</v>
      </c>
      <c r="HB39">
        <v>0</v>
      </c>
      <c r="IK39">
        <v>0</v>
      </c>
    </row>
    <row r="41" spans="1:255" x14ac:dyDescent="0.2">
      <c r="A41" s="3">
        <v>51</v>
      </c>
      <c r="B41" s="3">
        <f>B20</f>
        <v>1</v>
      </c>
      <c r="C41" s="3">
        <f>A20</f>
        <v>3</v>
      </c>
      <c r="D41" s="3">
        <f>ROW(A20)</f>
        <v>20</v>
      </c>
      <c r="E41" s="3"/>
      <c r="F41" s="3" t="str">
        <f>IF(F20&lt;&gt;"",F20,"")</f>
        <v>Новая локальная смета</v>
      </c>
      <c r="G41" s="3" t="str">
        <f>IF(G20&lt;&gt;"",G20,"")</f>
        <v>Новая локальная смета</v>
      </c>
      <c r="H41" s="3">
        <v>0</v>
      </c>
      <c r="I41" s="3"/>
      <c r="J41" s="3"/>
      <c r="K41" s="3"/>
      <c r="L41" s="3"/>
      <c r="M41" s="3"/>
      <c r="N41" s="3"/>
      <c r="O41" s="3">
        <f t="shared" ref="O41:T41" si="55">ROUND(AB41,2)</f>
        <v>826387.08</v>
      </c>
      <c r="P41" s="3">
        <f t="shared" si="55"/>
        <v>740919.08</v>
      </c>
      <c r="Q41" s="3">
        <f t="shared" si="55"/>
        <v>1052.6600000000001</v>
      </c>
      <c r="R41" s="3">
        <f t="shared" si="55"/>
        <v>571.54999999999995</v>
      </c>
      <c r="S41" s="3">
        <f t="shared" si="55"/>
        <v>84415.34</v>
      </c>
      <c r="T41" s="3">
        <f t="shared" si="55"/>
        <v>0</v>
      </c>
      <c r="U41" s="3">
        <f>AH41</f>
        <v>9660.3888345000014</v>
      </c>
      <c r="V41" s="3">
        <f>AI41</f>
        <v>53.794469999999997</v>
      </c>
      <c r="W41" s="3">
        <f>ROUND(AJ41,2)</f>
        <v>0</v>
      </c>
      <c r="X41" s="3">
        <f>ROUND(AK41,2)</f>
        <v>93415.19</v>
      </c>
      <c r="Y41" s="3">
        <f>ROUND(AL41,2)</f>
        <v>54510.36</v>
      </c>
      <c r="Z41" s="3"/>
      <c r="AA41" s="3"/>
      <c r="AB41" s="3">
        <f>ROUND(SUMIF(AA24:AA39,"=16492569",O24:O39),2)</f>
        <v>826387.08</v>
      </c>
      <c r="AC41" s="3">
        <f>ROUND(SUMIF(AA24:AA39,"=16492569",P24:P39),2)</f>
        <v>740919.08</v>
      </c>
      <c r="AD41" s="3">
        <f>ROUND(SUMIF(AA24:AA39,"=16492569",Q24:Q39),2)</f>
        <v>1052.6600000000001</v>
      </c>
      <c r="AE41" s="3">
        <f>ROUND(SUMIF(AA24:AA39,"=16492569",R24:R39),2)</f>
        <v>571.54999999999995</v>
      </c>
      <c r="AF41" s="3">
        <f>ROUND(SUMIF(AA24:AA39,"=16492569",S24:S39),2)</f>
        <v>84415.34</v>
      </c>
      <c r="AG41" s="3">
        <f>ROUND(SUMIF(AA24:AA39,"=16492569",T24:T39),2)</f>
        <v>0</v>
      </c>
      <c r="AH41" s="3">
        <f>SUMIF(AA24:AA39,"=16492569",U24:U39)</f>
        <v>9660.3888345000014</v>
      </c>
      <c r="AI41" s="3">
        <f>SUMIF(AA24:AA39,"=16492569",V24:V39)</f>
        <v>53.794469999999997</v>
      </c>
      <c r="AJ41" s="3">
        <f>ROUND(SUMIF(AA24:AA39,"=16492569",W24:W39),2)</f>
        <v>0</v>
      </c>
      <c r="AK41" s="3">
        <f>ROUND(SUMIF(AA24:AA39,"=16492569",X24:X39),2)</f>
        <v>93415.19</v>
      </c>
      <c r="AL41" s="3">
        <f>ROUND(SUMIF(AA24:AA39,"=16492569",Y24:Y39),2)</f>
        <v>54510.36</v>
      </c>
      <c r="AM41" s="3"/>
      <c r="AN41" s="3"/>
      <c r="AO41" s="3">
        <f t="shared" ref="AO41:BC41" si="56">ROUND(BX41,2)</f>
        <v>0</v>
      </c>
      <c r="AP41" s="3">
        <f t="shared" si="56"/>
        <v>0</v>
      </c>
      <c r="AQ41" s="3">
        <f t="shared" si="56"/>
        <v>0</v>
      </c>
      <c r="AR41" s="3">
        <f t="shared" si="56"/>
        <v>974312.63</v>
      </c>
      <c r="AS41" s="3">
        <f t="shared" si="56"/>
        <v>974312.63</v>
      </c>
      <c r="AT41" s="3">
        <f t="shared" si="56"/>
        <v>0</v>
      </c>
      <c r="AU41" s="3">
        <f t="shared" si="56"/>
        <v>0</v>
      </c>
      <c r="AV41" s="3">
        <f t="shared" si="56"/>
        <v>740919.08</v>
      </c>
      <c r="AW41" s="3">
        <f t="shared" si="56"/>
        <v>740919.08</v>
      </c>
      <c r="AX41" s="3">
        <f t="shared" si="56"/>
        <v>0</v>
      </c>
      <c r="AY41" s="3">
        <f t="shared" si="56"/>
        <v>740919.08</v>
      </c>
      <c r="AZ41" s="3">
        <f t="shared" si="56"/>
        <v>0</v>
      </c>
      <c r="BA41" s="3">
        <f t="shared" si="56"/>
        <v>0</v>
      </c>
      <c r="BB41" s="3">
        <f t="shared" si="56"/>
        <v>0</v>
      </c>
      <c r="BC41" s="3">
        <f t="shared" si="56"/>
        <v>0</v>
      </c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>
        <f>ROUND(SUMIF(AA24:AA39,"=16492569",FQ24:FQ39),2)</f>
        <v>0</v>
      </c>
      <c r="BY41" s="3">
        <f>ROUND(SUMIF(AA24:AA39,"=16492569",FR24:FR39),2)</f>
        <v>0</v>
      </c>
      <c r="BZ41" s="3">
        <f>ROUND(SUMIF(AA24:AA39,"=16492569",GL24:GL39),2)</f>
        <v>0</v>
      </c>
      <c r="CA41" s="3">
        <f>ROUND(SUMIF(AA24:AA39,"=16492569",GM24:GM39),2)</f>
        <v>974312.63</v>
      </c>
      <c r="CB41" s="3">
        <f>ROUND(SUMIF(AA24:AA39,"=16492569",GN24:GN39),2)</f>
        <v>974312.63</v>
      </c>
      <c r="CC41" s="3">
        <f>ROUND(SUMIF(AA24:AA39,"=16492569",GO24:GO39),2)</f>
        <v>0</v>
      </c>
      <c r="CD41" s="3">
        <f>ROUND(SUMIF(AA24:AA39,"=16492569",GP24:GP39),2)</f>
        <v>0</v>
      </c>
      <c r="CE41" s="3">
        <f>AC41-BX41</f>
        <v>740919.08</v>
      </c>
      <c r="CF41" s="3">
        <f>AC41-BY41</f>
        <v>740919.08</v>
      </c>
      <c r="CG41" s="3">
        <f>BX41-BZ41</f>
        <v>0</v>
      </c>
      <c r="CH41" s="3">
        <f>AC41-BX41-BY41+BZ41</f>
        <v>740919.08</v>
      </c>
      <c r="CI41" s="3">
        <f>BY41-BZ41</f>
        <v>0</v>
      </c>
      <c r="CJ41" s="3">
        <f>ROUND(SUMIF(AA24:AA39,"=16492569",GX24:GX39),2)</f>
        <v>0</v>
      </c>
      <c r="CK41" s="3">
        <f>ROUND(SUMIF(AA24:AA39,"=16492569",GY24:GY39),2)</f>
        <v>0</v>
      </c>
      <c r="CL41" s="3">
        <f>ROUND(SUMIF(AA24:AA39,"=16492569",GZ24:GZ39),2)</f>
        <v>0</v>
      </c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4">
        <f t="shared" ref="DG41:DL41" si="57">ROUND(DT41,2)</f>
        <v>5644223.75</v>
      </c>
      <c r="DH41" s="4">
        <f t="shared" si="57"/>
        <v>5060477.24</v>
      </c>
      <c r="DI41" s="4">
        <f t="shared" si="57"/>
        <v>7189.71</v>
      </c>
      <c r="DJ41" s="4">
        <f t="shared" si="57"/>
        <v>3903.77</v>
      </c>
      <c r="DK41" s="4">
        <f t="shared" si="57"/>
        <v>576556.80000000005</v>
      </c>
      <c r="DL41" s="4">
        <f t="shared" si="57"/>
        <v>0</v>
      </c>
      <c r="DM41" s="4">
        <f>DZ41</f>
        <v>9660.3888345000014</v>
      </c>
      <c r="DN41" s="4">
        <f>EA41</f>
        <v>53.794469999999997</v>
      </c>
      <c r="DO41" s="4">
        <f>ROUND(EB41,2)</f>
        <v>0</v>
      </c>
      <c r="DP41" s="4">
        <f>ROUND(EC41,2)</f>
        <v>638025.79</v>
      </c>
      <c r="DQ41" s="4">
        <f>ROUND(ED41,2)</f>
        <v>372305.79</v>
      </c>
      <c r="DR41" s="4"/>
      <c r="DS41" s="4"/>
      <c r="DT41" s="4">
        <f>ROUND(SUMIF(AA24:AA39,"=16492570",O24:O39),2)</f>
        <v>5644223.75</v>
      </c>
      <c r="DU41" s="4">
        <f>ROUND(SUMIF(AA24:AA39,"=16492570",P24:P39),2)</f>
        <v>5060477.24</v>
      </c>
      <c r="DV41" s="4">
        <f>ROUND(SUMIF(AA24:AA39,"=16492570",Q24:Q39),2)</f>
        <v>7189.71</v>
      </c>
      <c r="DW41" s="4">
        <f>ROUND(SUMIF(AA24:AA39,"=16492570",R24:R39),2)</f>
        <v>3903.77</v>
      </c>
      <c r="DX41" s="4">
        <f>ROUND(SUMIF(AA24:AA39,"=16492570",S24:S39),2)</f>
        <v>576556.80000000005</v>
      </c>
      <c r="DY41" s="4">
        <f>ROUND(SUMIF(AA24:AA39,"=16492570",T24:T39),2)</f>
        <v>0</v>
      </c>
      <c r="DZ41" s="4">
        <f>SUMIF(AA24:AA39,"=16492570",U24:U39)</f>
        <v>9660.3888345000014</v>
      </c>
      <c r="EA41" s="4">
        <f>SUMIF(AA24:AA39,"=16492570",V24:V39)</f>
        <v>53.794469999999997</v>
      </c>
      <c r="EB41" s="4">
        <f>ROUND(SUMIF(AA24:AA39,"=16492570",W24:W39),2)</f>
        <v>0</v>
      </c>
      <c r="EC41" s="4">
        <f>ROUND(SUMIF(AA24:AA39,"=16492570",X24:X39),2)</f>
        <v>638025.79</v>
      </c>
      <c r="ED41" s="4">
        <f>ROUND(SUMIF(AA24:AA39,"=16492570",Y24:Y39),2)</f>
        <v>372305.79</v>
      </c>
      <c r="EE41" s="4"/>
      <c r="EF41" s="4"/>
      <c r="EG41" s="4">
        <f t="shared" ref="EG41:EU41" si="58">ROUND(FP41,2)</f>
        <v>0</v>
      </c>
      <c r="EH41" s="4">
        <f t="shared" si="58"/>
        <v>0</v>
      </c>
      <c r="EI41" s="4">
        <f t="shared" si="58"/>
        <v>0</v>
      </c>
      <c r="EJ41" s="4">
        <f t="shared" si="58"/>
        <v>6654555.3300000001</v>
      </c>
      <c r="EK41" s="4">
        <f t="shared" si="58"/>
        <v>6654555.3300000001</v>
      </c>
      <c r="EL41" s="4">
        <f t="shared" si="58"/>
        <v>0</v>
      </c>
      <c r="EM41" s="4">
        <f t="shared" si="58"/>
        <v>0</v>
      </c>
      <c r="EN41" s="4">
        <f t="shared" si="58"/>
        <v>5060477.24</v>
      </c>
      <c r="EO41" s="4">
        <f t="shared" si="58"/>
        <v>5060477.24</v>
      </c>
      <c r="EP41" s="4">
        <f t="shared" si="58"/>
        <v>0</v>
      </c>
      <c r="EQ41" s="4">
        <f t="shared" si="58"/>
        <v>5060477.24</v>
      </c>
      <c r="ER41" s="4">
        <f t="shared" si="58"/>
        <v>0</v>
      </c>
      <c r="ES41" s="4">
        <f t="shared" si="58"/>
        <v>0</v>
      </c>
      <c r="ET41" s="4">
        <f t="shared" si="58"/>
        <v>0</v>
      </c>
      <c r="EU41" s="4">
        <f t="shared" si="58"/>
        <v>0</v>
      </c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>
        <f>ROUND(SUMIF(AA24:AA39,"=16492570",FQ24:FQ39),2)</f>
        <v>0</v>
      </c>
      <c r="FQ41" s="4">
        <f>ROUND(SUMIF(AA24:AA39,"=16492570",FR24:FR39),2)</f>
        <v>0</v>
      </c>
      <c r="FR41" s="4">
        <f>ROUND(SUMIF(AA24:AA39,"=16492570",GL24:GL39),2)</f>
        <v>0</v>
      </c>
      <c r="FS41" s="4">
        <f>ROUND(SUMIF(AA24:AA39,"=16492570",GM24:GM39),2)</f>
        <v>6654555.3300000001</v>
      </c>
      <c r="FT41" s="4">
        <f>ROUND(SUMIF(AA24:AA39,"=16492570",GN24:GN39),2)</f>
        <v>6654555.3300000001</v>
      </c>
      <c r="FU41" s="4">
        <f>ROUND(SUMIF(AA24:AA39,"=16492570",GO24:GO39),2)</f>
        <v>0</v>
      </c>
      <c r="FV41" s="4">
        <f>ROUND(SUMIF(AA24:AA39,"=16492570",GP24:GP39),2)</f>
        <v>0</v>
      </c>
      <c r="FW41" s="4">
        <f>DU41-FP41</f>
        <v>5060477.24</v>
      </c>
      <c r="FX41" s="4">
        <f>DU41-FQ41</f>
        <v>5060477.24</v>
      </c>
      <c r="FY41" s="4">
        <f>FP41-FR41</f>
        <v>0</v>
      </c>
      <c r="FZ41" s="4">
        <f>DU41-FP41-FQ41+FR41</f>
        <v>5060477.24</v>
      </c>
      <c r="GA41" s="4">
        <f>FQ41-FR41</f>
        <v>0</v>
      </c>
      <c r="GB41" s="4">
        <f>ROUND(SUMIF(AA24:AA39,"=16492570",GX24:GX39),2)</f>
        <v>0</v>
      </c>
      <c r="GC41" s="4">
        <f>ROUND(SUMIF(AA24:AA39,"=16492570",GY24:GY39),2)</f>
        <v>0</v>
      </c>
      <c r="GD41" s="4">
        <f>ROUND(SUMIF(AA24:AA39,"=16492570",GZ24:GZ39),2)</f>
        <v>0</v>
      </c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>
        <v>0</v>
      </c>
    </row>
    <row r="43" spans="1:255" x14ac:dyDescent="0.2">
      <c r="A43" s="5">
        <v>50</v>
      </c>
      <c r="B43" s="5">
        <v>0</v>
      </c>
      <c r="C43" s="5">
        <v>0</v>
      </c>
      <c r="D43" s="5">
        <v>1</v>
      </c>
      <c r="E43" s="5">
        <v>201</v>
      </c>
      <c r="F43" s="5">
        <f>ROUND(Source!O41,O43)</f>
        <v>826387.08</v>
      </c>
      <c r="G43" s="5" t="s">
        <v>59</v>
      </c>
      <c r="H43" s="5" t="s">
        <v>60</v>
      </c>
      <c r="I43" s="5"/>
      <c r="J43" s="5"/>
      <c r="K43" s="5">
        <v>201</v>
      </c>
      <c r="L43" s="5">
        <v>1</v>
      </c>
      <c r="M43" s="5">
        <v>3</v>
      </c>
      <c r="N43" s="5" t="s">
        <v>6</v>
      </c>
      <c r="O43" s="5">
        <v>2</v>
      </c>
      <c r="P43" s="5">
        <f>ROUND(Source!DG41,O43)</f>
        <v>5644223.75</v>
      </c>
      <c r="Q43" s="5"/>
      <c r="R43" s="5"/>
      <c r="S43" s="5"/>
      <c r="T43" s="5"/>
      <c r="U43" s="5"/>
      <c r="V43" s="5"/>
      <c r="W43" s="5"/>
    </row>
    <row r="44" spans="1:255" x14ac:dyDescent="0.2">
      <c r="A44" s="5">
        <v>50</v>
      </c>
      <c r="B44" s="5">
        <v>0</v>
      </c>
      <c r="C44" s="5">
        <v>0</v>
      </c>
      <c r="D44" s="5">
        <v>1</v>
      </c>
      <c r="E44" s="5">
        <v>202</v>
      </c>
      <c r="F44" s="5">
        <f>ROUND(Source!P41,O44)</f>
        <v>740919.08</v>
      </c>
      <c r="G44" s="5" t="s">
        <v>61</v>
      </c>
      <c r="H44" s="5" t="s">
        <v>62</v>
      </c>
      <c r="I44" s="5"/>
      <c r="J44" s="5"/>
      <c r="K44" s="5">
        <v>202</v>
      </c>
      <c r="L44" s="5">
        <v>2</v>
      </c>
      <c r="M44" s="5">
        <v>3</v>
      </c>
      <c r="N44" s="5" t="s">
        <v>6</v>
      </c>
      <c r="O44" s="5">
        <v>2</v>
      </c>
      <c r="P44" s="5">
        <f>ROUND(Source!DH41,O44)</f>
        <v>5060477.24</v>
      </c>
      <c r="Q44" s="5"/>
      <c r="R44" s="5"/>
      <c r="S44" s="5"/>
      <c r="T44" s="5"/>
      <c r="U44" s="5"/>
      <c r="V44" s="5"/>
      <c r="W44" s="5"/>
    </row>
    <row r="45" spans="1:255" x14ac:dyDescent="0.2">
      <c r="A45" s="5">
        <v>50</v>
      </c>
      <c r="B45" s="5">
        <v>0</v>
      </c>
      <c r="C45" s="5">
        <v>0</v>
      </c>
      <c r="D45" s="5">
        <v>1</v>
      </c>
      <c r="E45" s="5">
        <v>222</v>
      </c>
      <c r="F45" s="5">
        <f>ROUND(Source!AO41,O45)</f>
        <v>0</v>
      </c>
      <c r="G45" s="5" t="s">
        <v>63</v>
      </c>
      <c r="H45" s="5" t="s">
        <v>64</v>
      </c>
      <c r="I45" s="5"/>
      <c r="J45" s="5"/>
      <c r="K45" s="5">
        <v>222</v>
      </c>
      <c r="L45" s="5">
        <v>3</v>
      </c>
      <c r="M45" s="5">
        <v>3</v>
      </c>
      <c r="N45" s="5" t="s">
        <v>6</v>
      </c>
      <c r="O45" s="5">
        <v>2</v>
      </c>
      <c r="P45" s="5">
        <f>ROUND(Source!EG41,O45)</f>
        <v>0</v>
      </c>
      <c r="Q45" s="5"/>
      <c r="R45" s="5"/>
      <c r="S45" s="5"/>
      <c r="T45" s="5"/>
      <c r="U45" s="5"/>
      <c r="V45" s="5"/>
      <c r="W45" s="5"/>
    </row>
    <row r="46" spans="1:255" x14ac:dyDescent="0.2">
      <c r="A46" s="5">
        <v>50</v>
      </c>
      <c r="B46" s="5">
        <v>0</v>
      </c>
      <c r="C46" s="5">
        <v>0</v>
      </c>
      <c r="D46" s="5">
        <v>1</v>
      </c>
      <c r="E46" s="5">
        <v>225</v>
      </c>
      <c r="F46" s="5">
        <f>ROUND(Source!AV41,O46)</f>
        <v>740919.08</v>
      </c>
      <c r="G46" s="5" t="s">
        <v>65</v>
      </c>
      <c r="H46" s="5" t="s">
        <v>66</v>
      </c>
      <c r="I46" s="5"/>
      <c r="J46" s="5"/>
      <c r="K46" s="5">
        <v>225</v>
      </c>
      <c r="L46" s="5">
        <v>4</v>
      </c>
      <c r="M46" s="5">
        <v>3</v>
      </c>
      <c r="N46" s="5" t="s">
        <v>6</v>
      </c>
      <c r="O46" s="5">
        <v>2</v>
      </c>
      <c r="P46" s="5">
        <f>ROUND(Source!EN41,O46)</f>
        <v>5060477.24</v>
      </c>
      <c r="Q46" s="5"/>
      <c r="R46" s="5"/>
      <c r="S46" s="5"/>
      <c r="T46" s="5"/>
      <c r="U46" s="5"/>
      <c r="V46" s="5"/>
      <c r="W46" s="5"/>
    </row>
    <row r="47" spans="1:255" x14ac:dyDescent="0.2">
      <c r="A47" s="5">
        <v>50</v>
      </c>
      <c r="B47" s="5">
        <v>0</v>
      </c>
      <c r="C47" s="5">
        <v>0</v>
      </c>
      <c r="D47" s="5">
        <v>1</v>
      </c>
      <c r="E47" s="5">
        <v>226</v>
      </c>
      <c r="F47" s="5">
        <f>ROUND(Source!AW41,O47)</f>
        <v>740919.08</v>
      </c>
      <c r="G47" s="5" t="s">
        <v>67</v>
      </c>
      <c r="H47" s="5" t="s">
        <v>68</v>
      </c>
      <c r="I47" s="5"/>
      <c r="J47" s="5"/>
      <c r="K47" s="5">
        <v>226</v>
      </c>
      <c r="L47" s="5">
        <v>5</v>
      </c>
      <c r="M47" s="5">
        <v>3</v>
      </c>
      <c r="N47" s="5" t="s">
        <v>6</v>
      </c>
      <c r="O47" s="5">
        <v>2</v>
      </c>
      <c r="P47" s="5">
        <f>ROUND(Source!EO41,O47)</f>
        <v>5060477.24</v>
      </c>
      <c r="Q47" s="5"/>
      <c r="R47" s="5"/>
      <c r="S47" s="5"/>
      <c r="T47" s="5"/>
      <c r="U47" s="5"/>
      <c r="V47" s="5"/>
      <c r="W47" s="5"/>
    </row>
    <row r="48" spans="1:255" x14ac:dyDescent="0.2">
      <c r="A48" s="5">
        <v>50</v>
      </c>
      <c r="B48" s="5">
        <v>0</v>
      </c>
      <c r="C48" s="5">
        <v>0</v>
      </c>
      <c r="D48" s="5">
        <v>1</v>
      </c>
      <c r="E48" s="5">
        <v>227</v>
      </c>
      <c r="F48" s="5">
        <f>ROUND(Source!AX41,O48)</f>
        <v>0</v>
      </c>
      <c r="G48" s="5" t="s">
        <v>69</v>
      </c>
      <c r="H48" s="5" t="s">
        <v>70</v>
      </c>
      <c r="I48" s="5"/>
      <c r="J48" s="5"/>
      <c r="K48" s="5">
        <v>227</v>
      </c>
      <c r="L48" s="5">
        <v>6</v>
      </c>
      <c r="M48" s="5">
        <v>3</v>
      </c>
      <c r="N48" s="5" t="s">
        <v>6</v>
      </c>
      <c r="O48" s="5">
        <v>2</v>
      </c>
      <c r="P48" s="5">
        <f>ROUND(Source!EP41,O48)</f>
        <v>0</v>
      </c>
      <c r="Q48" s="5"/>
      <c r="R48" s="5"/>
      <c r="S48" s="5"/>
      <c r="T48" s="5"/>
      <c r="U48" s="5"/>
      <c r="V48" s="5"/>
      <c r="W48" s="5"/>
    </row>
    <row r="49" spans="1:23" x14ac:dyDescent="0.2">
      <c r="A49" s="5">
        <v>50</v>
      </c>
      <c r="B49" s="5">
        <v>0</v>
      </c>
      <c r="C49" s="5">
        <v>0</v>
      </c>
      <c r="D49" s="5">
        <v>1</v>
      </c>
      <c r="E49" s="5">
        <v>228</v>
      </c>
      <c r="F49" s="5">
        <f>ROUND(Source!AY41,O49)</f>
        <v>740919.08</v>
      </c>
      <c r="G49" s="5" t="s">
        <v>71</v>
      </c>
      <c r="H49" s="5" t="s">
        <v>72</v>
      </c>
      <c r="I49" s="5"/>
      <c r="J49" s="5"/>
      <c r="K49" s="5">
        <v>228</v>
      </c>
      <c r="L49" s="5">
        <v>7</v>
      </c>
      <c r="M49" s="5">
        <v>3</v>
      </c>
      <c r="N49" s="5" t="s">
        <v>6</v>
      </c>
      <c r="O49" s="5">
        <v>2</v>
      </c>
      <c r="P49" s="5">
        <f>ROUND(Source!EQ41,O49)</f>
        <v>5060477.24</v>
      </c>
      <c r="Q49" s="5"/>
      <c r="R49" s="5"/>
      <c r="S49" s="5"/>
      <c r="T49" s="5"/>
      <c r="U49" s="5"/>
      <c r="V49" s="5"/>
      <c r="W49" s="5"/>
    </row>
    <row r="50" spans="1:23" x14ac:dyDescent="0.2">
      <c r="A50" s="5">
        <v>50</v>
      </c>
      <c r="B50" s="5">
        <v>0</v>
      </c>
      <c r="C50" s="5">
        <v>0</v>
      </c>
      <c r="D50" s="5">
        <v>1</v>
      </c>
      <c r="E50" s="5">
        <v>216</v>
      </c>
      <c r="F50" s="5">
        <f>ROUND(Source!AP41,O50)</f>
        <v>0</v>
      </c>
      <c r="G50" s="5" t="s">
        <v>73</v>
      </c>
      <c r="H50" s="5" t="s">
        <v>74</v>
      </c>
      <c r="I50" s="5"/>
      <c r="J50" s="5"/>
      <c r="K50" s="5">
        <v>216</v>
      </c>
      <c r="L50" s="5">
        <v>8</v>
      </c>
      <c r="M50" s="5">
        <v>3</v>
      </c>
      <c r="N50" s="5" t="s">
        <v>6</v>
      </c>
      <c r="O50" s="5">
        <v>2</v>
      </c>
      <c r="P50" s="5">
        <f>ROUND(Source!EH41,O50)</f>
        <v>0</v>
      </c>
      <c r="Q50" s="5"/>
      <c r="R50" s="5"/>
      <c r="S50" s="5"/>
      <c r="T50" s="5"/>
      <c r="U50" s="5"/>
      <c r="V50" s="5"/>
      <c r="W50" s="5"/>
    </row>
    <row r="51" spans="1:23" x14ac:dyDescent="0.2">
      <c r="A51" s="5">
        <v>50</v>
      </c>
      <c r="B51" s="5">
        <v>0</v>
      </c>
      <c r="C51" s="5">
        <v>0</v>
      </c>
      <c r="D51" s="5">
        <v>1</v>
      </c>
      <c r="E51" s="5">
        <v>223</v>
      </c>
      <c r="F51" s="5">
        <f>ROUND(Source!AQ41,O51)</f>
        <v>0</v>
      </c>
      <c r="G51" s="5" t="s">
        <v>75</v>
      </c>
      <c r="H51" s="5" t="s">
        <v>76</v>
      </c>
      <c r="I51" s="5"/>
      <c r="J51" s="5"/>
      <c r="K51" s="5">
        <v>223</v>
      </c>
      <c r="L51" s="5">
        <v>9</v>
      </c>
      <c r="M51" s="5">
        <v>3</v>
      </c>
      <c r="N51" s="5" t="s">
        <v>6</v>
      </c>
      <c r="O51" s="5">
        <v>2</v>
      </c>
      <c r="P51" s="5">
        <f>ROUND(Source!EI41,O51)</f>
        <v>0</v>
      </c>
      <c r="Q51" s="5"/>
      <c r="R51" s="5"/>
      <c r="S51" s="5"/>
      <c r="T51" s="5"/>
      <c r="U51" s="5"/>
      <c r="V51" s="5"/>
      <c r="W51" s="5"/>
    </row>
    <row r="52" spans="1:23" x14ac:dyDescent="0.2">
      <c r="A52" s="5">
        <v>50</v>
      </c>
      <c r="B52" s="5">
        <v>0</v>
      </c>
      <c r="C52" s="5">
        <v>0</v>
      </c>
      <c r="D52" s="5">
        <v>1</v>
      </c>
      <c r="E52" s="5">
        <v>229</v>
      </c>
      <c r="F52" s="5">
        <f>ROUND(Source!AZ41,O52)</f>
        <v>0</v>
      </c>
      <c r="G52" s="5" t="s">
        <v>77</v>
      </c>
      <c r="H52" s="5" t="s">
        <v>78</v>
      </c>
      <c r="I52" s="5"/>
      <c r="J52" s="5"/>
      <c r="K52" s="5">
        <v>229</v>
      </c>
      <c r="L52" s="5">
        <v>10</v>
      </c>
      <c r="M52" s="5">
        <v>3</v>
      </c>
      <c r="N52" s="5" t="s">
        <v>6</v>
      </c>
      <c r="O52" s="5">
        <v>2</v>
      </c>
      <c r="P52" s="5">
        <f>ROUND(Source!ER41,O52)</f>
        <v>0</v>
      </c>
      <c r="Q52" s="5"/>
      <c r="R52" s="5"/>
      <c r="S52" s="5"/>
      <c r="T52" s="5"/>
      <c r="U52" s="5"/>
      <c r="V52" s="5"/>
      <c r="W52" s="5"/>
    </row>
    <row r="53" spans="1:23" x14ac:dyDescent="0.2">
      <c r="A53" s="5">
        <v>50</v>
      </c>
      <c r="B53" s="5">
        <v>0</v>
      </c>
      <c r="C53" s="5">
        <v>0</v>
      </c>
      <c r="D53" s="5">
        <v>1</v>
      </c>
      <c r="E53" s="5">
        <v>203</v>
      </c>
      <c r="F53" s="5">
        <f>ROUND(Source!Q41,O53)</f>
        <v>1052.6600000000001</v>
      </c>
      <c r="G53" s="5" t="s">
        <v>79</v>
      </c>
      <c r="H53" s="5" t="s">
        <v>80</v>
      </c>
      <c r="I53" s="5"/>
      <c r="J53" s="5"/>
      <c r="K53" s="5">
        <v>203</v>
      </c>
      <c r="L53" s="5">
        <v>11</v>
      </c>
      <c r="M53" s="5">
        <v>3</v>
      </c>
      <c r="N53" s="5" t="s">
        <v>6</v>
      </c>
      <c r="O53" s="5">
        <v>2</v>
      </c>
      <c r="P53" s="5">
        <f>ROUND(Source!DI41,O53)</f>
        <v>7189.71</v>
      </c>
      <c r="Q53" s="5"/>
      <c r="R53" s="5"/>
      <c r="S53" s="5"/>
      <c r="T53" s="5"/>
      <c r="U53" s="5"/>
      <c r="V53" s="5"/>
      <c r="W53" s="5"/>
    </row>
    <row r="54" spans="1:23" x14ac:dyDescent="0.2">
      <c r="A54" s="5">
        <v>50</v>
      </c>
      <c r="B54" s="5">
        <v>0</v>
      </c>
      <c r="C54" s="5">
        <v>0</v>
      </c>
      <c r="D54" s="5">
        <v>1</v>
      </c>
      <c r="E54" s="5">
        <v>231</v>
      </c>
      <c r="F54" s="5">
        <f>ROUND(Source!BB41,O54)</f>
        <v>0</v>
      </c>
      <c r="G54" s="5" t="s">
        <v>81</v>
      </c>
      <c r="H54" s="5" t="s">
        <v>82</v>
      </c>
      <c r="I54" s="5"/>
      <c r="J54" s="5"/>
      <c r="K54" s="5">
        <v>231</v>
      </c>
      <c r="L54" s="5">
        <v>12</v>
      </c>
      <c r="M54" s="5">
        <v>3</v>
      </c>
      <c r="N54" s="5" t="s">
        <v>6</v>
      </c>
      <c r="O54" s="5">
        <v>2</v>
      </c>
      <c r="P54" s="5">
        <f>ROUND(Source!ET41,O54)</f>
        <v>0</v>
      </c>
      <c r="Q54" s="5"/>
      <c r="R54" s="5"/>
      <c r="S54" s="5"/>
      <c r="T54" s="5"/>
      <c r="U54" s="5"/>
      <c r="V54" s="5"/>
      <c r="W54" s="5"/>
    </row>
    <row r="55" spans="1:23" x14ac:dyDescent="0.2">
      <c r="A55" s="5">
        <v>50</v>
      </c>
      <c r="B55" s="5">
        <v>0</v>
      </c>
      <c r="C55" s="5">
        <v>0</v>
      </c>
      <c r="D55" s="5">
        <v>1</v>
      </c>
      <c r="E55" s="5">
        <v>204</v>
      </c>
      <c r="F55" s="5">
        <f>ROUND(Source!R41,O55)</f>
        <v>571.54999999999995</v>
      </c>
      <c r="G55" s="5" t="s">
        <v>83</v>
      </c>
      <c r="H55" s="5" t="s">
        <v>84</v>
      </c>
      <c r="I55" s="5"/>
      <c r="J55" s="5"/>
      <c r="K55" s="5">
        <v>204</v>
      </c>
      <c r="L55" s="5">
        <v>13</v>
      </c>
      <c r="M55" s="5">
        <v>3</v>
      </c>
      <c r="N55" s="5" t="s">
        <v>6</v>
      </c>
      <c r="O55" s="5">
        <v>2</v>
      </c>
      <c r="P55" s="5">
        <f>ROUND(Source!DJ41,O55)</f>
        <v>3903.77</v>
      </c>
      <c r="Q55" s="5"/>
      <c r="R55" s="5"/>
      <c r="S55" s="5"/>
      <c r="T55" s="5"/>
      <c r="U55" s="5"/>
      <c r="V55" s="5"/>
      <c r="W55" s="5"/>
    </row>
    <row r="56" spans="1:23" x14ac:dyDescent="0.2">
      <c r="A56" s="5">
        <v>50</v>
      </c>
      <c r="B56" s="5">
        <v>0</v>
      </c>
      <c r="C56" s="5">
        <v>0</v>
      </c>
      <c r="D56" s="5">
        <v>1</v>
      </c>
      <c r="E56" s="5">
        <v>205</v>
      </c>
      <c r="F56" s="5">
        <f>ROUND(Source!S41,O56)</f>
        <v>84415.34</v>
      </c>
      <c r="G56" s="5" t="s">
        <v>85</v>
      </c>
      <c r="H56" s="5" t="s">
        <v>86</v>
      </c>
      <c r="I56" s="5"/>
      <c r="J56" s="5"/>
      <c r="K56" s="5">
        <v>205</v>
      </c>
      <c r="L56" s="5">
        <v>14</v>
      </c>
      <c r="M56" s="5">
        <v>3</v>
      </c>
      <c r="N56" s="5" t="s">
        <v>6</v>
      </c>
      <c r="O56" s="5">
        <v>2</v>
      </c>
      <c r="P56" s="5">
        <f>ROUND(Source!DK41,O56)</f>
        <v>576556.80000000005</v>
      </c>
      <c r="Q56" s="5"/>
      <c r="R56" s="5"/>
      <c r="S56" s="5"/>
      <c r="T56" s="5"/>
      <c r="U56" s="5"/>
      <c r="V56" s="5"/>
      <c r="W56" s="5"/>
    </row>
    <row r="57" spans="1:23" x14ac:dyDescent="0.2">
      <c r="A57" s="5">
        <v>50</v>
      </c>
      <c r="B57" s="5">
        <v>0</v>
      </c>
      <c r="C57" s="5">
        <v>0</v>
      </c>
      <c r="D57" s="5">
        <v>1</v>
      </c>
      <c r="E57" s="5">
        <v>232</v>
      </c>
      <c r="F57" s="5">
        <f>ROUND(Source!BC41,O57)</f>
        <v>0</v>
      </c>
      <c r="G57" s="5" t="s">
        <v>87</v>
      </c>
      <c r="H57" s="5" t="s">
        <v>88</v>
      </c>
      <c r="I57" s="5"/>
      <c r="J57" s="5"/>
      <c r="K57" s="5">
        <v>232</v>
      </c>
      <c r="L57" s="5">
        <v>15</v>
      </c>
      <c r="M57" s="5">
        <v>3</v>
      </c>
      <c r="N57" s="5" t="s">
        <v>6</v>
      </c>
      <c r="O57" s="5">
        <v>2</v>
      </c>
      <c r="P57" s="5">
        <f>ROUND(Source!EU41,O57)</f>
        <v>0</v>
      </c>
      <c r="Q57" s="5"/>
      <c r="R57" s="5"/>
      <c r="S57" s="5"/>
      <c r="T57" s="5"/>
      <c r="U57" s="5"/>
      <c r="V57" s="5"/>
      <c r="W57" s="5"/>
    </row>
    <row r="58" spans="1:23" x14ac:dyDescent="0.2">
      <c r="A58" s="5">
        <v>50</v>
      </c>
      <c r="B58" s="5">
        <v>0</v>
      </c>
      <c r="C58" s="5">
        <v>0</v>
      </c>
      <c r="D58" s="5">
        <v>1</v>
      </c>
      <c r="E58" s="5">
        <v>214</v>
      </c>
      <c r="F58" s="5">
        <f>ROUND(Source!AS41,O58)</f>
        <v>974312.63</v>
      </c>
      <c r="G58" s="5" t="s">
        <v>89</v>
      </c>
      <c r="H58" s="5" t="s">
        <v>90</v>
      </c>
      <c r="I58" s="5"/>
      <c r="J58" s="5"/>
      <c r="K58" s="5">
        <v>214</v>
      </c>
      <c r="L58" s="5">
        <v>16</v>
      </c>
      <c r="M58" s="5">
        <v>3</v>
      </c>
      <c r="N58" s="5" t="s">
        <v>6</v>
      </c>
      <c r="O58" s="5">
        <v>2</v>
      </c>
      <c r="P58" s="5">
        <f>ROUND(Source!EK41,O58)</f>
        <v>6654555.3300000001</v>
      </c>
      <c r="Q58" s="5"/>
      <c r="R58" s="5"/>
      <c r="S58" s="5"/>
      <c r="T58" s="5"/>
      <c r="U58" s="5"/>
      <c r="V58" s="5"/>
      <c r="W58" s="5"/>
    </row>
    <row r="59" spans="1:23" x14ac:dyDescent="0.2">
      <c r="A59" s="5">
        <v>50</v>
      </c>
      <c r="B59" s="5">
        <v>0</v>
      </c>
      <c r="C59" s="5">
        <v>0</v>
      </c>
      <c r="D59" s="5">
        <v>1</v>
      </c>
      <c r="E59" s="5">
        <v>215</v>
      </c>
      <c r="F59" s="5">
        <f>ROUND(Source!AT41,O59)</f>
        <v>0</v>
      </c>
      <c r="G59" s="5" t="s">
        <v>91</v>
      </c>
      <c r="H59" s="5" t="s">
        <v>92</v>
      </c>
      <c r="I59" s="5"/>
      <c r="J59" s="5"/>
      <c r="K59" s="5">
        <v>215</v>
      </c>
      <c r="L59" s="5">
        <v>17</v>
      </c>
      <c r="M59" s="5">
        <v>3</v>
      </c>
      <c r="N59" s="5" t="s">
        <v>6</v>
      </c>
      <c r="O59" s="5">
        <v>2</v>
      </c>
      <c r="P59" s="5">
        <f>ROUND(Source!EL41,O59)</f>
        <v>0</v>
      </c>
      <c r="Q59" s="5"/>
      <c r="R59" s="5"/>
      <c r="S59" s="5"/>
      <c r="T59" s="5"/>
      <c r="U59" s="5"/>
      <c r="V59" s="5"/>
      <c r="W59" s="5"/>
    </row>
    <row r="60" spans="1:23" x14ac:dyDescent="0.2">
      <c r="A60" s="5">
        <v>50</v>
      </c>
      <c r="B60" s="5">
        <v>0</v>
      </c>
      <c r="C60" s="5">
        <v>0</v>
      </c>
      <c r="D60" s="5">
        <v>1</v>
      </c>
      <c r="E60" s="5">
        <v>217</v>
      </c>
      <c r="F60" s="5">
        <f>ROUND(Source!AU41,O60)</f>
        <v>0</v>
      </c>
      <c r="G60" s="5" t="s">
        <v>93</v>
      </c>
      <c r="H60" s="5" t="s">
        <v>94</v>
      </c>
      <c r="I60" s="5"/>
      <c r="J60" s="5"/>
      <c r="K60" s="5">
        <v>217</v>
      </c>
      <c r="L60" s="5">
        <v>18</v>
      </c>
      <c r="M60" s="5">
        <v>3</v>
      </c>
      <c r="N60" s="5" t="s">
        <v>6</v>
      </c>
      <c r="O60" s="5">
        <v>2</v>
      </c>
      <c r="P60" s="5">
        <f>ROUND(Source!EM41,O60)</f>
        <v>0</v>
      </c>
      <c r="Q60" s="5"/>
      <c r="R60" s="5"/>
      <c r="S60" s="5"/>
      <c r="T60" s="5"/>
      <c r="U60" s="5"/>
      <c r="V60" s="5"/>
      <c r="W60" s="5"/>
    </row>
    <row r="61" spans="1:23" x14ac:dyDescent="0.2">
      <c r="A61" s="5">
        <v>50</v>
      </c>
      <c r="B61" s="5">
        <v>0</v>
      </c>
      <c r="C61" s="5">
        <v>0</v>
      </c>
      <c r="D61" s="5">
        <v>1</v>
      </c>
      <c r="E61" s="5">
        <v>230</v>
      </c>
      <c r="F61" s="5">
        <f>ROUND(Source!BA41,O61)</f>
        <v>0</v>
      </c>
      <c r="G61" s="5" t="s">
        <v>95</v>
      </c>
      <c r="H61" s="5" t="s">
        <v>96</v>
      </c>
      <c r="I61" s="5"/>
      <c r="J61" s="5"/>
      <c r="K61" s="5">
        <v>230</v>
      </c>
      <c r="L61" s="5">
        <v>19</v>
      </c>
      <c r="M61" s="5">
        <v>3</v>
      </c>
      <c r="N61" s="5" t="s">
        <v>6</v>
      </c>
      <c r="O61" s="5">
        <v>2</v>
      </c>
      <c r="P61" s="5">
        <f>ROUND(Source!ES41,O61)</f>
        <v>0</v>
      </c>
      <c r="Q61" s="5"/>
      <c r="R61" s="5"/>
      <c r="S61" s="5"/>
      <c r="T61" s="5"/>
      <c r="U61" s="5"/>
      <c r="V61" s="5"/>
      <c r="W61" s="5"/>
    </row>
    <row r="62" spans="1:23" x14ac:dyDescent="0.2">
      <c r="A62" s="5">
        <v>50</v>
      </c>
      <c r="B62" s="5">
        <v>0</v>
      </c>
      <c r="C62" s="5">
        <v>0</v>
      </c>
      <c r="D62" s="5">
        <v>1</v>
      </c>
      <c r="E62" s="5">
        <v>206</v>
      </c>
      <c r="F62" s="5">
        <f>ROUND(Source!T41,O62)</f>
        <v>0</v>
      </c>
      <c r="G62" s="5" t="s">
        <v>97</v>
      </c>
      <c r="H62" s="5" t="s">
        <v>98</v>
      </c>
      <c r="I62" s="5"/>
      <c r="J62" s="5"/>
      <c r="K62" s="5">
        <v>206</v>
      </c>
      <c r="L62" s="5">
        <v>20</v>
      </c>
      <c r="M62" s="5">
        <v>3</v>
      </c>
      <c r="N62" s="5" t="s">
        <v>6</v>
      </c>
      <c r="O62" s="5">
        <v>2</v>
      </c>
      <c r="P62" s="5">
        <f>ROUND(Source!DL41,O62)</f>
        <v>0</v>
      </c>
      <c r="Q62" s="5"/>
      <c r="R62" s="5"/>
      <c r="S62" s="5"/>
      <c r="T62" s="5"/>
      <c r="U62" s="5"/>
      <c r="V62" s="5"/>
      <c r="W62" s="5"/>
    </row>
    <row r="63" spans="1:23" x14ac:dyDescent="0.2">
      <c r="A63" s="5">
        <v>50</v>
      </c>
      <c r="B63" s="5">
        <v>0</v>
      </c>
      <c r="C63" s="5">
        <v>0</v>
      </c>
      <c r="D63" s="5">
        <v>1</v>
      </c>
      <c r="E63" s="5">
        <v>207</v>
      </c>
      <c r="F63" s="5">
        <f>Source!U41</f>
        <v>9660.3888345000014</v>
      </c>
      <c r="G63" s="5" t="s">
        <v>99</v>
      </c>
      <c r="H63" s="5" t="s">
        <v>100</v>
      </c>
      <c r="I63" s="5"/>
      <c r="J63" s="5"/>
      <c r="K63" s="5">
        <v>207</v>
      </c>
      <c r="L63" s="5">
        <v>21</v>
      </c>
      <c r="M63" s="5">
        <v>3</v>
      </c>
      <c r="N63" s="5" t="s">
        <v>6</v>
      </c>
      <c r="O63" s="5">
        <v>-1</v>
      </c>
      <c r="P63" s="5">
        <f>Source!DM41</f>
        <v>9660.3888345000014</v>
      </c>
      <c r="Q63" s="5"/>
      <c r="R63" s="5"/>
      <c r="S63" s="5"/>
      <c r="T63" s="5"/>
      <c r="U63" s="5"/>
      <c r="V63" s="5"/>
      <c r="W63" s="5"/>
    </row>
    <row r="64" spans="1:23" x14ac:dyDescent="0.2">
      <c r="A64" s="5">
        <v>50</v>
      </c>
      <c r="B64" s="5">
        <v>0</v>
      </c>
      <c r="C64" s="5">
        <v>0</v>
      </c>
      <c r="D64" s="5">
        <v>1</v>
      </c>
      <c r="E64" s="5">
        <v>208</v>
      </c>
      <c r="F64" s="5">
        <f>Source!V41</f>
        <v>53.794469999999997</v>
      </c>
      <c r="G64" s="5" t="s">
        <v>101</v>
      </c>
      <c r="H64" s="5" t="s">
        <v>102</v>
      </c>
      <c r="I64" s="5"/>
      <c r="J64" s="5"/>
      <c r="K64" s="5">
        <v>208</v>
      </c>
      <c r="L64" s="5">
        <v>22</v>
      </c>
      <c r="M64" s="5">
        <v>3</v>
      </c>
      <c r="N64" s="5" t="s">
        <v>6</v>
      </c>
      <c r="O64" s="5">
        <v>-1</v>
      </c>
      <c r="P64" s="5">
        <f>Source!DN41</f>
        <v>53.794469999999997</v>
      </c>
      <c r="Q64" s="5"/>
      <c r="R64" s="5"/>
      <c r="S64" s="5"/>
      <c r="T64" s="5"/>
      <c r="U64" s="5"/>
      <c r="V64" s="5"/>
      <c r="W64" s="5"/>
    </row>
    <row r="65" spans="1:206" x14ac:dyDescent="0.2">
      <c r="A65" s="5">
        <v>50</v>
      </c>
      <c r="B65" s="5">
        <v>0</v>
      </c>
      <c r="C65" s="5">
        <v>0</v>
      </c>
      <c r="D65" s="5">
        <v>1</v>
      </c>
      <c r="E65" s="5">
        <v>209</v>
      </c>
      <c r="F65" s="5">
        <f>ROUND(Source!W41,O65)</f>
        <v>0</v>
      </c>
      <c r="G65" s="5" t="s">
        <v>103</v>
      </c>
      <c r="H65" s="5" t="s">
        <v>104</v>
      </c>
      <c r="I65" s="5"/>
      <c r="J65" s="5"/>
      <c r="K65" s="5">
        <v>209</v>
      </c>
      <c r="L65" s="5">
        <v>23</v>
      </c>
      <c r="M65" s="5">
        <v>3</v>
      </c>
      <c r="N65" s="5" t="s">
        <v>6</v>
      </c>
      <c r="O65" s="5">
        <v>2</v>
      </c>
      <c r="P65" s="5">
        <f>ROUND(Source!DO41,O65)</f>
        <v>0</v>
      </c>
      <c r="Q65" s="5"/>
      <c r="R65" s="5"/>
      <c r="S65" s="5"/>
      <c r="T65" s="5"/>
      <c r="U65" s="5"/>
      <c r="V65" s="5"/>
      <c r="W65" s="5"/>
    </row>
    <row r="66" spans="1:206" x14ac:dyDescent="0.2">
      <c r="A66" s="5">
        <v>50</v>
      </c>
      <c r="B66" s="5">
        <v>0</v>
      </c>
      <c r="C66" s="5">
        <v>0</v>
      </c>
      <c r="D66" s="5">
        <v>1</v>
      </c>
      <c r="E66" s="5">
        <v>210</v>
      </c>
      <c r="F66" s="5">
        <f>ROUND(Source!X41,O66)</f>
        <v>93415.19</v>
      </c>
      <c r="G66" s="5" t="s">
        <v>105</v>
      </c>
      <c r="H66" s="5" t="s">
        <v>106</v>
      </c>
      <c r="I66" s="5"/>
      <c r="J66" s="5"/>
      <c r="K66" s="5">
        <v>210</v>
      </c>
      <c r="L66" s="5">
        <v>24</v>
      </c>
      <c r="M66" s="5">
        <v>3</v>
      </c>
      <c r="N66" s="5" t="s">
        <v>6</v>
      </c>
      <c r="O66" s="5">
        <v>2</v>
      </c>
      <c r="P66" s="5">
        <f>ROUND(Source!DP41,O66)</f>
        <v>638025.79</v>
      </c>
      <c r="Q66" s="5"/>
      <c r="R66" s="5"/>
      <c r="S66" s="5"/>
      <c r="T66" s="5"/>
      <c r="U66" s="5"/>
      <c r="V66" s="5"/>
      <c r="W66" s="5"/>
    </row>
    <row r="67" spans="1:206" x14ac:dyDescent="0.2">
      <c r="A67" s="5">
        <v>50</v>
      </c>
      <c r="B67" s="5">
        <v>0</v>
      </c>
      <c r="C67" s="5">
        <v>0</v>
      </c>
      <c r="D67" s="5">
        <v>1</v>
      </c>
      <c r="E67" s="5">
        <v>211</v>
      </c>
      <c r="F67" s="5">
        <f>ROUND(Source!Y41,O67)</f>
        <v>54510.36</v>
      </c>
      <c r="G67" s="5" t="s">
        <v>107</v>
      </c>
      <c r="H67" s="5" t="s">
        <v>108</v>
      </c>
      <c r="I67" s="5"/>
      <c r="J67" s="5"/>
      <c r="K67" s="5">
        <v>211</v>
      </c>
      <c r="L67" s="5">
        <v>25</v>
      </c>
      <c r="M67" s="5">
        <v>3</v>
      </c>
      <c r="N67" s="5" t="s">
        <v>6</v>
      </c>
      <c r="O67" s="5">
        <v>2</v>
      </c>
      <c r="P67" s="5">
        <f>ROUND(Source!DQ41,O67)</f>
        <v>372305.79</v>
      </c>
      <c r="Q67" s="5"/>
      <c r="R67" s="5"/>
      <c r="S67" s="5"/>
      <c r="T67" s="5"/>
      <c r="U67" s="5"/>
      <c r="V67" s="5"/>
      <c r="W67" s="5"/>
    </row>
    <row r="68" spans="1:206" x14ac:dyDescent="0.2">
      <c r="A68" s="5">
        <v>50</v>
      </c>
      <c r="B68" s="5">
        <v>0</v>
      </c>
      <c r="C68" s="5">
        <v>0</v>
      </c>
      <c r="D68" s="5">
        <v>1</v>
      </c>
      <c r="E68" s="5">
        <v>0</v>
      </c>
      <c r="F68" s="5">
        <f>ROUND(Source!AR41,O68)</f>
        <v>974312.63</v>
      </c>
      <c r="G68" s="5" t="s">
        <v>109</v>
      </c>
      <c r="H68" s="5" t="s">
        <v>110</v>
      </c>
      <c r="I68" s="5"/>
      <c r="J68" s="5"/>
      <c r="K68" s="5">
        <v>224</v>
      </c>
      <c r="L68" s="5">
        <v>26</v>
      </c>
      <c r="M68" s="5">
        <v>3</v>
      </c>
      <c r="N68" s="5" t="s">
        <v>6</v>
      </c>
      <c r="O68" s="5">
        <v>2</v>
      </c>
      <c r="P68" s="5">
        <f>ROUND(Source!EJ41,O68)</f>
        <v>6654555.3300000001</v>
      </c>
      <c r="Q68" s="5"/>
      <c r="R68" s="5"/>
      <c r="S68" s="5"/>
      <c r="T68" s="5"/>
      <c r="U68" s="5"/>
      <c r="V68" s="5"/>
      <c r="W68" s="5"/>
    </row>
    <row r="69" spans="1:206" x14ac:dyDescent="0.2">
      <c r="A69" s="5">
        <v>50</v>
      </c>
      <c r="B69" s="5">
        <v>1</v>
      </c>
      <c r="C69" s="5">
        <v>0</v>
      </c>
      <c r="D69" s="5">
        <v>2</v>
      </c>
      <c r="E69" s="5">
        <v>0</v>
      </c>
      <c r="F69" s="5">
        <f>ROUND(F68,O69)</f>
        <v>974312.63</v>
      </c>
      <c r="G69" s="5" t="s">
        <v>111</v>
      </c>
      <c r="H69" s="5" t="s">
        <v>109</v>
      </c>
      <c r="I69" s="5"/>
      <c r="J69" s="5"/>
      <c r="K69" s="5">
        <v>212</v>
      </c>
      <c r="L69" s="5">
        <v>27</v>
      </c>
      <c r="M69" s="5">
        <v>0</v>
      </c>
      <c r="N69" s="5" t="s">
        <v>6</v>
      </c>
      <c r="O69" s="5">
        <v>2</v>
      </c>
      <c r="P69" s="5">
        <f>ROUND(P68,O69)</f>
        <v>6654555.3300000001</v>
      </c>
      <c r="Q69" s="5"/>
      <c r="R69" s="5"/>
      <c r="S69" s="5"/>
      <c r="T69" s="5"/>
      <c r="U69" s="5"/>
      <c r="V69" s="5"/>
      <c r="W69" s="5"/>
    </row>
    <row r="70" spans="1:206" x14ac:dyDescent="0.2">
      <c r="A70" s="5">
        <v>50</v>
      </c>
      <c r="B70" s="5">
        <v>1</v>
      </c>
      <c r="C70" s="5">
        <v>0</v>
      </c>
      <c r="D70" s="5">
        <v>2</v>
      </c>
      <c r="E70" s="5">
        <v>0</v>
      </c>
      <c r="F70" s="5">
        <f>ROUND(F69*0.18,O70)</f>
        <v>175376.27</v>
      </c>
      <c r="G70" s="5" t="s">
        <v>112</v>
      </c>
      <c r="H70" s="5" t="s">
        <v>113</v>
      </c>
      <c r="I70" s="5"/>
      <c r="J70" s="5"/>
      <c r="K70" s="5">
        <v>212</v>
      </c>
      <c r="L70" s="5">
        <v>28</v>
      </c>
      <c r="M70" s="5">
        <v>0</v>
      </c>
      <c r="N70" s="5" t="s">
        <v>6</v>
      </c>
      <c r="O70" s="5">
        <v>2</v>
      </c>
      <c r="P70" s="5">
        <f>ROUND(P69*0.18,O70)</f>
        <v>1197819.96</v>
      </c>
      <c r="Q70" s="5"/>
      <c r="R70" s="5"/>
      <c r="S70" s="5"/>
      <c r="T70" s="5"/>
      <c r="U70" s="5"/>
      <c r="V70" s="5"/>
      <c r="W70" s="5"/>
    </row>
    <row r="71" spans="1:206" x14ac:dyDescent="0.2">
      <c r="A71" s="5">
        <v>50</v>
      </c>
      <c r="B71" s="5">
        <v>1</v>
      </c>
      <c r="C71" s="5">
        <v>0</v>
      </c>
      <c r="D71" s="5">
        <v>2</v>
      </c>
      <c r="E71" s="5">
        <v>224</v>
      </c>
      <c r="F71" s="5">
        <f>ROUND(F69+F70,O71)</f>
        <v>1149688.8999999999</v>
      </c>
      <c r="G71" s="5" t="s">
        <v>114</v>
      </c>
      <c r="H71" s="5" t="s">
        <v>115</v>
      </c>
      <c r="I71" s="5"/>
      <c r="J71" s="5"/>
      <c r="K71" s="5">
        <v>212</v>
      </c>
      <c r="L71" s="5">
        <v>29</v>
      </c>
      <c r="M71" s="5">
        <v>0</v>
      </c>
      <c r="N71" s="5" t="s">
        <v>6</v>
      </c>
      <c r="O71" s="5">
        <v>2</v>
      </c>
      <c r="P71" s="5">
        <f>ROUND(P69+P70,O71)</f>
        <v>7852375.29</v>
      </c>
      <c r="Q71" s="5"/>
      <c r="R71" s="5"/>
      <c r="S71" s="5"/>
      <c r="T71" s="5"/>
      <c r="U71" s="5"/>
      <c r="V71" s="5"/>
      <c r="W71" s="5"/>
    </row>
    <row r="73" spans="1:206" x14ac:dyDescent="0.2">
      <c r="A73" s="3">
        <v>51</v>
      </c>
      <c r="B73" s="3">
        <f>B12</f>
        <v>134</v>
      </c>
      <c r="C73" s="3">
        <f>A12</f>
        <v>1</v>
      </c>
      <c r="D73" s="3">
        <f>ROW(A12)</f>
        <v>12</v>
      </c>
      <c r="E73" s="3"/>
      <c r="F73" s="3" t="str">
        <f>IF(F12&lt;&gt;"",F12,"")</f>
        <v>Новый объект_(Копия)_(Копия)_(Копия)</v>
      </c>
      <c r="G73" s="3" t="str">
        <f>IF(G12&lt;&gt;"",G12,"")</f>
        <v>Замена напольного покрытия 2-4 этажей,6-18 и 24 в общежитии НИЯУ МИФИ по адресу: г. Москва, ул. Москворечье, д.2, к.1</v>
      </c>
      <c r="H73" s="3">
        <v>0</v>
      </c>
      <c r="I73" s="3"/>
      <c r="J73" s="3"/>
      <c r="K73" s="3"/>
      <c r="L73" s="3"/>
      <c r="M73" s="3"/>
      <c r="N73" s="3"/>
      <c r="O73" s="3">
        <f t="shared" ref="O73:T73" si="59">ROUND(O41,2)</f>
        <v>826387.08</v>
      </c>
      <c r="P73" s="3">
        <f t="shared" si="59"/>
        <v>740919.08</v>
      </c>
      <c r="Q73" s="3">
        <f t="shared" si="59"/>
        <v>1052.6600000000001</v>
      </c>
      <c r="R73" s="3">
        <f t="shared" si="59"/>
        <v>571.54999999999995</v>
      </c>
      <c r="S73" s="3">
        <f t="shared" si="59"/>
        <v>84415.34</v>
      </c>
      <c r="T73" s="3">
        <f t="shared" si="59"/>
        <v>0</v>
      </c>
      <c r="U73" s="3">
        <f>U41</f>
        <v>9660.3888345000014</v>
      </c>
      <c r="V73" s="3">
        <f>V41</f>
        <v>53.794469999999997</v>
      </c>
      <c r="W73" s="3">
        <f>ROUND(W41,2)</f>
        <v>0</v>
      </c>
      <c r="X73" s="3">
        <f>ROUND(X41,2)</f>
        <v>93415.19</v>
      </c>
      <c r="Y73" s="3">
        <f>ROUND(Y41,2)</f>
        <v>54510.36</v>
      </c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>
        <f t="shared" ref="AO73:BC73" si="60">ROUND(AO41,2)</f>
        <v>0</v>
      </c>
      <c r="AP73" s="3">
        <f t="shared" si="60"/>
        <v>0</v>
      </c>
      <c r="AQ73" s="3">
        <f t="shared" si="60"/>
        <v>0</v>
      </c>
      <c r="AR73" s="3">
        <f t="shared" si="60"/>
        <v>974312.63</v>
      </c>
      <c r="AS73" s="3">
        <f t="shared" si="60"/>
        <v>974312.63</v>
      </c>
      <c r="AT73" s="3">
        <f t="shared" si="60"/>
        <v>0</v>
      </c>
      <c r="AU73" s="3">
        <f t="shared" si="60"/>
        <v>0</v>
      </c>
      <c r="AV73" s="3">
        <f t="shared" si="60"/>
        <v>740919.08</v>
      </c>
      <c r="AW73" s="3">
        <f t="shared" si="60"/>
        <v>740919.08</v>
      </c>
      <c r="AX73" s="3">
        <f t="shared" si="60"/>
        <v>0</v>
      </c>
      <c r="AY73" s="3">
        <f t="shared" si="60"/>
        <v>740919.08</v>
      </c>
      <c r="AZ73" s="3">
        <f t="shared" si="60"/>
        <v>0</v>
      </c>
      <c r="BA73" s="3">
        <f t="shared" si="60"/>
        <v>0</v>
      </c>
      <c r="BB73" s="3">
        <f t="shared" si="60"/>
        <v>0</v>
      </c>
      <c r="BC73" s="3">
        <f t="shared" si="60"/>
        <v>0</v>
      </c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4">
        <f t="shared" ref="DG73:DL73" si="61">ROUND(DG41,2)</f>
        <v>5644223.75</v>
      </c>
      <c r="DH73" s="4">
        <f t="shared" si="61"/>
        <v>5060477.24</v>
      </c>
      <c r="DI73" s="4">
        <f t="shared" si="61"/>
        <v>7189.71</v>
      </c>
      <c r="DJ73" s="4">
        <f t="shared" si="61"/>
        <v>3903.77</v>
      </c>
      <c r="DK73" s="4">
        <f t="shared" si="61"/>
        <v>576556.80000000005</v>
      </c>
      <c r="DL73" s="4">
        <f t="shared" si="61"/>
        <v>0</v>
      </c>
      <c r="DM73" s="4">
        <f>DM41</f>
        <v>9660.3888345000014</v>
      </c>
      <c r="DN73" s="4">
        <f>DN41</f>
        <v>53.794469999999997</v>
      </c>
      <c r="DO73" s="4">
        <f>ROUND(DO41,2)</f>
        <v>0</v>
      </c>
      <c r="DP73" s="4">
        <f>ROUND(DP41,2)</f>
        <v>638025.79</v>
      </c>
      <c r="DQ73" s="4">
        <f>ROUND(DQ41,2)</f>
        <v>372305.79</v>
      </c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>
        <f t="shared" ref="EG73:EU73" si="62">ROUND(EG41,2)</f>
        <v>0</v>
      </c>
      <c r="EH73" s="4">
        <f t="shared" si="62"/>
        <v>0</v>
      </c>
      <c r="EI73" s="4">
        <f t="shared" si="62"/>
        <v>0</v>
      </c>
      <c r="EJ73" s="4">
        <f t="shared" si="62"/>
        <v>6654555.3300000001</v>
      </c>
      <c r="EK73" s="4">
        <f t="shared" si="62"/>
        <v>6654555.3300000001</v>
      </c>
      <c r="EL73" s="4">
        <f t="shared" si="62"/>
        <v>0</v>
      </c>
      <c r="EM73" s="4">
        <f t="shared" si="62"/>
        <v>0</v>
      </c>
      <c r="EN73" s="4">
        <f t="shared" si="62"/>
        <v>5060477.24</v>
      </c>
      <c r="EO73" s="4">
        <f t="shared" si="62"/>
        <v>5060477.24</v>
      </c>
      <c r="EP73" s="4">
        <f t="shared" si="62"/>
        <v>0</v>
      </c>
      <c r="EQ73" s="4">
        <f t="shared" si="62"/>
        <v>5060477.24</v>
      </c>
      <c r="ER73" s="4">
        <f t="shared" si="62"/>
        <v>0</v>
      </c>
      <c r="ES73" s="4">
        <f t="shared" si="62"/>
        <v>0</v>
      </c>
      <c r="ET73" s="4">
        <f t="shared" si="62"/>
        <v>0</v>
      </c>
      <c r="EU73" s="4">
        <f t="shared" si="62"/>
        <v>0</v>
      </c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>
        <v>0</v>
      </c>
    </row>
    <row r="75" spans="1:206" x14ac:dyDescent="0.2">
      <c r="A75" s="5">
        <v>50</v>
      </c>
      <c r="B75" s="5">
        <v>0</v>
      </c>
      <c r="C75" s="5">
        <v>0</v>
      </c>
      <c r="D75" s="5">
        <v>1</v>
      </c>
      <c r="E75" s="5">
        <v>201</v>
      </c>
      <c r="F75" s="5">
        <f>ROUND(Source!O73,O75)</f>
        <v>826387.08</v>
      </c>
      <c r="G75" s="5" t="s">
        <v>59</v>
      </c>
      <c r="H75" s="5" t="s">
        <v>60</v>
      </c>
      <c r="I75" s="5"/>
      <c r="J75" s="5"/>
      <c r="K75" s="5">
        <v>201</v>
      </c>
      <c r="L75" s="5">
        <v>1</v>
      </c>
      <c r="M75" s="5">
        <v>3</v>
      </c>
      <c r="N75" s="5" t="s">
        <v>6</v>
      </c>
      <c r="O75" s="5">
        <v>2</v>
      </c>
      <c r="P75" s="5">
        <f>ROUND(Source!DG73,O75)</f>
        <v>5644223.75</v>
      </c>
      <c r="Q75" s="5"/>
      <c r="R75" s="5"/>
      <c r="S75" s="5"/>
      <c r="T75" s="5"/>
      <c r="U75" s="5"/>
      <c r="V75" s="5"/>
      <c r="W75" s="5"/>
    </row>
    <row r="76" spans="1:206" x14ac:dyDescent="0.2">
      <c r="A76" s="5">
        <v>50</v>
      </c>
      <c r="B76" s="5">
        <v>0</v>
      </c>
      <c r="C76" s="5">
        <v>0</v>
      </c>
      <c r="D76" s="5">
        <v>1</v>
      </c>
      <c r="E76" s="5">
        <v>202</v>
      </c>
      <c r="F76" s="5">
        <f>ROUND(Source!P73,O76)</f>
        <v>740919.08</v>
      </c>
      <c r="G76" s="5" t="s">
        <v>61</v>
      </c>
      <c r="H76" s="5" t="s">
        <v>62</v>
      </c>
      <c r="I76" s="5"/>
      <c r="J76" s="5"/>
      <c r="K76" s="5">
        <v>202</v>
      </c>
      <c r="L76" s="5">
        <v>2</v>
      </c>
      <c r="M76" s="5">
        <v>3</v>
      </c>
      <c r="N76" s="5" t="s">
        <v>6</v>
      </c>
      <c r="O76" s="5">
        <v>2</v>
      </c>
      <c r="P76" s="5">
        <f>ROUND(Source!DH73,O76)</f>
        <v>5060477.24</v>
      </c>
      <c r="Q76" s="5"/>
      <c r="R76" s="5"/>
      <c r="S76" s="5"/>
      <c r="T76" s="5"/>
      <c r="U76" s="5"/>
      <c r="V76" s="5"/>
      <c r="W76" s="5"/>
    </row>
    <row r="77" spans="1:206" x14ac:dyDescent="0.2">
      <c r="A77" s="5">
        <v>50</v>
      </c>
      <c r="B77" s="5">
        <v>0</v>
      </c>
      <c r="C77" s="5">
        <v>0</v>
      </c>
      <c r="D77" s="5">
        <v>1</v>
      </c>
      <c r="E77" s="5">
        <v>222</v>
      </c>
      <c r="F77" s="5">
        <f>ROUND(Source!AO73,O77)</f>
        <v>0</v>
      </c>
      <c r="G77" s="5" t="s">
        <v>63</v>
      </c>
      <c r="H77" s="5" t="s">
        <v>64</v>
      </c>
      <c r="I77" s="5"/>
      <c r="J77" s="5"/>
      <c r="K77" s="5">
        <v>222</v>
      </c>
      <c r="L77" s="5">
        <v>3</v>
      </c>
      <c r="M77" s="5">
        <v>3</v>
      </c>
      <c r="N77" s="5" t="s">
        <v>6</v>
      </c>
      <c r="O77" s="5">
        <v>2</v>
      </c>
      <c r="P77" s="5">
        <f>ROUND(Source!EG73,O77)</f>
        <v>0</v>
      </c>
      <c r="Q77" s="5"/>
      <c r="R77" s="5"/>
      <c r="S77" s="5"/>
      <c r="T77" s="5"/>
      <c r="U77" s="5"/>
      <c r="V77" s="5"/>
      <c r="W77" s="5"/>
    </row>
    <row r="78" spans="1:206" x14ac:dyDescent="0.2">
      <c r="A78" s="5">
        <v>50</v>
      </c>
      <c r="B78" s="5">
        <v>0</v>
      </c>
      <c r="C78" s="5">
        <v>0</v>
      </c>
      <c r="D78" s="5">
        <v>1</v>
      </c>
      <c r="E78" s="5">
        <v>225</v>
      </c>
      <c r="F78" s="5">
        <f>ROUND(Source!AV73,O78)</f>
        <v>740919.08</v>
      </c>
      <c r="G78" s="5" t="s">
        <v>65</v>
      </c>
      <c r="H78" s="5" t="s">
        <v>66</v>
      </c>
      <c r="I78" s="5"/>
      <c r="J78" s="5"/>
      <c r="K78" s="5">
        <v>225</v>
      </c>
      <c r="L78" s="5">
        <v>4</v>
      </c>
      <c r="M78" s="5">
        <v>3</v>
      </c>
      <c r="N78" s="5" t="s">
        <v>6</v>
      </c>
      <c r="O78" s="5">
        <v>2</v>
      </c>
      <c r="P78" s="5">
        <f>ROUND(Source!EN73,O78)</f>
        <v>5060477.24</v>
      </c>
      <c r="Q78" s="5"/>
      <c r="R78" s="5"/>
      <c r="S78" s="5"/>
      <c r="T78" s="5"/>
      <c r="U78" s="5"/>
      <c r="V78" s="5"/>
      <c r="W78" s="5"/>
    </row>
    <row r="79" spans="1:206" x14ac:dyDescent="0.2">
      <c r="A79" s="5">
        <v>50</v>
      </c>
      <c r="B79" s="5">
        <v>0</v>
      </c>
      <c r="C79" s="5">
        <v>0</v>
      </c>
      <c r="D79" s="5">
        <v>1</v>
      </c>
      <c r="E79" s="5">
        <v>226</v>
      </c>
      <c r="F79" s="5">
        <f>ROUND(Source!AW73,O79)</f>
        <v>740919.08</v>
      </c>
      <c r="G79" s="5" t="s">
        <v>67</v>
      </c>
      <c r="H79" s="5" t="s">
        <v>68</v>
      </c>
      <c r="I79" s="5"/>
      <c r="J79" s="5"/>
      <c r="K79" s="5">
        <v>226</v>
      </c>
      <c r="L79" s="5">
        <v>5</v>
      </c>
      <c r="M79" s="5">
        <v>3</v>
      </c>
      <c r="N79" s="5" t="s">
        <v>6</v>
      </c>
      <c r="O79" s="5">
        <v>2</v>
      </c>
      <c r="P79" s="5">
        <f>ROUND(Source!EO73,O79)</f>
        <v>5060477.24</v>
      </c>
      <c r="Q79" s="5"/>
      <c r="R79" s="5"/>
      <c r="S79" s="5"/>
      <c r="T79" s="5"/>
      <c r="U79" s="5"/>
      <c r="V79" s="5"/>
      <c r="W79" s="5"/>
    </row>
    <row r="80" spans="1:206" x14ac:dyDescent="0.2">
      <c r="A80" s="5">
        <v>50</v>
      </c>
      <c r="B80" s="5">
        <v>0</v>
      </c>
      <c r="C80" s="5">
        <v>0</v>
      </c>
      <c r="D80" s="5">
        <v>1</v>
      </c>
      <c r="E80" s="5">
        <v>227</v>
      </c>
      <c r="F80" s="5">
        <f>ROUND(Source!AX73,O80)</f>
        <v>0</v>
      </c>
      <c r="G80" s="5" t="s">
        <v>69</v>
      </c>
      <c r="H80" s="5" t="s">
        <v>70</v>
      </c>
      <c r="I80" s="5"/>
      <c r="J80" s="5"/>
      <c r="K80" s="5">
        <v>227</v>
      </c>
      <c r="L80" s="5">
        <v>6</v>
      </c>
      <c r="M80" s="5">
        <v>3</v>
      </c>
      <c r="N80" s="5" t="s">
        <v>6</v>
      </c>
      <c r="O80" s="5">
        <v>2</v>
      </c>
      <c r="P80" s="5">
        <f>ROUND(Source!EP73,O80)</f>
        <v>0</v>
      </c>
      <c r="Q80" s="5"/>
      <c r="R80" s="5"/>
      <c r="S80" s="5"/>
      <c r="T80" s="5"/>
      <c r="U80" s="5"/>
      <c r="V80" s="5"/>
      <c r="W80" s="5"/>
    </row>
    <row r="81" spans="1:23" x14ac:dyDescent="0.2">
      <c r="A81" s="5">
        <v>50</v>
      </c>
      <c r="B81" s="5">
        <v>0</v>
      </c>
      <c r="C81" s="5">
        <v>0</v>
      </c>
      <c r="D81" s="5">
        <v>1</v>
      </c>
      <c r="E81" s="5">
        <v>228</v>
      </c>
      <c r="F81" s="5">
        <f>ROUND(Source!AY73,O81)</f>
        <v>740919.08</v>
      </c>
      <c r="G81" s="5" t="s">
        <v>71</v>
      </c>
      <c r="H81" s="5" t="s">
        <v>72</v>
      </c>
      <c r="I81" s="5"/>
      <c r="J81" s="5"/>
      <c r="K81" s="5">
        <v>228</v>
      </c>
      <c r="L81" s="5">
        <v>7</v>
      </c>
      <c r="M81" s="5">
        <v>3</v>
      </c>
      <c r="N81" s="5" t="s">
        <v>6</v>
      </c>
      <c r="O81" s="5">
        <v>2</v>
      </c>
      <c r="P81" s="5">
        <f>ROUND(Source!EQ73,O81)</f>
        <v>5060477.24</v>
      </c>
      <c r="Q81" s="5"/>
      <c r="R81" s="5"/>
      <c r="S81" s="5"/>
      <c r="T81" s="5"/>
      <c r="U81" s="5"/>
      <c r="V81" s="5"/>
      <c r="W81" s="5"/>
    </row>
    <row r="82" spans="1:23" x14ac:dyDescent="0.2">
      <c r="A82" s="5">
        <v>50</v>
      </c>
      <c r="B82" s="5">
        <v>0</v>
      </c>
      <c r="C82" s="5">
        <v>0</v>
      </c>
      <c r="D82" s="5">
        <v>1</v>
      </c>
      <c r="E82" s="5">
        <v>216</v>
      </c>
      <c r="F82" s="5">
        <f>ROUND(Source!AP73,O82)</f>
        <v>0</v>
      </c>
      <c r="G82" s="5" t="s">
        <v>73</v>
      </c>
      <c r="H82" s="5" t="s">
        <v>74</v>
      </c>
      <c r="I82" s="5"/>
      <c r="J82" s="5"/>
      <c r="K82" s="5">
        <v>216</v>
      </c>
      <c r="L82" s="5">
        <v>8</v>
      </c>
      <c r="M82" s="5">
        <v>3</v>
      </c>
      <c r="N82" s="5" t="s">
        <v>6</v>
      </c>
      <c r="O82" s="5">
        <v>2</v>
      </c>
      <c r="P82" s="5">
        <f>ROUND(Source!EH73,O82)</f>
        <v>0</v>
      </c>
      <c r="Q82" s="5"/>
      <c r="R82" s="5"/>
      <c r="S82" s="5"/>
      <c r="T82" s="5"/>
      <c r="U82" s="5"/>
      <c r="V82" s="5"/>
      <c r="W82" s="5"/>
    </row>
    <row r="83" spans="1:23" x14ac:dyDescent="0.2">
      <c r="A83" s="5">
        <v>50</v>
      </c>
      <c r="B83" s="5">
        <v>0</v>
      </c>
      <c r="C83" s="5">
        <v>0</v>
      </c>
      <c r="D83" s="5">
        <v>1</v>
      </c>
      <c r="E83" s="5">
        <v>223</v>
      </c>
      <c r="F83" s="5">
        <f>ROUND(Source!AQ73,O83)</f>
        <v>0</v>
      </c>
      <c r="G83" s="5" t="s">
        <v>75</v>
      </c>
      <c r="H83" s="5" t="s">
        <v>76</v>
      </c>
      <c r="I83" s="5"/>
      <c r="J83" s="5"/>
      <c r="K83" s="5">
        <v>223</v>
      </c>
      <c r="L83" s="5">
        <v>9</v>
      </c>
      <c r="M83" s="5">
        <v>3</v>
      </c>
      <c r="N83" s="5" t="s">
        <v>6</v>
      </c>
      <c r="O83" s="5">
        <v>2</v>
      </c>
      <c r="P83" s="5">
        <f>ROUND(Source!EI73,O83)</f>
        <v>0</v>
      </c>
      <c r="Q83" s="5"/>
      <c r="R83" s="5"/>
      <c r="S83" s="5"/>
      <c r="T83" s="5"/>
      <c r="U83" s="5"/>
      <c r="V83" s="5"/>
      <c r="W83" s="5"/>
    </row>
    <row r="84" spans="1:23" x14ac:dyDescent="0.2">
      <c r="A84" s="5">
        <v>50</v>
      </c>
      <c r="B84" s="5">
        <v>0</v>
      </c>
      <c r="C84" s="5">
        <v>0</v>
      </c>
      <c r="D84" s="5">
        <v>1</v>
      </c>
      <c r="E84" s="5">
        <v>229</v>
      </c>
      <c r="F84" s="5">
        <f>ROUND(Source!AZ73,O84)</f>
        <v>0</v>
      </c>
      <c r="G84" s="5" t="s">
        <v>77</v>
      </c>
      <c r="H84" s="5" t="s">
        <v>78</v>
      </c>
      <c r="I84" s="5"/>
      <c r="J84" s="5"/>
      <c r="K84" s="5">
        <v>229</v>
      </c>
      <c r="L84" s="5">
        <v>10</v>
      </c>
      <c r="M84" s="5">
        <v>3</v>
      </c>
      <c r="N84" s="5" t="s">
        <v>6</v>
      </c>
      <c r="O84" s="5">
        <v>2</v>
      </c>
      <c r="P84" s="5">
        <f>ROUND(Source!ER73,O84)</f>
        <v>0</v>
      </c>
      <c r="Q84" s="5"/>
      <c r="R84" s="5"/>
      <c r="S84" s="5"/>
      <c r="T84" s="5"/>
      <c r="U84" s="5"/>
      <c r="V84" s="5"/>
      <c r="W84" s="5"/>
    </row>
    <row r="85" spans="1:23" x14ac:dyDescent="0.2">
      <c r="A85" s="5">
        <v>50</v>
      </c>
      <c r="B85" s="5">
        <v>0</v>
      </c>
      <c r="C85" s="5">
        <v>0</v>
      </c>
      <c r="D85" s="5">
        <v>1</v>
      </c>
      <c r="E85" s="5">
        <v>203</v>
      </c>
      <c r="F85" s="5">
        <f>ROUND(Source!Q73,O85)</f>
        <v>1052.6600000000001</v>
      </c>
      <c r="G85" s="5" t="s">
        <v>79</v>
      </c>
      <c r="H85" s="5" t="s">
        <v>80</v>
      </c>
      <c r="I85" s="5"/>
      <c r="J85" s="5"/>
      <c r="K85" s="5">
        <v>203</v>
      </c>
      <c r="L85" s="5">
        <v>11</v>
      </c>
      <c r="M85" s="5">
        <v>3</v>
      </c>
      <c r="N85" s="5" t="s">
        <v>6</v>
      </c>
      <c r="O85" s="5">
        <v>2</v>
      </c>
      <c r="P85" s="5">
        <f>ROUND(Source!DI73,O85)</f>
        <v>7189.71</v>
      </c>
      <c r="Q85" s="5"/>
      <c r="R85" s="5"/>
      <c r="S85" s="5"/>
      <c r="T85" s="5"/>
      <c r="U85" s="5"/>
      <c r="V85" s="5"/>
      <c r="W85" s="5"/>
    </row>
    <row r="86" spans="1:23" x14ac:dyDescent="0.2">
      <c r="A86" s="5">
        <v>50</v>
      </c>
      <c r="B86" s="5">
        <v>0</v>
      </c>
      <c r="C86" s="5">
        <v>0</v>
      </c>
      <c r="D86" s="5">
        <v>1</v>
      </c>
      <c r="E86" s="5">
        <v>231</v>
      </c>
      <c r="F86" s="5">
        <f>ROUND(Source!BB73,O86)</f>
        <v>0</v>
      </c>
      <c r="G86" s="5" t="s">
        <v>81</v>
      </c>
      <c r="H86" s="5" t="s">
        <v>82</v>
      </c>
      <c r="I86" s="5"/>
      <c r="J86" s="5"/>
      <c r="K86" s="5">
        <v>231</v>
      </c>
      <c r="L86" s="5">
        <v>12</v>
      </c>
      <c r="M86" s="5">
        <v>3</v>
      </c>
      <c r="N86" s="5" t="s">
        <v>6</v>
      </c>
      <c r="O86" s="5">
        <v>2</v>
      </c>
      <c r="P86" s="5">
        <f>ROUND(Source!ET73,O86)</f>
        <v>0</v>
      </c>
      <c r="Q86" s="5"/>
      <c r="R86" s="5"/>
      <c r="S86" s="5"/>
      <c r="T86" s="5"/>
      <c r="U86" s="5"/>
      <c r="V86" s="5"/>
      <c r="W86" s="5"/>
    </row>
    <row r="87" spans="1:23" x14ac:dyDescent="0.2">
      <c r="A87" s="5">
        <v>50</v>
      </c>
      <c r="B87" s="5">
        <v>0</v>
      </c>
      <c r="C87" s="5">
        <v>0</v>
      </c>
      <c r="D87" s="5">
        <v>1</v>
      </c>
      <c r="E87" s="5">
        <v>204</v>
      </c>
      <c r="F87" s="5">
        <f>ROUND(Source!R73,O87)</f>
        <v>571.54999999999995</v>
      </c>
      <c r="G87" s="5" t="s">
        <v>83</v>
      </c>
      <c r="H87" s="5" t="s">
        <v>84</v>
      </c>
      <c r="I87" s="5"/>
      <c r="J87" s="5"/>
      <c r="K87" s="5">
        <v>204</v>
      </c>
      <c r="L87" s="5">
        <v>13</v>
      </c>
      <c r="M87" s="5">
        <v>3</v>
      </c>
      <c r="N87" s="5" t="s">
        <v>6</v>
      </c>
      <c r="O87" s="5">
        <v>2</v>
      </c>
      <c r="P87" s="5">
        <f>ROUND(Source!DJ73,O87)</f>
        <v>3903.77</v>
      </c>
      <c r="Q87" s="5"/>
      <c r="R87" s="5"/>
      <c r="S87" s="5"/>
      <c r="T87" s="5"/>
      <c r="U87" s="5"/>
      <c r="V87" s="5"/>
      <c r="W87" s="5"/>
    </row>
    <row r="88" spans="1:23" x14ac:dyDescent="0.2">
      <c r="A88" s="5">
        <v>50</v>
      </c>
      <c r="B88" s="5">
        <v>0</v>
      </c>
      <c r="C88" s="5">
        <v>0</v>
      </c>
      <c r="D88" s="5">
        <v>1</v>
      </c>
      <c r="E88" s="5">
        <v>205</v>
      </c>
      <c r="F88" s="5">
        <f>ROUND(Source!S73,O88)</f>
        <v>84415.34</v>
      </c>
      <c r="G88" s="5" t="s">
        <v>85</v>
      </c>
      <c r="H88" s="5" t="s">
        <v>86</v>
      </c>
      <c r="I88" s="5"/>
      <c r="J88" s="5"/>
      <c r="K88" s="5">
        <v>205</v>
      </c>
      <c r="L88" s="5">
        <v>14</v>
      </c>
      <c r="M88" s="5">
        <v>3</v>
      </c>
      <c r="N88" s="5" t="s">
        <v>6</v>
      </c>
      <c r="O88" s="5">
        <v>2</v>
      </c>
      <c r="P88" s="5">
        <f>ROUND(Source!DK73,O88)</f>
        <v>576556.80000000005</v>
      </c>
      <c r="Q88" s="5"/>
      <c r="R88" s="5"/>
      <c r="S88" s="5"/>
      <c r="T88" s="5"/>
      <c r="U88" s="5"/>
      <c r="V88" s="5"/>
      <c r="W88" s="5"/>
    </row>
    <row r="89" spans="1:23" x14ac:dyDescent="0.2">
      <c r="A89" s="5">
        <v>50</v>
      </c>
      <c r="B89" s="5">
        <v>0</v>
      </c>
      <c r="C89" s="5">
        <v>0</v>
      </c>
      <c r="D89" s="5">
        <v>1</v>
      </c>
      <c r="E89" s="5">
        <v>232</v>
      </c>
      <c r="F89" s="5">
        <f>ROUND(Source!BC73,O89)</f>
        <v>0</v>
      </c>
      <c r="G89" s="5" t="s">
        <v>87</v>
      </c>
      <c r="H89" s="5" t="s">
        <v>88</v>
      </c>
      <c r="I89" s="5"/>
      <c r="J89" s="5"/>
      <c r="K89" s="5">
        <v>232</v>
      </c>
      <c r="L89" s="5">
        <v>15</v>
      </c>
      <c r="M89" s="5">
        <v>3</v>
      </c>
      <c r="N89" s="5" t="s">
        <v>6</v>
      </c>
      <c r="O89" s="5">
        <v>2</v>
      </c>
      <c r="P89" s="5">
        <f>ROUND(Source!EU73,O89)</f>
        <v>0</v>
      </c>
      <c r="Q89" s="5"/>
      <c r="R89" s="5"/>
      <c r="S89" s="5"/>
      <c r="T89" s="5"/>
      <c r="U89" s="5"/>
      <c r="V89" s="5"/>
      <c r="W89" s="5"/>
    </row>
    <row r="90" spans="1:23" x14ac:dyDescent="0.2">
      <c r="A90" s="5">
        <v>50</v>
      </c>
      <c r="B90" s="5">
        <v>0</v>
      </c>
      <c r="C90" s="5">
        <v>0</v>
      </c>
      <c r="D90" s="5">
        <v>1</v>
      </c>
      <c r="E90" s="5">
        <v>214</v>
      </c>
      <c r="F90" s="5">
        <f>ROUND(Source!AS73,O90)</f>
        <v>974312.63</v>
      </c>
      <c r="G90" s="5" t="s">
        <v>89</v>
      </c>
      <c r="H90" s="5" t="s">
        <v>90</v>
      </c>
      <c r="I90" s="5"/>
      <c r="J90" s="5"/>
      <c r="K90" s="5">
        <v>214</v>
      </c>
      <c r="L90" s="5">
        <v>16</v>
      </c>
      <c r="M90" s="5">
        <v>3</v>
      </c>
      <c r="N90" s="5" t="s">
        <v>6</v>
      </c>
      <c r="O90" s="5">
        <v>2</v>
      </c>
      <c r="P90" s="5">
        <f>ROUND(Source!EK73,O90)</f>
        <v>6654555.3300000001</v>
      </c>
      <c r="Q90" s="5"/>
      <c r="R90" s="5"/>
      <c r="S90" s="5"/>
      <c r="T90" s="5"/>
      <c r="U90" s="5"/>
      <c r="V90" s="5"/>
      <c r="W90" s="5"/>
    </row>
    <row r="91" spans="1:23" x14ac:dyDescent="0.2">
      <c r="A91" s="5">
        <v>50</v>
      </c>
      <c r="B91" s="5">
        <v>0</v>
      </c>
      <c r="C91" s="5">
        <v>0</v>
      </c>
      <c r="D91" s="5">
        <v>1</v>
      </c>
      <c r="E91" s="5">
        <v>215</v>
      </c>
      <c r="F91" s="5">
        <f>ROUND(Source!AT73,O91)</f>
        <v>0</v>
      </c>
      <c r="G91" s="5" t="s">
        <v>91</v>
      </c>
      <c r="H91" s="5" t="s">
        <v>92</v>
      </c>
      <c r="I91" s="5"/>
      <c r="J91" s="5"/>
      <c r="K91" s="5">
        <v>215</v>
      </c>
      <c r="L91" s="5">
        <v>17</v>
      </c>
      <c r="M91" s="5">
        <v>3</v>
      </c>
      <c r="N91" s="5" t="s">
        <v>6</v>
      </c>
      <c r="O91" s="5">
        <v>2</v>
      </c>
      <c r="P91" s="5">
        <f>ROUND(Source!EL73,O91)</f>
        <v>0</v>
      </c>
      <c r="Q91" s="5"/>
      <c r="R91" s="5"/>
      <c r="S91" s="5"/>
      <c r="T91" s="5"/>
      <c r="U91" s="5"/>
      <c r="V91" s="5"/>
      <c r="W91" s="5"/>
    </row>
    <row r="92" spans="1:23" x14ac:dyDescent="0.2">
      <c r="A92" s="5">
        <v>50</v>
      </c>
      <c r="B92" s="5">
        <v>0</v>
      </c>
      <c r="C92" s="5">
        <v>0</v>
      </c>
      <c r="D92" s="5">
        <v>1</v>
      </c>
      <c r="E92" s="5">
        <v>217</v>
      </c>
      <c r="F92" s="5">
        <f>ROUND(Source!AU73,O92)</f>
        <v>0</v>
      </c>
      <c r="G92" s="5" t="s">
        <v>93</v>
      </c>
      <c r="H92" s="5" t="s">
        <v>94</v>
      </c>
      <c r="I92" s="5"/>
      <c r="J92" s="5"/>
      <c r="K92" s="5">
        <v>217</v>
      </c>
      <c r="L92" s="5">
        <v>18</v>
      </c>
      <c r="M92" s="5">
        <v>3</v>
      </c>
      <c r="N92" s="5" t="s">
        <v>6</v>
      </c>
      <c r="O92" s="5">
        <v>2</v>
      </c>
      <c r="P92" s="5">
        <f>ROUND(Source!EM73,O92)</f>
        <v>0</v>
      </c>
      <c r="Q92" s="5"/>
      <c r="R92" s="5"/>
      <c r="S92" s="5"/>
      <c r="T92" s="5"/>
      <c r="U92" s="5"/>
      <c r="V92" s="5"/>
      <c r="W92" s="5"/>
    </row>
    <row r="93" spans="1:23" x14ac:dyDescent="0.2">
      <c r="A93" s="5">
        <v>50</v>
      </c>
      <c r="B93" s="5">
        <v>0</v>
      </c>
      <c r="C93" s="5">
        <v>0</v>
      </c>
      <c r="D93" s="5">
        <v>1</v>
      </c>
      <c r="E93" s="5">
        <v>230</v>
      </c>
      <c r="F93" s="5">
        <f>ROUND(Source!BA73,O93)</f>
        <v>0</v>
      </c>
      <c r="G93" s="5" t="s">
        <v>95</v>
      </c>
      <c r="H93" s="5" t="s">
        <v>96</v>
      </c>
      <c r="I93" s="5"/>
      <c r="J93" s="5"/>
      <c r="K93" s="5">
        <v>230</v>
      </c>
      <c r="L93" s="5">
        <v>19</v>
      </c>
      <c r="M93" s="5">
        <v>3</v>
      </c>
      <c r="N93" s="5" t="s">
        <v>6</v>
      </c>
      <c r="O93" s="5">
        <v>2</v>
      </c>
      <c r="P93" s="5">
        <f>ROUND(Source!ES73,O93)</f>
        <v>0</v>
      </c>
      <c r="Q93" s="5"/>
      <c r="R93" s="5"/>
      <c r="S93" s="5"/>
      <c r="T93" s="5"/>
      <c r="U93" s="5"/>
      <c r="V93" s="5"/>
      <c r="W93" s="5"/>
    </row>
    <row r="94" spans="1:23" x14ac:dyDescent="0.2">
      <c r="A94" s="5">
        <v>50</v>
      </c>
      <c r="B94" s="5">
        <v>0</v>
      </c>
      <c r="C94" s="5">
        <v>0</v>
      </c>
      <c r="D94" s="5">
        <v>1</v>
      </c>
      <c r="E94" s="5">
        <v>206</v>
      </c>
      <c r="F94" s="5">
        <f>ROUND(Source!T73,O94)</f>
        <v>0</v>
      </c>
      <c r="G94" s="5" t="s">
        <v>97</v>
      </c>
      <c r="H94" s="5" t="s">
        <v>98</v>
      </c>
      <c r="I94" s="5"/>
      <c r="J94" s="5"/>
      <c r="K94" s="5">
        <v>206</v>
      </c>
      <c r="L94" s="5">
        <v>20</v>
      </c>
      <c r="M94" s="5">
        <v>3</v>
      </c>
      <c r="N94" s="5" t="s">
        <v>6</v>
      </c>
      <c r="O94" s="5">
        <v>2</v>
      </c>
      <c r="P94" s="5">
        <f>ROUND(Source!DL73,O94)</f>
        <v>0</v>
      </c>
      <c r="Q94" s="5"/>
      <c r="R94" s="5"/>
      <c r="S94" s="5"/>
      <c r="T94" s="5"/>
      <c r="U94" s="5"/>
      <c r="V94" s="5"/>
      <c r="W94" s="5"/>
    </row>
    <row r="95" spans="1:23" x14ac:dyDescent="0.2">
      <c r="A95" s="5">
        <v>50</v>
      </c>
      <c r="B95" s="5">
        <v>0</v>
      </c>
      <c r="C95" s="5">
        <v>0</v>
      </c>
      <c r="D95" s="5">
        <v>1</v>
      </c>
      <c r="E95" s="5">
        <v>207</v>
      </c>
      <c r="F95" s="5">
        <f>Source!U73</f>
        <v>9660.3888345000014</v>
      </c>
      <c r="G95" s="5" t="s">
        <v>99</v>
      </c>
      <c r="H95" s="5" t="s">
        <v>100</v>
      </c>
      <c r="I95" s="5"/>
      <c r="J95" s="5"/>
      <c r="K95" s="5">
        <v>207</v>
      </c>
      <c r="L95" s="5">
        <v>21</v>
      </c>
      <c r="M95" s="5">
        <v>3</v>
      </c>
      <c r="N95" s="5" t="s">
        <v>6</v>
      </c>
      <c r="O95" s="5">
        <v>-1</v>
      </c>
      <c r="P95" s="5">
        <f>Source!DM73</f>
        <v>9660.3888345000014</v>
      </c>
      <c r="Q95" s="5"/>
      <c r="R95" s="5"/>
      <c r="S95" s="5"/>
      <c r="T95" s="5"/>
      <c r="U95" s="5"/>
      <c r="V95" s="5"/>
      <c r="W95" s="5"/>
    </row>
    <row r="96" spans="1:23" x14ac:dyDescent="0.2">
      <c r="A96" s="5">
        <v>50</v>
      </c>
      <c r="B96" s="5">
        <v>0</v>
      </c>
      <c r="C96" s="5">
        <v>0</v>
      </c>
      <c r="D96" s="5">
        <v>1</v>
      </c>
      <c r="E96" s="5">
        <v>208</v>
      </c>
      <c r="F96" s="5">
        <f>Source!V73</f>
        <v>53.794469999999997</v>
      </c>
      <c r="G96" s="5" t="s">
        <v>101</v>
      </c>
      <c r="H96" s="5" t="s">
        <v>102</v>
      </c>
      <c r="I96" s="5"/>
      <c r="J96" s="5"/>
      <c r="K96" s="5">
        <v>208</v>
      </c>
      <c r="L96" s="5">
        <v>22</v>
      </c>
      <c r="M96" s="5">
        <v>3</v>
      </c>
      <c r="N96" s="5" t="s">
        <v>6</v>
      </c>
      <c r="O96" s="5">
        <v>-1</v>
      </c>
      <c r="P96" s="5">
        <f>Source!DN73</f>
        <v>53.794469999999997</v>
      </c>
      <c r="Q96" s="5"/>
      <c r="R96" s="5"/>
      <c r="S96" s="5"/>
      <c r="T96" s="5"/>
      <c r="U96" s="5"/>
      <c r="V96" s="5"/>
      <c r="W96" s="5"/>
    </row>
    <row r="97" spans="1:23" x14ac:dyDescent="0.2">
      <c r="A97" s="5">
        <v>50</v>
      </c>
      <c r="B97" s="5">
        <v>0</v>
      </c>
      <c r="C97" s="5">
        <v>0</v>
      </c>
      <c r="D97" s="5">
        <v>1</v>
      </c>
      <c r="E97" s="5">
        <v>209</v>
      </c>
      <c r="F97" s="5">
        <f>ROUND(Source!W73,O97)</f>
        <v>0</v>
      </c>
      <c r="G97" s="5" t="s">
        <v>103</v>
      </c>
      <c r="H97" s="5" t="s">
        <v>104</v>
      </c>
      <c r="I97" s="5"/>
      <c r="J97" s="5"/>
      <c r="K97" s="5">
        <v>209</v>
      </c>
      <c r="L97" s="5">
        <v>23</v>
      </c>
      <c r="M97" s="5">
        <v>3</v>
      </c>
      <c r="N97" s="5" t="s">
        <v>6</v>
      </c>
      <c r="O97" s="5">
        <v>2</v>
      </c>
      <c r="P97" s="5">
        <f>ROUND(Source!DO73,O97)</f>
        <v>0</v>
      </c>
      <c r="Q97" s="5"/>
      <c r="R97" s="5"/>
      <c r="S97" s="5"/>
      <c r="T97" s="5"/>
      <c r="U97" s="5"/>
      <c r="V97" s="5"/>
      <c r="W97" s="5"/>
    </row>
    <row r="98" spans="1:23" x14ac:dyDescent="0.2">
      <c r="A98" s="5">
        <v>50</v>
      </c>
      <c r="B98" s="5">
        <v>0</v>
      </c>
      <c r="C98" s="5">
        <v>0</v>
      </c>
      <c r="D98" s="5">
        <v>1</v>
      </c>
      <c r="E98" s="5">
        <v>210</v>
      </c>
      <c r="F98" s="5">
        <f>ROUND(Source!X73,O98)</f>
        <v>93415.19</v>
      </c>
      <c r="G98" s="5" t="s">
        <v>105</v>
      </c>
      <c r="H98" s="5" t="s">
        <v>106</v>
      </c>
      <c r="I98" s="5"/>
      <c r="J98" s="5"/>
      <c r="K98" s="5">
        <v>210</v>
      </c>
      <c r="L98" s="5">
        <v>24</v>
      </c>
      <c r="M98" s="5">
        <v>3</v>
      </c>
      <c r="N98" s="5" t="s">
        <v>6</v>
      </c>
      <c r="O98" s="5">
        <v>2</v>
      </c>
      <c r="P98" s="5">
        <f>ROUND(Source!DP73,O98)</f>
        <v>638025.79</v>
      </c>
      <c r="Q98" s="5"/>
      <c r="R98" s="5"/>
      <c r="S98" s="5"/>
      <c r="T98" s="5"/>
      <c r="U98" s="5"/>
      <c r="V98" s="5"/>
      <c r="W98" s="5"/>
    </row>
    <row r="99" spans="1:23" x14ac:dyDescent="0.2">
      <c r="A99" s="5">
        <v>50</v>
      </c>
      <c r="B99" s="5">
        <v>0</v>
      </c>
      <c r="C99" s="5">
        <v>0</v>
      </c>
      <c r="D99" s="5">
        <v>1</v>
      </c>
      <c r="E99" s="5">
        <v>211</v>
      </c>
      <c r="F99" s="5">
        <f>ROUND(Source!Y73,O99)</f>
        <v>54510.36</v>
      </c>
      <c r="G99" s="5" t="s">
        <v>107</v>
      </c>
      <c r="H99" s="5" t="s">
        <v>108</v>
      </c>
      <c r="I99" s="5"/>
      <c r="J99" s="5"/>
      <c r="K99" s="5">
        <v>211</v>
      </c>
      <c r="L99" s="5">
        <v>25</v>
      </c>
      <c r="M99" s="5">
        <v>3</v>
      </c>
      <c r="N99" s="5" t="s">
        <v>6</v>
      </c>
      <c r="O99" s="5">
        <v>2</v>
      </c>
      <c r="P99" s="5">
        <f>ROUND(Source!DQ73,O99)</f>
        <v>372305.79</v>
      </c>
      <c r="Q99" s="5"/>
      <c r="R99" s="5"/>
      <c r="S99" s="5"/>
      <c r="T99" s="5"/>
      <c r="U99" s="5"/>
      <c r="V99" s="5"/>
      <c r="W99" s="5"/>
    </row>
    <row r="100" spans="1:23" x14ac:dyDescent="0.2">
      <c r="A100" s="5">
        <v>50</v>
      </c>
      <c r="B100" s="5">
        <v>0</v>
      </c>
      <c r="C100" s="5">
        <v>0</v>
      </c>
      <c r="D100" s="5">
        <v>1</v>
      </c>
      <c r="E100" s="5">
        <v>0</v>
      </c>
      <c r="F100" s="5">
        <f>ROUND(Source!AR73,O100)</f>
        <v>974312.63</v>
      </c>
      <c r="G100" s="5" t="s">
        <v>109</v>
      </c>
      <c r="H100" s="5" t="s">
        <v>110</v>
      </c>
      <c r="I100" s="5"/>
      <c r="J100" s="5"/>
      <c r="K100" s="5">
        <v>224</v>
      </c>
      <c r="L100" s="5">
        <v>26</v>
      </c>
      <c r="M100" s="5">
        <v>3</v>
      </c>
      <c r="N100" s="5" t="s">
        <v>6</v>
      </c>
      <c r="O100" s="5">
        <v>2</v>
      </c>
      <c r="P100" s="5">
        <f>ROUND(Source!EJ73,O100)</f>
        <v>6654555.3300000001</v>
      </c>
      <c r="Q100" s="5"/>
      <c r="R100" s="5"/>
      <c r="S100" s="5"/>
      <c r="T100" s="5"/>
      <c r="U100" s="5"/>
      <c r="V100" s="5"/>
      <c r="W100" s="5"/>
    </row>
    <row r="101" spans="1:23" x14ac:dyDescent="0.2">
      <c r="A101" s="5">
        <v>50</v>
      </c>
      <c r="B101" s="5">
        <v>1</v>
      </c>
      <c r="C101" s="5">
        <v>0</v>
      </c>
      <c r="D101" s="5">
        <v>2</v>
      </c>
      <c r="E101" s="5">
        <v>0</v>
      </c>
      <c r="F101" s="5">
        <f>ROUND(F100,O101)</f>
        <v>974312.63</v>
      </c>
      <c r="G101" s="5" t="s">
        <v>111</v>
      </c>
      <c r="H101" s="5" t="s">
        <v>109</v>
      </c>
      <c r="I101" s="5"/>
      <c r="J101" s="5"/>
      <c r="K101" s="5">
        <v>212</v>
      </c>
      <c r="L101" s="5">
        <v>27</v>
      </c>
      <c r="M101" s="5">
        <v>0</v>
      </c>
      <c r="N101" s="5" t="s">
        <v>6</v>
      </c>
      <c r="O101" s="5">
        <v>2</v>
      </c>
      <c r="P101" s="5">
        <f>ROUND(P100,O101)</f>
        <v>6654555.3300000001</v>
      </c>
      <c r="Q101" s="5"/>
      <c r="R101" s="5"/>
      <c r="S101" s="5"/>
      <c r="T101" s="5"/>
      <c r="U101" s="5"/>
      <c r="V101" s="5"/>
      <c r="W101" s="5"/>
    </row>
    <row r="102" spans="1:23" x14ac:dyDescent="0.2">
      <c r="A102" s="5">
        <v>50</v>
      </c>
      <c r="B102" s="5">
        <v>1</v>
      </c>
      <c r="C102" s="5">
        <v>0</v>
      </c>
      <c r="D102" s="5">
        <v>2</v>
      </c>
      <c r="E102" s="5">
        <v>0</v>
      </c>
      <c r="F102" s="5">
        <f>ROUND(F101*0.18,O102)</f>
        <v>175376.27</v>
      </c>
      <c r="G102" s="5" t="s">
        <v>112</v>
      </c>
      <c r="H102" s="5" t="s">
        <v>113</v>
      </c>
      <c r="I102" s="5"/>
      <c r="J102" s="5"/>
      <c r="K102" s="5">
        <v>212</v>
      </c>
      <c r="L102" s="5">
        <v>28</v>
      </c>
      <c r="M102" s="5">
        <v>0</v>
      </c>
      <c r="N102" s="5" t="s">
        <v>6</v>
      </c>
      <c r="O102" s="5">
        <v>2</v>
      </c>
      <c r="P102" s="5">
        <f>ROUND(P101*0.18,O102)</f>
        <v>1197819.96</v>
      </c>
      <c r="Q102" s="5"/>
      <c r="R102" s="5"/>
      <c r="S102" s="5"/>
      <c r="T102" s="5"/>
      <c r="U102" s="5"/>
      <c r="V102" s="5"/>
      <c r="W102" s="5"/>
    </row>
    <row r="103" spans="1:23" x14ac:dyDescent="0.2">
      <c r="A103" s="5">
        <v>50</v>
      </c>
      <c r="B103" s="5">
        <v>1</v>
      </c>
      <c r="C103" s="5">
        <v>0</v>
      </c>
      <c r="D103" s="5">
        <v>2</v>
      </c>
      <c r="E103" s="5">
        <v>224</v>
      </c>
      <c r="F103" s="5">
        <f>ROUND(F101+F102,O103)</f>
        <v>1149688.8999999999</v>
      </c>
      <c r="G103" s="5" t="s">
        <v>114</v>
      </c>
      <c r="H103" s="5" t="s">
        <v>115</v>
      </c>
      <c r="I103" s="5"/>
      <c r="J103" s="5"/>
      <c r="K103" s="5">
        <v>212</v>
      </c>
      <c r="L103" s="5">
        <v>29</v>
      </c>
      <c r="M103" s="5">
        <v>0</v>
      </c>
      <c r="N103" s="5" t="s">
        <v>6</v>
      </c>
      <c r="O103" s="5">
        <v>2</v>
      </c>
      <c r="P103" s="5">
        <f>ROUND(P101+P102,O103)</f>
        <v>7852375.29</v>
      </c>
      <c r="Q103" s="5"/>
      <c r="R103" s="5"/>
      <c r="S103" s="5"/>
      <c r="T103" s="5"/>
      <c r="U103" s="5"/>
      <c r="V103" s="5"/>
      <c r="W103" s="5"/>
    </row>
    <row r="106" spans="1:23" x14ac:dyDescent="0.2">
      <c r="A106">
        <v>70</v>
      </c>
      <c r="B106">
        <v>1</v>
      </c>
      <c r="D106">
        <v>1</v>
      </c>
      <c r="E106" t="s">
        <v>116</v>
      </c>
      <c r="F106" t="s">
        <v>117</v>
      </c>
      <c r="G106">
        <v>0</v>
      </c>
      <c r="H106">
        <v>0</v>
      </c>
      <c r="I106" t="s">
        <v>6</v>
      </c>
      <c r="J106">
        <v>1</v>
      </c>
      <c r="K106">
        <v>0</v>
      </c>
      <c r="L106" t="s">
        <v>6</v>
      </c>
      <c r="M106" t="s">
        <v>6</v>
      </c>
      <c r="N106">
        <v>0</v>
      </c>
      <c r="O106">
        <v>0</v>
      </c>
    </row>
    <row r="107" spans="1:23" x14ac:dyDescent="0.2">
      <c r="A107">
        <v>70</v>
      </c>
      <c r="B107">
        <v>1</v>
      </c>
      <c r="D107">
        <v>2</v>
      </c>
      <c r="E107" t="s">
        <v>118</v>
      </c>
      <c r="F107" t="s">
        <v>119</v>
      </c>
      <c r="G107">
        <v>1</v>
      </c>
      <c r="H107">
        <v>0</v>
      </c>
      <c r="I107" t="s">
        <v>6</v>
      </c>
      <c r="J107">
        <v>1</v>
      </c>
      <c r="K107">
        <v>0</v>
      </c>
      <c r="L107" t="s">
        <v>6</v>
      </c>
      <c r="M107" t="s">
        <v>6</v>
      </c>
      <c r="N107">
        <v>0</v>
      </c>
      <c r="O107">
        <v>1</v>
      </c>
    </row>
    <row r="108" spans="1:23" x14ac:dyDescent="0.2">
      <c r="A108">
        <v>70</v>
      </c>
      <c r="B108">
        <v>1</v>
      </c>
      <c r="D108">
        <v>3</v>
      </c>
      <c r="E108" t="s">
        <v>120</v>
      </c>
      <c r="F108" t="s">
        <v>121</v>
      </c>
      <c r="G108">
        <v>0</v>
      </c>
      <c r="H108">
        <v>0</v>
      </c>
      <c r="I108" t="s">
        <v>6</v>
      </c>
      <c r="J108">
        <v>1</v>
      </c>
      <c r="K108">
        <v>0</v>
      </c>
      <c r="L108" t="s">
        <v>6</v>
      </c>
      <c r="M108" t="s">
        <v>6</v>
      </c>
      <c r="N108">
        <v>0</v>
      </c>
      <c r="O108">
        <v>0</v>
      </c>
    </row>
    <row r="109" spans="1:23" x14ac:dyDescent="0.2">
      <c r="A109">
        <v>70</v>
      </c>
      <c r="B109">
        <v>1</v>
      </c>
      <c r="D109">
        <v>4</v>
      </c>
      <c r="E109" t="s">
        <v>122</v>
      </c>
      <c r="F109" t="s">
        <v>123</v>
      </c>
      <c r="G109">
        <v>0</v>
      </c>
      <c r="H109">
        <v>0</v>
      </c>
      <c r="I109" t="s">
        <v>124</v>
      </c>
      <c r="J109">
        <v>0</v>
      </c>
      <c r="K109">
        <v>0</v>
      </c>
      <c r="L109" t="s">
        <v>6</v>
      </c>
      <c r="M109" t="s">
        <v>6</v>
      </c>
      <c r="N109">
        <v>0</v>
      </c>
      <c r="O109">
        <v>0</v>
      </c>
    </row>
    <row r="110" spans="1:23" x14ac:dyDescent="0.2">
      <c r="A110">
        <v>70</v>
      </c>
      <c r="B110">
        <v>1</v>
      </c>
      <c r="D110">
        <v>5</v>
      </c>
      <c r="E110" t="s">
        <v>125</v>
      </c>
      <c r="F110" t="s">
        <v>126</v>
      </c>
      <c r="G110">
        <v>0</v>
      </c>
      <c r="H110">
        <v>0</v>
      </c>
      <c r="I110" t="s">
        <v>127</v>
      </c>
      <c r="J110">
        <v>0</v>
      </c>
      <c r="K110">
        <v>0</v>
      </c>
      <c r="L110" t="s">
        <v>6</v>
      </c>
      <c r="M110" t="s">
        <v>6</v>
      </c>
      <c r="N110">
        <v>0</v>
      </c>
      <c r="O110">
        <v>0</v>
      </c>
    </row>
    <row r="111" spans="1:23" x14ac:dyDescent="0.2">
      <c r="A111">
        <v>70</v>
      </c>
      <c r="B111">
        <v>1</v>
      </c>
      <c r="D111">
        <v>6</v>
      </c>
      <c r="E111" t="s">
        <v>128</v>
      </c>
      <c r="F111" t="s">
        <v>129</v>
      </c>
      <c r="G111">
        <v>0</v>
      </c>
      <c r="H111">
        <v>0</v>
      </c>
      <c r="I111" t="s">
        <v>130</v>
      </c>
      <c r="J111">
        <v>0</v>
      </c>
      <c r="K111">
        <v>0</v>
      </c>
      <c r="L111" t="s">
        <v>6</v>
      </c>
      <c r="M111" t="s">
        <v>6</v>
      </c>
      <c r="N111">
        <v>0</v>
      </c>
      <c r="O111">
        <v>0</v>
      </c>
    </row>
    <row r="112" spans="1:23" x14ac:dyDescent="0.2">
      <c r="A112">
        <v>70</v>
      </c>
      <c r="B112">
        <v>1</v>
      </c>
      <c r="D112">
        <v>7</v>
      </c>
      <c r="E112" t="s">
        <v>131</v>
      </c>
      <c r="F112" t="s">
        <v>132</v>
      </c>
      <c r="G112">
        <v>0</v>
      </c>
      <c r="H112">
        <v>0</v>
      </c>
      <c r="I112" t="s">
        <v>6</v>
      </c>
      <c r="J112">
        <v>0</v>
      </c>
      <c r="K112">
        <v>0</v>
      </c>
      <c r="L112" t="s">
        <v>6</v>
      </c>
      <c r="M112" t="s">
        <v>6</v>
      </c>
      <c r="N112">
        <v>0</v>
      </c>
      <c r="O112">
        <v>0</v>
      </c>
    </row>
    <row r="113" spans="1:15" x14ac:dyDescent="0.2">
      <c r="A113">
        <v>70</v>
      </c>
      <c r="B113">
        <v>1</v>
      </c>
      <c r="D113">
        <v>8</v>
      </c>
      <c r="E113" t="s">
        <v>133</v>
      </c>
      <c r="F113" t="s">
        <v>134</v>
      </c>
      <c r="G113">
        <v>0</v>
      </c>
      <c r="H113">
        <v>0</v>
      </c>
      <c r="I113" t="s">
        <v>135</v>
      </c>
      <c r="J113">
        <v>0</v>
      </c>
      <c r="K113">
        <v>0</v>
      </c>
      <c r="L113" t="s">
        <v>6</v>
      </c>
      <c r="M113" t="s">
        <v>6</v>
      </c>
      <c r="N113">
        <v>0</v>
      </c>
      <c r="O113">
        <v>0</v>
      </c>
    </row>
    <row r="114" spans="1:15" x14ac:dyDescent="0.2">
      <c r="A114">
        <v>70</v>
      </c>
      <c r="B114">
        <v>1</v>
      </c>
      <c r="D114">
        <v>9</v>
      </c>
      <c r="E114" t="s">
        <v>136</v>
      </c>
      <c r="F114" t="s">
        <v>137</v>
      </c>
      <c r="G114">
        <v>0</v>
      </c>
      <c r="H114">
        <v>0</v>
      </c>
      <c r="I114" t="s">
        <v>138</v>
      </c>
      <c r="J114">
        <v>0</v>
      </c>
      <c r="K114">
        <v>0</v>
      </c>
      <c r="L114" t="s">
        <v>6</v>
      </c>
      <c r="M114" t="s">
        <v>6</v>
      </c>
      <c r="N114">
        <v>0</v>
      </c>
      <c r="O114">
        <v>0</v>
      </c>
    </row>
    <row r="115" spans="1:15" x14ac:dyDescent="0.2">
      <c r="A115">
        <v>70</v>
      </c>
      <c r="B115">
        <v>1</v>
      </c>
      <c r="D115">
        <v>10</v>
      </c>
      <c r="E115" t="s">
        <v>139</v>
      </c>
      <c r="F115" t="s">
        <v>140</v>
      </c>
      <c r="G115">
        <v>0</v>
      </c>
      <c r="H115">
        <v>0</v>
      </c>
      <c r="I115" t="s">
        <v>141</v>
      </c>
      <c r="J115">
        <v>0</v>
      </c>
      <c r="K115">
        <v>0</v>
      </c>
      <c r="L115" t="s">
        <v>6</v>
      </c>
      <c r="M115" t="s">
        <v>6</v>
      </c>
      <c r="N115">
        <v>0</v>
      </c>
      <c r="O115">
        <v>0</v>
      </c>
    </row>
    <row r="116" spans="1:15" x14ac:dyDescent="0.2">
      <c r="A116">
        <v>70</v>
      </c>
      <c r="B116">
        <v>1</v>
      </c>
      <c r="D116">
        <v>11</v>
      </c>
      <c r="E116" t="s">
        <v>142</v>
      </c>
      <c r="F116" t="s">
        <v>143</v>
      </c>
      <c r="G116">
        <v>0</v>
      </c>
      <c r="H116">
        <v>0</v>
      </c>
      <c r="I116" t="s">
        <v>144</v>
      </c>
      <c r="J116">
        <v>0</v>
      </c>
      <c r="K116">
        <v>0</v>
      </c>
      <c r="L116" t="s">
        <v>6</v>
      </c>
      <c r="M116" t="s">
        <v>6</v>
      </c>
      <c r="N116">
        <v>0</v>
      </c>
      <c r="O116">
        <v>0</v>
      </c>
    </row>
    <row r="117" spans="1:15" x14ac:dyDescent="0.2">
      <c r="A117">
        <v>70</v>
      </c>
      <c r="B117">
        <v>1</v>
      </c>
      <c r="D117">
        <v>12</v>
      </c>
      <c r="E117" t="s">
        <v>145</v>
      </c>
      <c r="F117" t="s">
        <v>146</v>
      </c>
      <c r="G117">
        <v>0</v>
      </c>
      <c r="H117">
        <v>0</v>
      </c>
      <c r="I117" t="s">
        <v>6</v>
      </c>
      <c r="J117">
        <v>0</v>
      </c>
      <c r="K117">
        <v>0</v>
      </c>
      <c r="L117" t="s">
        <v>6</v>
      </c>
      <c r="M117" t="s">
        <v>6</v>
      </c>
      <c r="N117">
        <v>0</v>
      </c>
      <c r="O117">
        <v>0</v>
      </c>
    </row>
    <row r="118" spans="1:15" x14ac:dyDescent="0.2">
      <c r="A118">
        <v>70</v>
      </c>
      <c r="B118">
        <v>1</v>
      </c>
      <c r="D118">
        <v>1</v>
      </c>
      <c r="E118" t="s">
        <v>147</v>
      </c>
      <c r="F118" t="s">
        <v>148</v>
      </c>
      <c r="G118">
        <v>0.9</v>
      </c>
      <c r="H118">
        <v>1</v>
      </c>
      <c r="I118" t="s">
        <v>149</v>
      </c>
      <c r="J118">
        <v>0</v>
      </c>
      <c r="K118">
        <v>0</v>
      </c>
      <c r="L118" t="s">
        <v>6</v>
      </c>
      <c r="M118" t="s">
        <v>6</v>
      </c>
      <c r="N118">
        <v>0</v>
      </c>
      <c r="O118">
        <v>0.9</v>
      </c>
    </row>
    <row r="119" spans="1:15" x14ac:dyDescent="0.2">
      <c r="A119">
        <v>70</v>
      </c>
      <c r="B119">
        <v>1</v>
      </c>
      <c r="D119">
        <v>2</v>
      </c>
      <c r="E119" t="s">
        <v>150</v>
      </c>
      <c r="F119" t="s">
        <v>151</v>
      </c>
      <c r="G119">
        <v>0.85</v>
      </c>
      <c r="H119">
        <v>1</v>
      </c>
      <c r="I119" t="s">
        <v>152</v>
      </c>
      <c r="J119">
        <v>0</v>
      </c>
      <c r="K119">
        <v>0</v>
      </c>
      <c r="L119" t="s">
        <v>6</v>
      </c>
      <c r="M119" t="s">
        <v>6</v>
      </c>
      <c r="N119">
        <v>0</v>
      </c>
      <c r="O119">
        <v>0.85</v>
      </c>
    </row>
    <row r="120" spans="1:15" x14ac:dyDescent="0.2">
      <c r="A120">
        <v>70</v>
      </c>
      <c r="B120">
        <v>1</v>
      </c>
      <c r="D120">
        <v>3</v>
      </c>
      <c r="E120" t="s">
        <v>153</v>
      </c>
      <c r="F120" t="s">
        <v>154</v>
      </c>
      <c r="G120">
        <v>1</v>
      </c>
      <c r="H120">
        <v>0.85</v>
      </c>
      <c r="I120" t="s">
        <v>155</v>
      </c>
      <c r="J120">
        <v>0</v>
      </c>
      <c r="K120">
        <v>0</v>
      </c>
      <c r="L120" t="s">
        <v>6</v>
      </c>
      <c r="M120" t="s">
        <v>6</v>
      </c>
      <c r="N120">
        <v>0</v>
      </c>
      <c r="O120">
        <v>1</v>
      </c>
    </row>
    <row r="121" spans="1:15" x14ac:dyDescent="0.2">
      <c r="A121">
        <v>70</v>
      </c>
      <c r="B121">
        <v>1</v>
      </c>
      <c r="D121">
        <v>4</v>
      </c>
      <c r="E121" t="s">
        <v>156</v>
      </c>
      <c r="F121" t="s">
        <v>157</v>
      </c>
      <c r="G121">
        <v>1</v>
      </c>
      <c r="H121">
        <v>0</v>
      </c>
      <c r="I121" t="s">
        <v>6</v>
      </c>
      <c r="J121">
        <v>0</v>
      </c>
      <c r="K121">
        <v>0</v>
      </c>
      <c r="L121" t="s">
        <v>6</v>
      </c>
      <c r="M121" t="s">
        <v>6</v>
      </c>
      <c r="N121">
        <v>0</v>
      </c>
      <c r="O121">
        <v>1</v>
      </c>
    </row>
    <row r="122" spans="1:15" x14ac:dyDescent="0.2">
      <c r="A122">
        <v>70</v>
      </c>
      <c r="B122">
        <v>1</v>
      </c>
      <c r="D122">
        <v>5</v>
      </c>
      <c r="E122" t="s">
        <v>158</v>
      </c>
      <c r="F122" t="s">
        <v>159</v>
      </c>
      <c r="G122">
        <v>1</v>
      </c>
      <c r="H122">
        <v>0.8</v>
      </c>
      <c r="I122" t="s">
        <v>160</v>
      </c>
      <c r="J122">
        <v>0</v>
      </c>
      <c r="K122">
        <v>0</v>
      </c>
      <c r="L122" t="s">
        <v>6</v>
      </c>
      <c r="M122" t="s">
        <v>6</v>
      </c>
      <c r="N122">
        <v>0</v>
      </c>
      <c r="O122">
        <v>1</v>
      </c>
    </row>
    <row r="123" spans="1:15" x14ac:dyDescent="0.2">
      <c r="A123">
        <v>70</v>
      </c>
      <c r="B123">
        <v>1</v>
      </c>
      <c r="D123">
        <v>6</v>
      </c>
      <c r="E123" t="s">
        <v>161</v>
      </c>
      <c r="F123" t="s">
        <v>162</v>
      </c>
      <c r="G123">
        <v>1</v>
      </c>
      <c r="H123">
        <v>0</v>
      </c>
      <c r="I123" t="s">
        <v>6</v>
      </c>
      <c r="J123">
        <v>0</v>
      </c>
      <c r="K123">
        <v>0</v>
      </c>
      <c r="L123" t="s">
        <v>6</v>
      </c>
      <c r="M123" t="s">
        <v>6</v>
      </c>
      <c r="N123">
        <v>0</v>
      </c>
      <c r="O123">
        <v>0.85</v>
      </c>
    </row>
    <row r="124" spans="1:15" x14ac:dyDescent="0.2">
      <c r="A124">
        <v>70</v>
      </c>
      <c r="B124">
        <v>1</v>
      </c>
      <c r="D124">
        <v>7</v>
      </c>
      <c r="E124" t="s">
        <v>163</v>
      </c>
      <c r="F124" t="s">
        <v>164</v>
      </c>
      <c r="G124">
        <v>1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  <c r="O124">
        <v>0.8</v>
      </c>
    </row>
    <row r="125" spans="1:15" x14ac:dyDescent="0.2">
      <c r="A125">
        <v>70</v>
      </c>
      <c r="B125">
        <v>1</v>
      </c>
      <c r="D125">
        <v>8</v>
      </c>
      <c r="E125" t="s">
        <v>165</v>
      </c>
      <c r="F125" t="s">
        <v>166</v>
      </c>
      <c r="G125">
        <v>0.7</v>
      </c>
      <c r="H125">
        <v>0</v>
      </c>
      <c r="I125" t="s">
        <v>6</v>
      </c>
      <c r="J125">
        <v>0</v>
      </c>
      <c r="K125">
        <v>0</v>
      </c>
      <c r="L125" t="s">
        <v>6</v>
      </c>
      <c r="M125" t="s">
        <v>6</v>
      </c>
      <c r="N125">
        <v>0</v>
      </c>
      <c r="O125">
        <v>0.94</v>
      </c>
    </row>
    <row r="126" spans="1:15" x14ac:dyDescent="0.2">
      <c r="A126">
        <v>70</v>
      </c>
      <c r="B126">
        <v>1</v>
      </c>
      <c r="D126">
        <v>9</v>
      </c>
      <c r="E126" t="s">
        <v>167</v>
      </c>
      <c r="F126" t="s">
        <v>168</v>
      </c>
      <c r="G126">
        <v>0.9</v>
      </c>
      <c r="H126">
        <v>0</v>
      </c>
      <c r="I126" t="s">
        <v>6</v>
      </c>
      <c r="J126">
        <v>0</v>
      </c>
      <c r="K126">
        <v>0</v>
      </c>
      <c r="L126" t="s">
        <v>6</v>
      </c>
      <c r="M126" t="s">
        <v>6</v>
      </c>
      <c r="N126">
        <v>0</v>
      </c>
      <c r="O126">
        <v>0.9</v>
      </c>
    </row>
    <row r="127" spans="1:15" x14ac:dyDescent="0.2">
      <c r="A127">
        <v>70</v>
      </c>
      <c r="B127">
        <v>1</v>
      </c>
      <c r="D127">
        <v>10</v>
      </c>
      <c r="E127" t="s">
        <v>169</v>
      </c>
      <c r="F127" t="s">
        <v>170</v>
      </c>
      <c r="G127">
        <v>0.6</v>
      </c>
      <c r="H127">
        <v>0</v>
      </c>
      <c r="I127" t="s">
        <v>6</v>
      </c>
      <c r="J127">
        <v>0</v>
      </c>
      <c r="K127">
        <v>0</v>
      </c>
      <c r="L127" t="s">
        <v>6</v>
      </c>
      <c r="M127" t="s">
        <v>6</v>
      </c>
      <c r="N127">
        <v>0</v>
      </c>
      <c r="O127">
        <v>0.6</v>
      </c>
    </row>
    <row r="128" spans="1:15" x14ac:dyDescent="0.2">
      <c r="A128">
        <v>70</v>
      </c>
      <c r="B128">
        <v>1</v>
      </c>
      <c r="D128">
        <v>11</v>
      </c>
      <c r="E128" t="s">
        <v>171</v>
      </c>
      <c r="F128" t="s">
        <v>172</v>
      </c>
      <c r="G128">
        <v>1.2</v>
      </c>
      <c r="H128">
        <v>0</v>
      </c>
      <c r="I128" t="s">
        <v>6</v>
      </c>
      <c r="J128">
        <v>0</v>
      </c>
      <c r="K128">
        <v>0</v>
      </c>
      <c r="L128" t="s">
        <v>6</v>
      </c>
      <c r="M128" t="s">
        <v>6</v>
      </c>
      <c r="N128">
        <v>0</v>
      </c>
      <c r="O128">
        <v>1.2</v>
      </c>
    </row>
    <row r="129" spans="1:34" x14ac:dyDescent="0.2">
      <c r="A129">
        <v>70</v>
      </c>
      <c r="B129">
        <v>1</v>
      </c>
      <c r="D129">
        <v>12</v>
      </c>
      <c r="E129" t="s">
        <v>173</v>
      </c>
      <c r="F129" t="s">
        <v>174</v>
      </c>
      <c r="G129">
        <v>0</v>
      </c>
      <c r="H129">
        <v>0</v>
      </c>
      <c r="I129" t="s">
        <v>6</v>
      </c>
      <c r="J129">
        <v>0</v>
      </c>
      <c r="K129">
        <v>0</v>
      </c>
      <c r="L129" t="s">
        <v>6</v>
      </c>
      <c r="M129" t="s">
        <v>6</v>
      </c>
      <c r="N129">
        <v>0</v>
      </c>
      <c r="O129">
        <v>0</v>
      </c>
    </row>
    <row r="130" spans="1:34" x14ac:dyDescent="0.2">
      <c r="A130">
        <v>70</v>
      </c>
      <c r="B130">
        <v>1</v>
      </c>
      <c r="D130">
        <v>13</v>
      </c>
      <c r="E130" t="s">
        <v>175</v>
      </c>
      <c r="F130" t="s">
        <v>176</v>
      </c>
      <c r="G130">
        <v>1</v>
      </c>
      <c r="H130">
        <v>0</v>
      </c>
      <c r="I130" t="s">
        <v>6</v>
      </c>
      <c r="J130">
        <v>0</v>
      </c>
      <c r="K130">
        <v>0</v>
      </c>
      <c r="L130" t="s">
        <v>6</v>
      </c>
      <c r="M130" t="s">
        <v>6</v>
      </c>
      <c r="N130">
        <v>0</v>
      </c>
      <c r="O130">
        <v>0.94</v>
      </c>
    </row>
    <row r="132" spans="1:34" x14ac:dyDescent="0.2">
      <c r="A132">
        <v>-1</v>
      </c>
    </row>
    <row r="134" spans="1:34" x14ac:dyDescent="0.2">
      <c r="A134" s="4">
        <v>75</v>
      </c>
      <c r="B134" s="4" t="s">
        <v>177</v>
      </c>
      <c r="C134" s="4">
        <v>2000</v>
      </c>
      <c r="D134" s="4">
        <v>0</v>
      </c>
      <c r="E134" s="4">
        <v>1</v>
      </c>
      <c r="F134" s="4">
        <v>0</v>
      </c>
      <c r="G134" s="4">
        <v>0</v>
      </c>
      <c r="H134" s="4">
        <v>1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16492569</v>
      </c>
      <c r="O134" s="4">
        <v>1</v>
      </c>
    </row>
    <row r="135" spans="1:34" x14ac:dyDescent="0.2">
      <c r="A135" s="4">
        <v>75</v>
      </c>
      <c r="B135" s="4" t="s">
        <v>178</v>
      </c>
      <c r="C135" s="4">
        <v>2017</v>
      </c>
      <c r="D135" s="4">
        <v>4</v>
      </c>
      <c r="E135" s="4">
        <v>0</v>
      </c>
      <c r="F135" s="4"/>
      <c r="G135" s="4">
        <v>0</v>
      </c>
      <c r="H135" s="4">
        <v>1</v>
      </c>
      <c r="I135" s="4">
        <v>0</v>
      </c>
      <c r="J135" s="4">
        <v>1</v>
      </c>
      <c r="K135" s="4">
        <v>0</v>
      </c>
      <c r="L135" s="4">
        <v>0</v>
      </c>
      <c r="M135" s="4">
        <v>1</v>
      </c>
      <c r="N135" s="4">
        <v>16492570</v>
      </c>
      <c r="O135" s="4">
        <v>2</v>
      </c>
    </row>
    <row r="136" spans="1:34" x14ac:dyDescent="0.2">
      <c r="A136" s="6">
        <v>3</v>
      </c>
      <c r="B136" s="6" t="s">
        <v>179</v>
      </c>
      <c r="C136" s="6">
        <v>6.83</v>
      </c>
      <c r="D136" s="6">
        <v>1</v>
      </c>
      <c r="E136" s="6">
        <v>1</v>
      </c>
      <c r="F136" s="6">
        <v>1</v>
      </c>
      <c r="G136" s="6">
        <v>1</v>
      </c>
      <c r="H136" s="6">
        <v>1</v>
      </c>
      <c r="I136" s="6">
        <v>1</v>
      </c>
      <c r="J136" s="6">
        <v>1</v>
      </c>
      <c r="K136" s="6">
        <v>1</v>
      </c>
      <c r="L136" s="6">
        <v>1</v>
      </c>
      <c r="M136" s="6">
        <v>6.83</v>
      </c>
      <c r="N136" s="6">
        <v>1</v>
      </c>
      <c r="O136" s="6">
        <v>1</v>
      </c>
      <c r="P136" s="6">
        <v>1</v>
      </c>
      <c r="Q136" s="6">
        <v>1</v>
      </c>
      <c r="R136" s="6">
        <v>1</v>
      </c>
      <c r="S136" s="6" t="s">
        <v>6</v>
      </c>
      <c r="T136" s="6" t="s">
        <v>6</v>
      </c>
      <c r="U136" s="6" t="s">
        <v>6</v>
      </c>
      <c r="V136" s="6" t="s">
        <v>6</v>
      </c>
      <c r="W136" s="6" t="s">
        <v>6</v>
      </c>
      <c r="X136" s="6" t="s">
        <v>6</v>
      </c>
      <c r="Y136" s="6" t="s">
        <v>6</v>
      </c>
      <c r="Z136" s="6" t="s">
        <v>6</v>
      </c>
      <c r="AA136" s="6" t="s">
        <v>6</v>
      </c>
      <c r="AB136" s="6" t="s">
        <v>6</v>
      </c>
      <c r="AC136" s="6" t="s">
        <v>6</v>
      </c>
      <c r="AD136" s="6" t="s">
        <v>6</v>
      </c>
      <c r="AE136" s="6" t="s">
        <v>6</v>
      </c>
      <c r="AF136" s="6" t="s">
        <v>6</v>
      </c>
      <c r="AG136" s="6" t="s">
        <v>6</v>
      </c>
      <c r="AH136" s="6" t="s">
        <v>6</v>
      </c>
    </row>
    <row r="140" spans="1:34" x14ac:dyDescent="0.2">
      <c r="A140">
        <v>65</v>
      </c>
      <c r="C140">
        <v>1</v>
      </c>
      <c r="D140">
        <v>0</v>
      </c>
      <c r="E140">
        <v>245</v>
      </c>
    </row>
  </sheetData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180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16492569</v>
      </c>
      <c r="E14" s="1">
        <v>16492570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(Source!F58)/1000</f>
        <v>974.31263000000001</v>
      </c>
      <c r="F16" s="8">
        <f>(Source!F59)/1000</f>
        <v>0</v>
      </c>
      <c r="G16" s="8">
        <f>(Source!F50)/1000</f>
        <v>0</v>
      </c>
      <c r="H16" s="8">
        <f>(Source!F60)/1000+(Source!F61)/1000</f>
        <v>0</v>
      </c>
      <c r="I16" s="8">
        <f>E16+F16+G16+H16</f>
        <v>974.31263000000001</v>
      </c>
      <c r="J16" s="8">
        <f>(Source!F56)/1000</f>
        <v>84.41534</v>
      </c>
      <c r="T16" s="9">
        <f>(Source!P58)/1000</f>
        <v>6654.5553300000001</v>
      </c>
      <c r="U16" s="9">
        <f>(Source!P59)/1000</f>
        <v>0</v>
      </c>
      <c r="V16" s="9">
        <f>(Source!P50)/1000</f>
        <v>0</v>
      </c>
      <c r="W16" s="9">
        <f>(Source!P60)/1000+(Source!P61)/1000</f>
        <v>0</v>
      </c>
      <c r="X16" s="9">
        <f>T16+U16+V16+W16</f>
        <v>6654.5553300000001</v>
      </c>
      <c r="Y16" s="9">
        <f>(Source!P56)/1000</f>
        <v>576.55680000000007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826387.08</v>
      </c>
      <c r="AU16" s="8">
        <v>740919.08</v>
      </c>
      <c r="AV16" s="8">
        <v>0</v>
      </c>
      <c r="AW16" s="8">
        <v>0</v>
      </c>
      <c r="AX16" s="8">
        <v>0</v>
      </c>
      <c r="AY16" s="8">
        <v>1052.6600000000001</v>
      </c>
      <c r="AZ16" s="8">
        <v>571.54999999999995</v>
      </c>
      <c r="BA16" s="8">
        <v>84415.34</v>
      </c>
      <c r="BB16" s="8">
        <v>974312.63</v>
      </c>
      <c r="BC16" s="8">
        <v>0</v>
      </c>
      <c r="BD16" s="8">
        <v>0</v>
      </c>
      <c r="BE16" s="8">
        <v>0</v>
      </c>
      <c r="BF16" s="8">
        <v>9660.3888345000014</v>
      </c>
      <c r="BG16" s="8">
        <v>53.794469999999997</v>
      </c>
      <c r="BH16" s="8">
        <v>0</v>
      </c>
      <c r="BI16" s="8">
        <v>93415.19</v>
      </c>
      <c r="BJ16" s="8">
        <v>54510.36</v>
      </c>
      <c r="BK16" s="8">
        <v>1149688.8999999999</v>
      </c>
      <c r="BR16" s="9">
        <v>5644223.75</v>
      </c>
      <c r="BS16" s="9">
        <v>5060477.24</v>
      </c>
      <c r="BT16" s="9">
        <v>0</v>
      </c>
      <c r="BU16" s="9">
        <v>0</v>
      </c>
      <c r="BV16" s="9">
        <v>0</v>
      </c>
      <c r="BW16" s="9">
        <v>7189.71</v>
      </c>
      <c r="BX16" s="9">
        <v>3903.77</v>
      </c>
      <c r="BY16" s="9">
        <v>576556.80000000005</v>
      </c>
      <c r="BZ16" s="9">
        <v>6654555.3300000001</v>
      </c>
      <c r="CA16" s="9">
        <v>0</v>
      </c>
      <c r="CB16" s="9">
        <v>0</v>
      </c>
      <c r="CC16" s="9">
        <v>0</v>
      </c>
      <c r="CD16" s="9">
        <v>9660.3888345000014</v>
      </c>
      <c r="CE16" s="9">
        <v>53.794469999999997</v>
      </c>
      <c r="CF16" s="9">
        <v>0</v>
      </c>
      <c r="CG16" s="9">
        <v>638025.79</v>
      </c>
      <c r="CH16" s="9">
        <v>372305.79</v>
      </c>
      <c r="CI16" s="9">
        <v>7852375.29</v>
      </c>
    </row>
    <row r="18" spans="1:40" x14ac:dyDescent="0.2">
      <c r="A18">
        <v>51</v>
      </c>
      <c r="E18" s="10">
        <f>SUMIF(A16:A17,3,E16:E17)</f>
        <v>974.31263000000001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974.31263000000001</v>
      </c>
      <c r="J18" s="10">
        <f>SUMIF(A16:A17,3,J16:J17)</f>
        <v>84.41534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6654.5553300000001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6654.5553300000001</v>
      </c>
      <c r="Y18" s="3">
        <f>SUMIF(A16:A17,3,Y16:Y17)</f>
        <v>576.55680000000007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826387.08</v>
      </c>
      <c r="G20" s="5" t="s">
        <v>59</v>
      </c>
      <c r="H20" s="5" t="s">
        <v>60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5644223.75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740919.08</v>
      </c>
      <c r="G21" s="5" t="s">
        <v>61</v>
      </c>
      <c r="H21" s="5" t="s">
        <v>62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5060477.24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63</v>
      </c>
      <c r="H22" s="5" t="s">
        <v>64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740919.08</v>
      </c>
      <c r="G23" s="5" t="s">
        <v>65</v>
      </c>
      <c r="H23" s="5" t="s">
        <v>66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5060477.24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740919.08</v>
      </c>
      <c r="G24" s="5" t="s">
        <v>67</v>
      </c>
      <c r="H24" s="5" t="s">
        <v>68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5060477.24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69</v>
      </c>
      <c r="H25" s="5" t="s">
        <v>70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740919.08</v>
      </c>
      <c r="G26" s="5" t="s">
        <v>71</v>
      </c>
      <c r="H26" s="5" t="s">
        <v>72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5060477.24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73</v>
      </c>
      <c r="H27" s="5" t="s">
        <v>74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75</v>
      </c>
      <c r="H28" s="5" t="s">
        <v>76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77</v>
      </c>
      <c r="H29" s="5" t="s">
        <v>78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1052.6600000000001</v>
      </c>
      <c r="G30" s="5" t="s">
        <v>79</v>
      </c>
      <c r="H30" s="5" t="s">
        <v>80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7189.71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81</v>
      </c>
      <c r="H31" s="5" t="s">
        <v>82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571.54999999999995</v>
      </c>
      <c r="G32" s="5" t="s">
        <v>83</v>
      </c>
      <c r="H32" s="5" t="s">
        <v>84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3903.77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84415.34</v>
      </c>
      <c r="G33" s="5" t="s">
        <v>85</v>
      </c>
      <c r="H33" s="5" t="s">
        <v>86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576556.80000000005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87</v>
      </c>
      <c r="H34" s="5" t="s">
        <v>88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974312.63</v>
      </c>
      <c r="G35" s="5" t="s">
        <v>89</v>
      </c>
      <c r="H35" s="5" t="s">
        <v>90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6654555.3300000001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91</v>
      </c>
      <c r="H36" s="5" t="s">
        <v>92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93</v>
      </c>
      <c r="H37" s="5" t="s">
        <v>94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95</v>
      </c>
      <c r="H38" s="5" t="s">
        <v>96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97</v>
      </c>
      <c r="H39" s="5" t="s">
        <v>98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9660.3888345000014</v>
      </c>
      <c r="G40" s="5" t="s">
        <v>99</v>
      </c>
      <c r="H40" s="5" t="s">
        <v>100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9660.3888345000014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53.794469999999997</v>
      </c>
      <c r="G41" s="5" t="s">
        <v>101</v>
      </c>
      <c r="H41" s="5" t="s">
        <v>102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53.794469999999997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103</v>
      </c>
      <c r="H42" s="5" t="s">
        <v>104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93415.19</v>
      </c>
      <c r="G43" s="5" t="s">
        <v>105</v>
      </c>
      <c r="H43" s="5" t="s">
        <v>106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638025.79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54510.36</v>
      </c>
      <c r="G44" s="5" t="s">
        <v>107</v>
      </c>
      <c r="H44" s="5" t="s">
        <v>108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372305.79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974312.63</v>
      </c>
      <c r="G45" s="5" t="s">
        <v>109</v>
      </c>
      <c r="H45" s="5" t="s">
        <v>110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6654555.3300000001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974312.63</v>
      </c>
      <c r="G46" s="5" t="s">
        <v>111</v>
      </c>
      <c r="H46" s="5" t="s">
        <v>109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6654555.3300000001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175376.27</v>
      </c>
      <c r="G47" s="5" t="s">
        <v>112</v>
      </c>
      <c r="H47" s="5" t="s">
        <v>113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1197819.96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1149688.8999999999</v>
      </c>
      <c r="G48" s="5" t="s">
        <v>114</v>
      </c>
      <c r="H48" s="5" t="s">
        <v>115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7852375.29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177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16492569</v>
      </c>
      <c r="O53" s="4">
        <v>1</v>
      </c>
    </row>
    <row r="54" spans="1:34" x14ac:dyDescent="0.2">
      <c r="A54" s="4">
        <v>75</v>
      </c>
      <c r="B54" s="4" t="s">
        <v>178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16492570</v>
      </c>
      <c r="O54" s="4">
        <v>2</v>
      </c>
    </row>
    <row r="55" spans="1:34" x14ac:dyDescent="0.2">
      <c r="A55" s="6">
        <v>3</v>
      </c>
      <c r="B55" s="6" t="s">
        <v>179</v>
      </c>
      <c r="C55" s="6">
        <v>6.83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6.83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16492569</v>
      </c>
      <c r="C1">
        <v>16492632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181</v>
      </c>
      <c r="J1" t="s">
        <v>6</v>
      </c>
      <c r="K1" t="s">
        <v>182</v>
      </c>
      <c r="L1">
        <v>1191</v>
      </c>
      <c r="N1">
        <v>1013</v>
      </c>
      <c r="O1" t="s">
        <v>183</v>
      </c>
      <c r="P1" t="s">
        <v>183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7.8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3.77</v>
      </c>
      <c r="AU1" t="s">
        <v>6</v>
      </c>
      <c r="AV1">
        <v>1</v>
      </c>
      <c r="AW1">
        <v>2</v>
      </c>
      <c r="AX1">
        <v>16492634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99.403590000000008</v>
      </c>
      <c r="CY1">
        <f>AD1</f>
        <v>7.8</v>
      </c>
      <c r="CZ1">
        <f>AH1</f>
        <v>7.8</v>
      </c>
      <c r="DA1">
        <f>AL1</f>
        <v>1</v>
      </c>
      <c r="DB1">
        <v>0</v>
      </c>
    </row>
    <row r="2" spans="1:106" x14ac:dyDescent="0.2">
      <c r="A2">
        <f>ROW(Source!A25)</f>
        <v>25</v>
      </c>
      <c r="B2">
        <v>16492570</v>
      </c>
      <c r="C2">
        <v>16492632</v>
      </c>
      <c r="D2">
        <v>15430517</v>
      </c>
      <c r="E2">
        <v>1</v>
      </c>
      <c r="F2">
        <v>1</v>
      </c>
      <c r="G2">
        <v>1</v>
      </c>
      <c r="H2">
        <v>1</v>
      </c>
      <c r="I2" t="s">
        <v>181</v>
      </c>
      <c r="J2" t="s">
        <v>6</v>
      </c>
      <c r="K2" t="s">
        <v>182</v>
      </c>
      <c r="L2">
        <v>1191</v>
      </c>
      <c r="N2">
        <v>1013</v>
      </c>
      <c r="O2" t="s">
        <v>183</v>
      </c>
      <c r="P2" t="s">
        <v>183</v>
      </c>
      <c r="Q2">
        <v>1</v>
      </c>
      <c r="W2">
        <v>0</v>
      </c>
      <c r="X2">
        <v>735429535</v>
      </c>
      <c r="Y2">
        <v>3.77</v>
      </c>
      <c r="AA2">
        <v>0</v>
      </c>
      <c r="AB2">
        <v>0</v>
      </c>
      <c r="AC2">
        <v>0</v>
      </c>
      <c r="AD2">
        <v>53.27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6.83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3.77</v>
      </c>
      <c r="AU2" t="s">
        <v>6</v>
      </c>
      <c r="AV2">
        <v>1</v>
      </c>
      <c r="AW2">
        <v>2</v>
      </c>
      <c r="AX2">
        <v>16492634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99.403590000000008</v>
      </c>
      <c r="CY2">
        <f>AD2</f>
        <v>53.27</v>
      </c>
      <c r="CZ2">
        <f>AH2</f>
        <v>7.8</v>
      </c>
      <c r="DA2">
        <f>AL2</f>
        <v>6.83</v>
      </c>
      <c r="DB2">
        <v>0</v>
      </c>
    </row>
    <row r="3" spans="1:106" x14ac:dyDescent="0.2">
      <c r="A3">
        <f>ROW(Source!A26)</f>
        <v>26</v>
      </c>
      <c r="B3">
        <v>16492569</v>
      </c>
      <c r="C3">
        <v>16492636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181</v>
      </c>
      <c r="J3" t="s">
        <v>6</v>
      </c>
      <c r="K3" t="s">
        <v>182</v>
      </c>
      <c r="L3">
        <v>1191</v>
      </c>
      <c r="N3">
        <v>1013</v>
      </c>
      <c r="O3" t="s">
        <v>183</v>
      </c>
      <c r="P3" t="s">
        <v>183</v>
      </c>
      <c r="Q3">
        <v>1</v>
      </c>
      <c r="W3">
        <v>0</v>
      </c>
      <c r="X3">
        <v>735429535</v>
      </c>
      <c r="Y3">
        <v>11.39</v>
      </c>
      <c r="AA3">
        <v>0</v>
      </c>
      <c r="AB3">
        <v>0</v>
      </c>
      <c r="AC3">
        <v>0</v>
      </c>
      <c r="AD3">
        <v>7.8</v>
      </c>
      <c r="AE3">
        <v>0</v>
      </c>
      <c r="AF3">
        <v>0</v>
      </c>
      <c r="AG3">
        <v>0</v>
      </c>
      <c r="AH3">
        <v>7.8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11.39</v>
      </c>
      <c r="AU3" t="s">
        <v>6</v>
      </c>
      <c r="AV3">
        <v>1</v>
      </c>
      <c r="AW3">
        <v>2</v>
      </c>
      <c r="AX3">
        <v>16492640</v>
      </c>
      <c r="AY3">
        <v>1</v>
      </c>
      <c r="AZ3">
        <v>0</v>
      </c>
      <c r="BA3">
        <v>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275.71773000000002</v>
      </c>
      <c r="CY3">
        <f>AD3</f>
        <v>7.8</v>
      </c>
      <c r="CZ3">
        <f>AH3</f>
        <v>7.8</v>
      </c>
      <c r="DA3">
        <f>AL3</f>
        <v>1</v>
      </c>
      <c r="DB3">
        <v>0</v>
      </c>
    </row>
    <row r="4" spans="1:106" x14ac:dyDescent="0.2">
      <c r="A4">
        <f>ROW(Source!A26)</f>
        <v>26</v>
      </c>
      <c r="B4">
        <v>16492569</v>
      </c>
      <c r="C4">
        <v>16492636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184</v>
      </c>
      <c r="J4" t="s">
        <v>6</v>
      </c>
      <c r="K4" t="s">
        <v>185</v>
      </c>
      <c r="L4">
        <v>1191</v>
      </c>
      <c r="N4">
        <v>1013</v>
      </c>
      <c r="O4" t="s">
        <v>183</v>
      </c>
      <c r="P4" t="s">
        <v>183</v>
      </c>
      <c r="Q4">
        <v>1</v>
      </c>
      <c r="W4">
        <v>0</v>
      </c>
      <c r="X4">
        <v>-1417349443</v>
      </c>
      <c r="Y4">
        <v>0.13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0.13</v>
      </c>
      <c r="AU4" t="s">
        <v>6</v>
      </c>
      <c r="AV4">
        <v>2</v>
      </c>
      <c r="AW4">
        <v>2</v>
      </c>
      <c r="AX4">
        <v>16492641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3.1469100000000001</v>
      </c>
      <c r="CY4">
        <f>AD4</f>
        <v>0</v>
      </c>
      <c r="CZ4">
        <f>AH4</f>
        <v>0</v>
      </c>
      <c r="DA4">
        <f>AL4</f>
        <v>1</v>
      </c>
      <c r="DB4">
        <v>0</v>
      </c>
    </row>
    <row r="5" spans="1:106" x14ac:dyDescent="0.2">
      <c r="A5">
        <f>ROW(Source!A26)</f>
        <v>26</v>
      </c>
      <c r="B5">
        <v>16492569</v>
      </c>
      <c r="C5">
        <v>16492636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186</v>
      </c>
      <c r="J5" t="s">
        <v>187</v>
      </c>
      <c r="K5" t="s">
        <v>188</v>
      </c>
      <c r="L5">
        <v>1368</v>
      </c>
      <c r="N5">
        <v>1011</v>
      </c>
      <c r="O5" t="s">
        <v>189</v>
      </c>
      <c r="P5" t="s">
        <v>189</v>
      </c>
      <c r="Q5">
        <v>1</v>
      </c>
      <c r="W5">
        <v>0</v>
      </c>
      <c r="X5">
        <v>1188625873</v>
      </c>
      <c r="Y5">
        <v>0.13</v>
      </c>
      <c r="AA5">
        <v>0</v>
      </c>
      <c r="AB5">
        <v>31.26</v>
      </c>
      <c r="AC5">
        <v>13.5</v>
      </c>
      <c r="AD5">
        <v>0</v>
      </c>
      <c r="AE5">
        <v>0</v>
      </c>
      <c r="AF5">
        <v>31.26</v>
      </c>
      <c r="AG5">
        <v>13.5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0.13</v>
      </c>
      <c r="AU5" t="s">
        <v>6</v>
      </c>
      <c r="AV5">
        <v>0</v>
      </c>
      <c r="AW5">
        <v>2</v>
      </c>
      <c r="AX5">
        <v>16492642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3.1469100000000001</v>
      </c>
      <c r="CY5">
        <f>AB5</f>
        <v>31.26</v>
      </c>
      <c r="CZ5">
        <f>AF5</f>
        <v>31.26</v>
      </c>
      <c r="DA5">
        <f>AJ5</f>
        <v>1</v>
      </c>
      <c r="DB5">
        <v>0</v>
      </c>
    </row>
    <row r="6" spans="1:106" x14ac:dyDescent="0.2">
      <c r="A6">
        <f>ROW(Source!A27)</f>
        <v>27</v>
      </c>
      <c r="B6">
        <v>16492570</v>
      </c>
      <c r="C6">
        <v>16492636</v>
      </c>
      <c r="D6">
        <v>15430517</v>
      </c>
      <c r="E6">
        <v>1</v>
      </c>
      <c r="F6">
        <v>1</v>
      </c>
      <c r="G6">
        <v>1</v>
      </c>
      <c r="H6">
        <v>1</v>
      </c>
      <c r="I6" t="s">
        <v>181</v>
      </c>
      <c r="J6" t="s">
        <v>6</v>
      </c>
      <c r="K6" t="s">
        <v>182</v>
      </c>
      <c r="L6">
        <v>1191</v>
      </c>
      <c r="N6">
        <v>1013</v>
      </c>
      <c r="O6" t="s">
        <v>183</v>
      </c>
      <c r="P6" t="s">
        <v>183</v>
      </c>
      <c r="Q6">
        <v>1</v>
      </c>
      <c r="W6">
        <v>0</v>
      </c>
      <c r="X6">
        <v>735429535</v>
      </c>
      <c r="Y6">
        <v>11.39</v>
      </c>
      <c r="AA6">
        <v>0</v>
      </c>
      <c r="AB6">
        <v>0</v>
      </c>
      <c r="AC6">
        <v>0</v>
      </c>
      <c r="AD6">
        <v>53.27</v>
      </c>
      <c r="AE6">
        <v>0</v>
      </c>
      <c r="AF6">
        <v>0</v>
      </c>
      <c r="AG6">
        <v>0</v>
      </c>
      <c r="AH6">
        <v>7.8</v>
      </c>
      <c r="AI6">
        <v>1</v>
      </c>
      <c r="AJ6">
        <v>1</v>
      </c>
      <c r="AK6">
        <v>1</v>
      </c>
      <c r="AL6">
        <v>6.83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11.39</v>
      </c>
      <c r="AU6" t="s">
        <v>6</v>
      </c>
      <c r="AV6">
        <v>1</v>
      </c>
      <c r="AW6">
        <v>2</v>
      </c>
      <c r="AX6">
        <v>16492640</v>
      </c>
      <c r="AY6">
        <v>1</v>
      </c>
      <c r="AZ6">
        <v>0</v>
      </c>
      <c r="BA6">
        <v>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Y6*Source!I27</f>
        <v>275.71773000000002</v>
      </c>
      <c r="CY6">
        <f>AD6</f>
        <v>53.27</v>
      </c>
      <c r="CZ6">
        <f>AH6</f>
        <v>7.8</v>
      </c>
      <c r="DA6">
        <f>AL6</f>
        <v>6.83</v>
      </c>
      <c r="DB6">
        <v>0</v>
      </c>
    </row>
    <row r="7" spans="1:106" x14ac:dyDescent="0.2">
      <c r="A7">
        <f>ROW(Source!A27)</f>
        <v>27</v>
      </c>
      <c r="B7">
        <v>16492570</v>
      </c>
      <c r="C7">
        <v>16492636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184</v>
      </c>
      <c r="J7" t="s">
        <v>6</v>
      </c>
      <c r="K7" t="s">
        <v>185</v>
      </c>
      <c r="L7">
        <v>1191</v>
      </c>
      <c r="N7">
        <v>1013</v>
      </c>
      <c r="O7" t="s">
        <v>183</v>
      </c>
      <c r="P7" t="s">
        <v>183</v>
      </c>
      <c r="Q7">
        <v>1</v>
      </c>
      <c r="W7">
        <v>0</v>
      </c>
      <c r="X7">
        <v>-1417349443</v>
      </c>
      <c r="Y7">
        <v>0.13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6.83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0.13</v>
      </c>
      <c r="AU7" t="s">
        <v>6</v>
      </c>
      <c r="AV7">
        <v>2</v>
      </c>
      <c r="AW7">
        <v>2</v>
      </c>
      <c r="AX7">
        <v>16492641</v>
      </c>
      <c r="AY7">
        <v>1</v>
      </c>
      <c r="AZ7">
        <v>0</v>
      </c>
      <c r="BA7">
        <v>10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3.1469100000000001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ROW(Source!A27)</f>
        <v>27</v>
      </c>
      <c r="B8">
        <v>16492570</v>
      </c>
      <c r="C8">
        <v>16492636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186</v>
      </c>
      <c r="J8" t="s">
        <v>187</v>
      </c>
      <c r="K8" t="s">
        <v>188</v>
      </c>
      <c r="L8">
        <v>1368</v>
      </c>
      <c r="N8">
        <v>1011</v>
      </c>
      <c r="O8" t="s">
        <v>189</v>
      </c>
      <c r="P8" t="s">
        <v>189</v>
      </c>
      <c r="Q8">
        <v>1</v>
      </c>
      <c r="W8">
        <v>0</v>
      </c>
      <c r="X8">
        <v>1188625873</v>
      </c>
      <c r="Y8">
        <v>0.13</v>
      </c>
      <c r="AA8">
        <v>0</v>
      </c>
      <c r="AB8">
        <v>213.51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6.83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0.13</v>
      </c>
      <c r="AU8" t="s">
        <v>6</v>
      </c>
      <c r="AV8">
        <v>0</v>
      </c>
      <c r="AW8">
        <v>2</v>
      </c>
      <c r="AX8">
        <v>16492642</v>
      </c>
      <c r="AY8">
        <v>1</v>
      </c>
      <c r="AZ8">
        <v>0</v>
      </c>
      <c r="BA8">
        <v>11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3.1469100000000001</v>
      </c>
      <c r="CY8">
        <f>AB8</f>
        <v>213.51</v>
      </c>
      <c r="CZ8">
        <f>AF8</f>
        <v>31.26</v>
      </c>
      <c r="DA8">
        <f>AJ8</f>
        <v>6.83</v>
      </c>
      <c r="DB8">
        <v>0</v>
      </c>
    </row>
    <row r="9" spans="1:106" x14ac:dyDescent="0.2">
      <c r="A9">
        <f>ROW(Source!A28)</f>
        <v>28</v>
      </c>
      <c r="B9">
        <v>16492569</v>
      </c>
      <c r="C9">
        <v>16492644</v>
      </c>
      <c r="D9">
        <v>15430767</v>
      </c>
      <c r="E9">
        <v>1</v>
      </c>
      <c r="F9">
        <v>1</v>
      </c>
      <c r="G9">
        <v>1</v>
      </c>
      <c r="H9">
        <v>1</v>
      </c>
      <c r="I9" t="s">
        <v>190</v>
      </c>
      <c r="J9" t="s">
        <v>6</v>
      </c>
      <c r="K9" t="s">
        <v>191</v>
      </c>
      <c r="L9">
        <v>1191</v>
      </c>
      <c r="N9">
        <v>1013</v>
      </c>
      <c r="O9" t="s">
        <v>183</v>
      </c>
      <c r="P9" t="s">
        <v>183</v>
      </c>
      <c r="Q9">
        <v>1</v>
      </c>
      <c r="W9">
        <v>0</v>
      </c>
      <c r="X9">
        <v>-400197608</v>
      </c>
      <c r="Y9">
        <v>43.320499999999996</v>
      </c>
      <c r="AA9">
        <v>0</v>
      </c>
      <c r="AB9">
        <v>0</v>
      </c>
      <c r="AC9">
        <v>0</v>
      </c>
      <c r="AD9">
        <v>8.5299999999999994</v>
      </c>
      <c r="AE9">
        <v>0</v>
      </c>
      <c r="AF9">
        <v>0</v>
      </c>
      <c r="AG9">
        <v>0</v>
      </c>
      <c r="AH9">
        <v>8.5299999999999994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37.67</v>
      </c>
      <c r="AU9" t="s">
        <v>31</v>
      </c>
      <c r="AV9">
        <v>1</v>
      </c>
      <c r="AW9">
        <v>2</v>
      </c>
      <c r="AX9">
        <v>16492652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1048.6593435</v>
      </c>
      <c r="CY9">
        <f>AD9</f>
        <v>8.5299999999999994</v>
      </c>
      <c r="CZ9">
        <f>AH9</f>
        <v>8.5299999999999994</v>
      </c>
      <c r="DA9">
        <f>AL9</f>
        <v>1</v>
      </c>
      <c r="DB9">
        <v>0</v>
      </c>
    </row>
    <row r="10" spans="1:106" x14ac:dyDescent="0.2">
      <c r="A10">
        <f>ROW(Source!A28)</f>
        <v>28</v>
      </c>
      <c r="B10">
        <v>16492569</v>
      </c>
      <c r="C10">
        <v>16492644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184</v>
      </c>
      <c r="J10" t="s">
        <v>6</v>
      </c>
      <c r="K10" t="s">
        <v>185</v>
      </c>
      <c r="L10">
        <v>1191</v>
      </c>
      <c r="N10">
        <v>1013</v>
      </c>
      <c r="O10" t="s">
        <v>183</v>
      </c>
      <c r="P10" t="s">
        <v>183</v>
      </c>
      <c r="Q10">
        <v>1</v>
      </c>
      <c r="W10">
        <v>0</v>
      </c>
      <c r="X10">
        <v>-1417349443</v>
      </c>
      <c r="Y10">
        <v>0.17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0.17</v>
      </c>
      <c r="AU10" t="s">
        <v>6</v>
      </c>
      <c r="AV10">
        <v>2</v>
      </c>
      <c r="AW10">
        <v>2</v>
      </c>
      <c r="AX10">
        <v>16492653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4.1151900000000001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ROW(Source!A28)</f>
        <v>28</v>
      </c>
      <c r="B11">
        <v>16492569</v>
      </c>
      <c r="C11">
        <v>16492644</v>
      </c>
      <c r="D11">
        <v>15247970</v>
      </c>
      <c r="E11">
        <v>1</v>
      </c>
      <c r="F11">
        <v>1</v>
      </c>
      <c r="G11">
        <v>1</v>
      </c>
      <c r="H11">
        <v>2</v>
      </c>
      <c r="I11" t="s">
        <v>192</v>
      </c>
      <c r="J11" t="s">
        <v>193</v>
      </c>
      <c r="K11" t="s">
        <v>194</v>
      </c>
      <c r="L11">
        <v>1368</v>
      </c>
      <c r="N11">
        <v>1011</v>
      </c>
      <c r="O11" t="s">
        <v>189</v>
      </c>
      <c r="P11" t="s">
        <v>189</v>
      </c>
      <c r="Q11">
        <v>1</v>
      </c>
      <c r="W11">
        <v>0</v>
      </c>
      <c r="X11">
        <v>368031958</v>
      </c>
      <c r="Y11">
        <v>0.16250000000000001</v>
      </c>
      <c r="AA11">
        <v>0</v>
      </c>
      <c r="AB11">
        <v>27.66</v>
      </c>
      <c r="AC11">
        <v>11.6</v>
      </c>
      <c r="AD11">
        <v>0</v>
      </c>
      <c r="AE11">
        <v>0</v>
      </c>
      <c r="AF11">
        <v>27.66</v>
      </c>
      <c r="AG11">
        <v>11.6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0.13</v>
      </c>
      <c r="AU11" t="s">
        <v>30</v>
      </c>
      <c r="AV11">
        <v>0</v>
      </c>
      <c r="AW11">
        <v>2</v>
      </c>
      <c r="AX11">
        <v>16492654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3.9336375000000001</v>
      </c>
      <c r="CY11">
        <f>AB11</f>
        <v>27.66</v>
      </c>
      <c r="CZ11">
        <f>AF11</f>
        <v>27.66</v>
      </c>
      <c r="DA11">
        <f>AJ11</f>
        <v>1</v>
      </c>
      <c r="DB11">
        <v>0</v>
      </c>
    </row>
    <row r="12" spans="1:106" x14ac:dyDescent="0.2">
      <c r="A12">
        <f>ROW(Source!A28)</f>
        <v>28</v>
      </c>
      <c r="B12">
        <v>16492569</v>
      </c>
      <c r="C12">
        <v>16492644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195</v>
      </c>
      <c r="J12" t="s">
        <v>196</v>
      </c>
      <c r="K12" t="s">
        <v>197</v>
      </c>
      <c r="L12">
        <v>1368</v>
      </c>
      <c r="N12">
        <v>1011</v>
      </c>
      <c r="O12" t="s">
        <v>189</v>
      </c>
      <c r="P12" t="s">
        <v>189</v>
      </c>
      <c r="Q12">
        <v>1</v>
      </c>
      <c r="W12">
        <v>0</v>
      </c>
      <c r="X12">
        <v>1372534845</v>
      </c>
      <c r="Y12">
        <v>0.05</v>
      </c>
      <c r="AA12">
        <v>0</v>
      </c>
      <c r="AB12">
        <v>65.709999999999994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0.04</v>
      </c>
      <c r="AU12" t="s">
        <v>30</v>
      </c>
      <c r="AV12">
        <v>0</v>
      </c>
      <c r="AW12">
        <v>2</v>
      </c>
      <c r="AX12">
        <v>16492655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1.21035</v>
      </c>
      <c r="CY12">
        <f>AB12</f>
        <v>65.709999999999994</v>
      </c>
      <c r="CZ12">
        <f>AF12</f>
        <v>65.709999999999994</v>
      </c>
      <c r="DA12">
        <f>AJ12</f>
        <v>1</v>
      </c>
      <c r="DB12">
        <v>0</v>
      </c>
    </row>
    <row r="13" spans="1:106" x14ac:dyDescent="0.2">
      <c r="A13">
        <f>ROW(Source!A28)</f>
        <v>28</v>
      </c>
      <c r="B13">
        <v>16492569</v>
      </c>
      <c r="C13">
        <v>16492644</v>
      </c>
      <c r="D13">
        <v>15167286</v>
      </c>
      <c r="E13">
        <v>1</v>
      </c>
      <c r="F13">
        <v>1</v>
      </c>
      <c r="G13">
        <v>1</v>
      </c>
      <c r="H13">
        <v>3</v>
      </c>
      <c r="I13" t="s">
        <v>198</v>
      </c>
      <c r="J13" t="s">
        <v>199</v>
      </c>
      <c r="K13" t="s">
        <v>200</v>
      </c>
      <c r="L13">
        <v>1339</v>
      </c>
      <c r="N13">
        <v>1007</v>
      </c>
      <c r="O13" t="s">
        <v>201</v>
      </c>
      <c r="P13" t="s">
        <v>201</v>
      </c>
      <c r="Q13">
        <v>1</v>
      </c>
      <c r="W13">
        <v>0</v>
      </c>
      <c r="X13">
        <v>-1660354250</v>
      </c>
      <c r="Y13">
        <v>0.17399999999999999</v>
      </c>
      <c r="AA13">
        <v>2.44</v>
      </c>
      <c r="AB13">
        <v>0</v>
      </c>
      <c r="AC13">
        <v>0</v>
      </c>
      <c r="AD13">
        <v>0</v>
      </c>
      <c r="AE13">
        <v>2.44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0.17399999999999999</v>
      </c>
      <c r="AU13" t="s">
        <v>6</v>
      </c>
      <c r="AV13">
        <v>0</v>
      </c>
      <c r="AW13">
        <v>2</v>
      </c>
      <c r="AX13">
        <v>16492656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4.2120179999999996</v>
      </c>
      <c r="CY13">
        <f>AA13</f>
        <v>2.44</v>
      </c>
      <c r="CZ13">
        <f>AE13</f>
        <v>2.44</v>
      </c>
      <c r="DA13">
        <f>AI13</f>
        <v>1</v>
      </c>
      <c r="DB13">
        <v>0</v>
      </c>
    </row>
    <row r="14" spans="1:106" x14ac:dyDescent="0.2">
      <c r="A14">
        <f>ROW(Source!A28)</f>
        <v>28</v>
      </c>
      <c r="B14">
        <v>16492569</v>
      </c>
      <c r="C14">
        <v>16492644</v>
      </c>
      <c r="D14">
        <v>15172906</v>
      </c>
      <c r="E14">
        <v>1</v>
      </c>
      <c r="F14">
        <v>1</v>
      </c>
      <c r="G14">
        <v>1</v>
      </c>
      <c r="H14">
        <v>3</v>
      </c>
      <c r="I14" t="s">
        <v>202</v>
      </c>
      <c r="J14" t="s">
        <v>203</v>
      </c>
      <c r="K14" t="s">
        <v>204</v>
      </c>
      <c r="L14">
        <v>1348</v>
      </c>
      <c r="N14">
        <v>1009</v>
      </c>
      <c r="O14" t="s">
        <v>205</v>
      </c>
      <c r="P14" t="s">
        <v>205</v>
      </c>
      <c r="Q14">
        <v>1000</v>
      </c>
      <c r="W14">
        <v>0</v>
      </c>
      <c r="X14">
        <v>-2114578287</v>
      </c>
      <c r="Y14">
        <v>0.9</v>
      </c>
      <c r="AA14">
        <v>11381.57</v>
      </c>
      <c r="AB14">
        <v>0</v>
      </c>
      <c r="AC14">
        <v>0</v>
      </c>
      <c r="AD14">
        <v>0</v>
      </c>
      <c r="AE14">
        <v>11381.57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0.9</v>
      </c>
      <c r="AU14" t="s">
        <v>6</v>
      </c>
      <c r="AV14">
        <v>0</v>
      </c>
      <c r="AW14">
        <v>2</v>
      </c>
      <c r="AX14">
        <v>16492657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21.786300000000001</v>
      </c>
      <c r="CY14">
        <f>AA14</f>
        <v>11381.57</v>
      </c>
      <c r="CZ14">
        <f>AE14</f>
        <v>11381.57</v>
      </c>
      <c r="DA14">
        <f>AI14</f>
        <v>1</v>
      </c>
      <c r="DB14">
        <v>0</v>
      </c>
    </row>
    <row r="15" spans="1:106" x14ac:dyDescent="0.2">
      <c r="A15">
        <f>ROW(Source!A28)</f>
        <v>28</v>
      </c>
      <c r="B15">
        <v>16492569</v>
      </c>
      <c r="C15">
        <v>16492644</v>
      </c>
      <c r="D15">
        <v>15203485</v>
      </c>
      <c r="E15">
        <v>1</v>
      </c>
      <c r="F15">
        <v>1</v>
      </c>
      <c r="G15">
        <v>1</v>
      </c>
      <c r="H15">
        <v>3</v>
      </c>
      <c r="I15" t="s">
        <v>206</v>
      </c>
      <c r="J15" t="s">
        <v>207</v>
      </c>
      <c r="K15" t="s">
        <v>208</v>
      </c>
      <c r="L15">
        <v>1346</v>
      </c>
      <c r="N15">
        <v>1009</v>
      </c>
      <c r="O15" t="s">
        <v>57</v>
      </c>
      <c r="P15" t="s">
        <v>57</v>
      </c>
      <c r="Q15">
        <v>1</v>
      </c>
      <c r="W15">
        <v>0</v>
      </c>
      <c r="X15">
        <v>303141801</v>
      </c>
      <c r="Y15">
        <v>30</v>
      </c>
      <c r="AA15">
        <v>15.25</v>
      </c>
      <c r="AB15">
        <v>0</v>
      </c>
      <c r="AC15">
        <v>0</v>
      </c>
      <c r="AD15">
        <v>0</v>
      </c>
      <c r="AE15">
        <v>15.25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30</v>
      </c>
      <c r="AU15" t="s">
        <v>6</v>
      </c>
      <c r="AV15">
        <v>0</v>
      </c>
      <c r="AW15">
        <v>2</v>
      </c>
      <c r="AX15">
        <v>16492658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726.21</v>
      </c>
      <c r="CY15">
        <f>AA15</f>
        <v>15.25</v>
      </c>
      <c r="CZ15">
        <f>AE15</f>
        <v>15.25</v>
      </c>
      <c r="DA15">
        <f>AI15</f>
        <v>1</v>
      </c>
      <c r="DB15">
        <v>0</v>
      </c>
    </row>
    <row r="16" spans="1:106" x14ac:dyDescent="0.2">
      <c r="A16">
        <f>ROW(Source!A29)</f>
        <v>29</v>
      </c>
      <c r="B16">
        <v>16492570</v>
      </c>
      <c r="C16">
        <v>16492644</v>
      </c>
      <c r="D16">
        <v>15430767</v>
      </c>
      <c r="E16">
        <v>1</v>
      </c>
      <c r="F16">
        <v>1</v>
      </c>
      <c r="G16">
        <v>1</v>
      </c>
      <c r="H16">
        <v>1</v>
      </c>
      <c r="I16" t="s">
        <v>190</v>
      </c>
      <c r="J16" t="s">
        <v>6</v>
      </c>
      <c r="K16" t="s">
        <v>191</v>
      </c>
      <c r="L16">
        <v>1191</v>
      </c>
      <c r="N16">
        <v>1013</v>
      </c>
      <c r="O16" t="s">
        <v>183</v>
      </c>
      <c r="P16" t="s">
        <v>183</v>
      </c>
      <c r="Q16">
        <v>1</v>
      </c>
      <c r="W16">
        <v>0</v>
      </c>
      <c r="X16">
        <v>-400197608</v>
      </c>
      <c r="Y16">
        <v>43.320499999999996</v>
      </c>
      <c r="AA16">
        <v>0</v>
      </c>
      <c r="AB16">
        <v>0</v>
      </c>
      <c r="AC16">
        <v>0</v>
      </c>
      <c r="AD16">
        <v>58.26</v>
      </c>
      <c r="AE16">
        <v>0</v>
      </c>
      <c r="AF16">
        <v>0</v>
      </c>
      <c r="AG16">
        <v>0</v>
      </c>
      <c r="AH16">
        <v>8.5299999999999994</v>
      </c>
      <c r="AI16">
        <v>1</v>
      </c>
      <c r="AJ16">
        <v>1</v>
      </c>
      <c r="AK16">
        <v>1</v>
      </c>
      <c r="AL16">
        <v>6.83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37.67</v>
      </c>
      <c r="AU16" t="s">
        <v>31</v>
      </c>
      <c r="AV16">
        <v>1</v>
      </c>
      <c r="AW16">
        <v>2</v>
      </c>
      <c r="AX16">
        <v>16492652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1048.6593435</v>
      </c>
      <c r="CY16">
        <f>AD16</f>
        <v>58.26</v>
      </c>
      <c r="CZ16">
        <f>AH16</f>
        <v>8.5299999999999994</v>
      </c>
      <c r="DA16">
        <f>AL16</f>
        <v>6.83</v>
      </c>
      <c r="DB16">
        <v>0</v>
      </c>
    </row>
    <row r="17" spans="1:106" x14ac:dyDescent="0.2">
      <c r="A17">
        <f>ROW(Source!A29)</f>
        <v>29</v>
      </c>
      <c r="B17">
        <v>16492570</v>
      </c>
      <c r="C17">
        <v>16492644</v>
      </c>
      <c r="D17">
        <v>15430395</v>
      </c>
      <c r="E17">
        <v>1</v>
      </c>
      <c r="F17">
        <v>1</v>
      </c>
      <c r="G17">
        <v>1</v>
      </c>
      <c r="H17">
        <v>1</v>
      </c>
      <c r="I17" t="s">
        <v>184</v>
      </c>
      <c r="J17" t="s">
        <v>6</v>
      </c>
      <c r="K17" t="s">
        <v>185</v>
      </c>
      <c r="L17">
        <v>1191</v>
      </c>
      <c r="N17">
        <v>1013</v>
      </c>
      <c r="O17" t="s">
        <v>183</v>
      </c>
      <c r="P17" t="s">
        <v>183</v>
      </c>
      <c r="Q17">
        <v>1</v>
      </c>
      <c r="W17">
        <v>0</v>
      </c>
      <c r="X17">
        <v>-1417349443</v>
      </c>
      <c r="Y17">
        <v>0.17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6.83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0.17</v>
      </c>
      <c r="AU17" t="s">
        <v>6</v>
      </c>
      <c r="AV17">
        <v>2</v>
      </c>
      <c r="AW17">
        <v>2</v>
      </c>
      <c r="AX17">
        <v>16492653</v>
      </c>
      <c r="AY17">
        <v>1</v>
      </c>
      <c r="AZ17">
        <v>2048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4.1151900000000001</v>
      </c>
      <c r="CY17">
        <f>AD17</f>
        <v>0</v>
      </c>
      <c r="CZ17">
        <f>AH17</f>
        <v>0</v>
      </c>
      <c r="DA17">
        <f>AL17</f>
        <v>1</v>
      </c>
      <c r="DB17">
        <v>0</v>
      </c>
    </row>
    <row r="18" spans="1:106" x14ac:dyDescent="0.2">
      <c r="A18">
        <f>ROW(Source!A29)</f>
        <v>29</v>
      </c>
      <c r="B18">
        <v>16492570</v>
      </c>
      <c r="C18">
        <v>16492644</v>
      </c>
      <c r="D18">
        <v>15247970</v>
      </c>
      <c r="E18">
        <v>1</v>
      </c>
      <c r="F18">
        <v>1</v>
      </c>
      <c r="G18">
        <v>1</v>
      </c>
      <c r="H18">
        <v>2</v>
      </c>
      <c r="I18" t="s">
        <v>192</v>
      </c>
      <c r="J18" t="s">
        <v>193</v>
      </c>
      <c r="K18" t="s">
        <v>194</v>
      </c>
      <c r="L18">
        <v>1368</v>
      </c>
      <c r="N18">
        <v>1011</v>
      </c>
      <c r="O18" t="s">
        <v>189</v>
      </c>
      <c r="P18" t="s">
        <v>189</v>
      </c>
      <c r="Q18">
        <v>1</v>
      </c>
      <c r="W18">
        <v>0</v>
      </c>
      <c r="X18">
        <v>368031958</v>
      </c>
      <c r="Y18">
        <v>0.16250000000000001</v>
      </c>
      <c r="AA18">
        <v>0</v>
      </c>
      <c r="AB18">
        <v>188.92</v>
      </c>
      <c r="AC18">
        <v>11.6</v>
      </c>
      <c r="AD18">
        <v>0</v>
      </c>
      <c r="AE18">
        <v>0</v>
      </c>
      <c r="AF18">
        <v>27.66</v>
      </c>
      <c r="AG18">
        <v>11.6</v>
      </c>
      <c r="AH18">
        <v>0</v>
      </c>
      <c r="AI18">
        <v>1</v>
      </c>
      <c r="AJ18">
        <v>6.83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0.13</v>
      </c>
      <c r="AU18" t="s">
        <v>30</v>
      </c>
      <c r="AV18">
        <v>0</v>
      </c>
      <c r="AW18">
        <v>2</v>
      </c>
      <c r="AX18">
        <v>16492654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3.9336375000000001</v>
      </c>
      <c r="CY18">
        <f>AB18</f>
        <v>188.92</v>
      </c>
      <c r="CZ18">
        <f>AF18</f>
        <v>27.66</v>
      </c>
      <c r="DA18">
        <f>AJ18</f>
        <v>6.83</v>
      </c>
      <c r="DB18">
        <v>0</v>
      </c>
    </row>
    <row r="19" spans="1:106" x14ac:dyDescent="0.2">
      <c r="A19">
        <f>ROW(Source!A29)</f>
        <v>29</v>
      </c>
      <c r="B19">
        <v>16492570</v>
      </c>
      <c r="C19">
        <v>16492644</v>
      </c>
      <c r="D19">
        <v>15249073</v>
      </c>
      <c r="E19">
        <v>1</v>
      </c>
      <c r="F19">
        <v>1</v>
      </c>
      <c r="G19">
        <v>1</v>
      </c>
      <c r="H19">
        <v>2</v>
      </c>
      <c r="I19" t="s">
        <v>195</v>
      </c>
      <c r="J19" t="s">
        <v>196</v>
      </c>
      <c r="K19" t="s">
        <v>197</v>
      </c>
      <c r="L19">
        <v>1368</v>
      </c>
      <c r="N19">
        <v>1011</v>
      </c>
      <c r="O19" t="s">
        <v>189</v>
      </c>
      <c r="P19" t="s">
        <v>189</v>
      </c>
      <c r="Q19">
        <v>1</v>
      </c>
      <c r="W19">
        <v>0</v>
      </c>
      <c r="X19">
        <v>1372534845</v>
      </c>
      <c r="Y19">
        <v>0.05</v>
      </c>
      <c r="AA19">
        <v>0</v>
      </c>
      <c r="AB19">
        <v>448.8</v>
      </c>
      <c r="AC19">
        <v>11.6</v>
      </c>
      <c r="AD19">
        <v>0</v>
      </c>
      <c r="AE19">
        <v>0</v>
      </c>
      <c r="AF19">
        <v>65.709999999999994</v>
      </c>
      <c r="AG19">
        <v>11.6</v>
      </c>
      <c r="AH19">
        <v>0</v>
      </c>
      <c r="AI19">
        <v>1</v>
      </c>
      <c r="AJ19">
        <v>6.83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0.04</v>
      </c>
      <c r="AU19" t="s">
        <v>30</v>
      </c>
      <c r="AV19">
        <v>0</v>
      </c>
      <c r="AW19">
        <v>2</v>
      </c>
      <c r="AX19">
        <v>16492655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1.21035</v>
      </c>
      <c r="CY19">
        <f>AB19</f>
        <v>448.8</v>
      </c>
      <c r="CZ19">
        <f>AF19</f>
        <v>65.709999999999994</v>
      </c>
      <c r="DA19">
        <f>AJ19</f>
        <v>6.83</v>
      </c>
      <c r="DB19">
        <v>0</v>
      </c>
    </row>
    <row r="20" spans="1:106" x14ac:dyDescent="0.2">
      <c r="A20">
        <f>ROW(Source!A29)</f>
        <v>29</v>
      </c>
      <c r="B20">
        <v>16492570</v>
      </c>
      <c r="C20">
        <v>16492644</v>
      </c>
      <c r="D20">
        <v>15167286</v>
      </c>
      <c r="E20">
        <v>1</v>
      </c>
      <c r="F20">
        <v>1</v>
      </c>
      <c r="G20">
        <v>1</v>
      </c>
      <c r="H20">
        <v>3</v>
      </c>
      <c r="I20" t="s">
        <v>198</v>
      </c>
      <c r="J20" t="s">
        <v>199</v>
      </c>
      <c r="K20" t="s">
        <v>200</v>
      </c>
      <c r="L20">
        <v>1339</v>
      </c>
      <c r="N20">
        <v>1007</v>
      </c>
      <c r="O20" t="s">
        <v>201</v>
      </c>
      <c r="P20" t="s">
        <v>201</v>
      </c>
      <c r="Q20">
        <v>1</v>
      </c>
      <c r="W20">
        <v>0</v>
      </c>
      <c r="X20">
        <v>-1660354250</v>
      </c>
      <c r="Y20">
        <v>0.17399999999999999</v>
      </c>
      <c r="AA20">
        <v>16.670000000000002</v>
      </c>
      <c r="AB20">
        <v>0</v>
      </c>
      <c r="AC20">
        <v>0</v>
      </c>
      <c r="AD20">
        <v>0</v>
      </c>
      <c r="AE20">
        <v>2.44</v>
      </c>
      <c r="AF20">
        <v>0</v>
      </c>
      <c r="AG20">
        <v>0</v>
      </c>
      <c r="AH20">
        <v>0</v>
      </c>
      <c r="AI20">
        <v>6.83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0.17399999999999999</v>
      </c>
      <c r="AU20" t="s">
        <v>6</v>
      </c>
      <c r="AV20">
        <v>0</v>
      </c>
      <c r="AW20">
        <v>2</v>
      </c>
      <c r="AX20">
        <v>16492656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4.2120179999999996</v>
      </c>
      <c r="CY20">
        <f>AA20</f>
        <v>16.670000000000002</v>
      </c>
      <c r="CZ20">
        <f>AE20</f>
        <v>2.44</v>
      </c>
      <c r="DA20">
        <f>AI20</f>
        <v>6.83</v>
      </c>
      <c r="DB20">
        <v>0</v>
      </c>
    </row>
    <row r="21" spans="1:106" x14ac:dyDescent="0.2">
      <c r="A21">
        <f>ROW(Source!A29)</f>
        <v>29</v>
      </c>
      <c r="B21">
        <v>16492570</v>
      </c>
      <c r="C21">
        <v>16492644</v>
      </c>
      <c r="D21">
        <v>15172906</v>
      </c>
      <c r="E21">
        <v>1</v>
      </c>
      <c r="F21">
        <v>1</v>
      </c>
      <c r="G21">
        <v>1</v>
      </c>
      <c r="H21">
        <v>3</v>
      </c>
      <c r="I21" t="s">
        <v>202</v>
      </c>
      <c r="J21" t="s">
        <v>203</v>
      </c>
      <c r="K21" t="s">
        <v>204</v>
      </c>
      <c r="L21">
        <v>1348</v>
      </c>
      <c r="N21">
        <v>1009</v>
      </c>
      <c r="O21" t="s">
        <v>205</v>
      </c>
      <c r="P21" t="s">
        <v>205</v>
      </c>
      <c r="Q21">
        <v>1000</v>
      </c>
      <c r="W21">
        <v>0</v>
      </c>
      <c r="X21">
        <v>-2114578287</v>
      </c>
      <c r="Y21">
        <v>0.9</v>
      </c>
      <c r="AA21">
        <v>77736.12</v>
      </c>
      <c r="AB21">
        <v>0</v>
      </c>
      <c r="AC21">
        <v>0</v>
      </c>
      <c r="AD21">
        <v>0</v>
      </c>
      <c r="AE21">
        <v>11381.57</v>
      </c>
      <c r="AF21">
        <v>0</v>
      </c>
      <c r="AG21">
        <v>0</v>
      </c>
      <c r="AH21">
        <v>0</v>
      </c>
      <c r="AI21">
        <v>6.83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0.9</v>
      </c>
      <c r="AU21" t="s">
        <v>6</v>
      </c>
      <c r="AV21">
        <v>0</v>
      </c>
      <c r="AW21">
        <v>2</v>
      </c>
      <c r="AX21">
        <v>16492657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</f>
        <v>21.786300000000001</v>
      </c>
      <c r="CY21">
        <f>AA21</f>
        <v>77736.12</v>
      </c>
      <c r="CZ21">
        <f>AE21</f>
        <v>11381.57</v>
      </c>
      <c r="DA21">
        <f>AI21</f>
        <v>6.83</v>
      </c>
      <c r="DB21">
        <v>0</v>
      </c>
    </row>
    <row r="22" spans="1:106" x14ac:dyDescent="0.2">
      <c r="A22">
        <f>ROW(Source!A29)</f>
        <v>29</v>
      </c>
      <c r="B22">
        <v>16492570</v>
      </c>
      <c r="C22">
        <v>16492644</v>
      </c>
      <c r="D22">
        <v>15203485</v>
      </c>
      <c r="E22">
        <v>1</v>
      </c>
      <c r="F22">
        <v>1</v>
      </c>
      <c r="G22">
        <v>1</v>
      </c>
      <c r="H22">
        <v>3</v>
      </c>
      <c r="I22" t="s">
        <v>206</v>
      </c>
      <c r="J22" t="s">
        <v>207</v>
      </c>
      <c r="K22" t="s">
        <v>208</v>
      </c>
      <c r="L22">
        <v>1346</v>
      </c>
      <c r="N22">
        <v>1009</v>
      </c>
      <c r="O22" t="s">
        <v>57</v>
      </c>
      <c r="P22" t="s">
        <v>57</v>
      </c>
      <c r="Q22">
        <v>1</v>
      </c>
      <c r="W22">
        <v>0</v>
      </c>
      <c r="X22">
        <v>303141801</v>
      </c>
      <c r="Y22">
        <v>30</v>
      </c>
      <c r="AA22">
        <v>104.16</v>
      </c>
      <c r="AB22">
        <v>0</v>
      </c>
      <c r="AC22">
        <v>0</v>
      </c>
      <c r="AD22">
        <v>0</v>
      </c>
      <c r="AE22">
        <v>15.25</v>
      </c>
      <c r="AF22">
        <v>0</v>
      </c>
      <c r="AG22">
        <v>0</v>
      </c>
      <c r="AH22">
        <v>0</v>
      </c>
      <c r="AI22">
        <v>6.83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30</v>
      </c>
      <c r="AU22" t="s">
        <v>6</v>
      </c>
      <c r="AV22">
        <v>0</v>
      </c>
      <c r="AW22">
        <v>2</v>
      </c>
      <c r="AX22">
        <v>16492658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726.21</v>
      </c>
      <c r="CY22">
        <f>AA22</f>
        <v>104.16</v>
      </c>
      <c r="CZ22">
        <f>AE22</f>
        <v>15.25</v>
      </c>
      <c r="DA22">
        <f>AI22</f>
        <v>6.83</v>
      </c>
      <c r="DB22">
        <v>0</v>
      </c>
    </row>
    <row r="23" spans="1:106" x14ac:dyDescent="0.2">
      <c r="A23">
        <f>ROW(Source!A30)</f>
        <v>30</v>
      </c>
      <c r="B23">
        <v>16492569</v>
      </c>
      <c r="C23">
        <v>16495847</v>
      </c>
      <c r="D23">
        <v>15436014</v>
      </c>
      <c r="E23">
        <v>1</v>
      </c>
      <c r="F23">
        <v>1</v>
      </c>
      <c r="G23">
        <v>1</v>
      </c>
      <c r="H23">
        <v>1</v>
      </c>
      <c r="I23" t="s">
        <v>209</v>
      </c>
      <c r="J23" t="s">
        <v>6</v>
      </c>
      <c r="K23" t="s">
        <v>210</v>
      </c>
      <c r="L23">
        <v>1191</v>
      </c>
      <c r="N23">
        <v>1013</v>
      </c>
      <c r="O23" t="s">
        <v>183</v>
      </c>
      <c r="P23" t="s">
        <v>183</v>
      </c>
      <c r="Q23">
        <v>1</v>
      </c>
      <c r="W23">
        <v>0</v>
      </c>
      <c r="X23">
        <v>-784637506</v>
      </c>
      <c r="Y23">
        <v>310.42</v>
      </c>
      <c r="AA23">
        <v>0</v>
      </c>
      <c r="AB23">
        <v>0</v>
      </c>
      <c r="AC23">
        <v>0</v>
      </c>
      <c r="AD23">
        <v>8.74</v>
      </c>
      <c r="AE23">
        <v>0</v>
      </c>
      <c r="AF23">
        <v>0</v>
      </c>
      <c r="AG23">
        <v>0</v>
      </c>
      <c r="AH23">
        <v>8.74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310.42</v>
      </c>
      <c r="AU23" t="s">
        <v>6</v>
      </c>
      <c r="AV23">
        <v>1</v>
      </c>
      <c r="AW23">
        <v>2</v>
      </c>
      <c r="AX23">
        <v>16495848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7514.3369400000011</v>
      </c>
      <c r="CY23">
        <f>AD23</f>
        <v>8.74</v>
      </c>
      <c r="CZ23">
        <f>AH23</f>
        <v>8.74</v>
      </c>
      <c r="DA23">
        <f>AL23</f>
        <v>1</v>
      </c>
      <c r="DB23">
        <v>0</v>
      </c>
    </row>
    <row r="24" spans="1:106" x14ac:dyDescent="0.2">
      <c r="A24">
        <f>ROW(Source!A30)</f>
        <v>30</v>
      </c>
      <c r="B24">
        <v>16492569</v>
      </c>
      <c r="C24">
        <v>16495847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184</v>
      </c>
      <c r="J24" t="s">
        <v>6</v>
      </c>
      <c r="K24" t="s">
        <v>185</v>
      </c>
      <c r="L24">
        <v>1191</v>
      </c>
      <c r="N24">
        <v>1013</v>
      </c>
      <c r="O24" t="s">
        <v>183</v>
      </c>
      <c r="P24" t="s">
        <v>183</v>
      </c>
      <c r="Q24">
        <v>1</v>
      </c>
      <c r="W24">
        <v>0</v>
      </c>
      <c r="X24">
        <v>-1417349443</v>
      </c>
      <c r="Y24">
        <v>1.73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1.73</v>
      </c>
      <c r="AU24" t="s">
        <v>6</v>
      </c>
      <c r="AV24">
        <v>2</v>
      </c>
      <c r="AW24">
        <v>2</v>
      </c>
      <c r="AX24">
        <v>16495849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41.87811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ROW(Source!A30)</f>
        <v>30</v>
      </c>
      <c r="B25">
        <v>16492569</v>
      </c>
      <c r="C25">
        <v>16495847</v>
      </c>
      <c r="D25">
        <v>15247576</v>
      </c>
      <c r="E25">
        <v>1</v>
      </c>
      <c r="F25">
        <v>1</v>
      </c>
      <c r="G25">
        <v>1</v>
      </c>
      <c r="H25">
        <v>2</v>
      </c>
      <c r="I25" t="s">
        <v>211</v>
      </c>
      <c r="J25" t="s">
        <v>212</v>
      </c>
      <c r="K25" t="s">
        <v>213</v>
      </c>
      <c r="L25">
        <v>1368</v>
      </c>
      <c r="N25">
        <v>1011</v>
      </c>
      <c r="O25" t="s">
        <v>189</v>
      </c>
      <c r="P25" t="s">
        <v>189</v>
      </c>
      <c r="Q25">
        <v>1</v>
      </c>
      <c r="W25">
        <v>0</v>
      </c>
      <c r="X25">
        <v>257150282</v>
      </c>
      <c r="Y25">
        <v>0.02</v>
      </c>
      <c r="AA25">
        <v>0</v>
      </c>
      <c r="AB25">
        <v>83.43</v>
      </c>
      <c r="AC25">
        <v>13.5</v>
      </c>
      <c r="AD25">
        <v>0</v>
      </c>
      <c r="AE25">
        <v>0</v>
      </c>
      <c r="AF25">
        <v>83.43</v>
      </c>
      <c r="AG25">
        <v>13.5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0.02</v>
      </c>
      <c r="AU25" t="s">
        <v>6</v>
      </c>
      <c r="AV25">
        <v>0</v>
      </c>
      <c r="AW25">
        <v>2</v>
      </c>
      <c r="AX25">
        <v>16495850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0.48414000000000001</v>
      </c>
      <c r="CY25">
        <f>AB25</f>
        <v>83.43</v>
      </c>
      <c r="CZ25">
        <f>AF25</f>
        <v>83.43</v>
      </c>
      <c r="DA25">
        <f>AJ25</f>
        <v>1</v>
      </c>
      <c r="DB25">
        <v>0</v>
      </c>
    </row>
    <row r="26" spans="1:106" x14ac:dyDescent="0.2">
      <c r="A26">
        <f>ROW(Source!A30)</f>
        <v>30</v>
      </c>
      <c r="B26">
        <v>16492569</v>
      </c>
      <c r="C26">
        <v>16495847</v>
      </c>
      <c r="D26">
        <v>15247678</v>
      </c>
      <c r="E26">
        <v>1</v>
      </c>
      <c r="F26">
        <v>1</v>
      </c>
      <c r="G26">
        <v>1</v>
      </c>
      <c r="H26">
        <v>2</v>
      </c>
      <c r="I26" t="s">
        <v>214</v>
      </c>
      <c r="J26" t="s">
        <v>215</v>
      </c>
      <c r="K26" t="s">
        <v>216</v>
      </c>
      <c r="L26">
        <v>1368</v>
      </c>
      <c r="N26">
        <v>1011</v>
      </c>
      <c r="O26" t="s">
        <v>189</v>
      </c>
      <c r="P26" t="s">
        <v>189</v>
      </c>
      <c r="Q26">
        <v>1</v>
      </c>
      <c r="W26">
        <v>0</v>
      </c>
      <c r="X26">
        <v>1330025190</v>
      </c>
      <c r="Y26">
        <v>0.01</v>
      </c>
      <c r="AA26">
        <v>0</v>
      </c>
      <c r="AB26">
        <v>88.01</v>
      </c>
      <c r="AC26">
        <v>11.6</v>
      </c>
      <c r="AD26">
        <v>0</v>
      </c>
      <c r="AE26">
        <v>0</v>
      </c>
      <c r="AF26">
        <v>88.01</v>
      </c>
      <c r="AG26">
        <v>11.6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0.01</v>
      </c>
      <c r="AU26" t="s">
        <v>6</v>
      </c>
      <c r="AV26">
        <v>0</v>
      </c>
      <c r="AW26">
        <v>2</v>
      </c>
      <c r="AX26">
        <v>16495851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0.24207000000000001</v>
      </c>
      <c r="CY26">
        <f>AB26</f>
        <v>88.01</v>
      </c>
      <c r="CZ26">
        <f>AF26</f>
        <v>88.01</v>
      </c>
      <c r="DA26">
        <f>AJ26</f>
        <v>1</v>
      </c>
      <c r="DB26">
        <v>0</v>
      </c>
    </row>
    <row r="27" spans="1:106" x14ac:dyDescent="0.2">
      <c r="A27">
        <f>ROW(Source!A30)</f>
        <v>30</v>
      </c>
      <c r="B27">
        <v>16492569</v>
      </c>
      <c r="C27">
        <v>16495847</v>
      </c>
      <c r="D27">
        <v>15248143</v>
      </c>
      <c r="E27">
        <v>1</v>
      </c>
      <c r="F27">
        <v>1</v>
      </c>
      <c r="G27">
        <v>1</v>
      </c>
      <c r="H27">
        <v>2</v>
      </c>
      <c r="I27" t="s">
        <v>217</v>
      </c>
      <c r="J27" t="s">
        <v>218</v>
      </c>
      <c r="K27" t="s">
        <v>219</v>
      </c>
      <c r="L27">
        <v>1368</v>
      </c>
      <c r="N27">
        <v>1011</v>
      </c>
      <c r="O27" t="s">
        <v>189</v>
      </c>
      <c r="P27" t="s">
        <v>189</v>
      </c>
      <c r="Q27">
        <v>1</v>
      </c>
      <c r="W27">
        <v>0</v>
      </c>
      <c r="X27">
        <v>983187852</v>
      </c>
      <c r="Y27">
        <v>1.69</v>
      </c>
      <c r="AA27">
        <v>0</v>
      </c>
      <c r="AB27">
        <v>12.39</v>
      </c>
      <c r="AC27">
        <v>10.06</v>
      </c>
      <c r="AD27">
        <v>0</v>
      </c>
      <c r="AE27">
        <v>0</v>
      </c>
      <c r="AF27">
        <v>12.39</v>
      </c>
      <c r="AG27">
        <v>10.06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1.69</v>
      </c>
      <c r="AU27" t="s">
        <v>6</v>
      </c>
      <c r="AV27">
        <v>0</v>
      </c>
      <c r="AW27">
        <v>2</v>
      </c>
      <c r="AX27">
        <v>16495852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40.909829999999999</v>
      </c>
      <c r="CY27">
        <f>AB27</f>
        <v>12.39</v>
      </c>
      <c r="CZ27">
        <f>AF27</f>
        <v>12.39</v>
      </c>
      <c r="DA27">
        <f>AJ27</f>
        <v>1</v>
      </c>
      <c r="DB27">
        <v>0</v>
      </c>
    </row>
    <row r="28" spans="1:106" x14ac:dyDescent="0.2">
      <c r="A28">
        <f>ROW(Source!A30)</f>
        <v>30</v>
      </c>
      <c r="B28">
        <v>16492569</v>
      </c>
      <c r="C28">
        <v>16495847</v>
      </c>
      <c r="D28">
        <v>15249073</v>
      </c>
      <c r="E28">
        <v>1</v>
      </c>
      <c r="F28">
        <v>1</v>
      </c>
      <c r="G28">
        <v>1</v>
      </c>
      <c r="H28">
        <v>2</v>
      </c>
      <c r="I28" t="s">
        <v>195</v>
      </c>
      <c r="J28" t="s">
        <v>196</v>
      </c>
      <c r="K28" t="s">
        <v>197</v>
      </c>
      <c r="L28">
        <v>1368</v>
      </c>
      <c r="N28">
        <v>1011</v>
      </c>
      <c r="O28" t="s">
        <v>189</v>
      </c>
      <c r="P28" t="s">
        <v>189</v>
      </c>
      <c r="Q28">
        <v>1</v>
      </c>
      <c r="W28">
        <v>0</v>
      </c>
      <c r="X28">
        <v>1372534845</v>
      </c>
      <c r="Y28">
        <v>0.01</v>
      </c>
      <c r="AA28">
        <v>0</v>
      </c>
      <c r="AB28">
        <v>65.709999999999994</v>
      </c>
      <c r="AC28">
        <v>11.6</v>
      </c>
      <c r="AD28">
        <v>0</v>
      </c>
      <c r="AE28">
        <v>0</v>
      </c>
      <c r="AF28">
        <v>65.709999999999994</v>
      </c>
      <c r="AG28">
        <v>11.6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0.01</v>
      </c>
      <c r="AU28" t="s">
        <v>6</v>
      </c>
      <c r="AV28">
        <v>0</v>
      </c>
      <c r="AW28">
        <v>2</v>
      </c>
      <c r="AX28">
        <v>16495853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0.24207000000000001</v>
      </c>
      <c r="CY28">
        <f>AB28</f>
        <v>65.709999999999994</v>
      </c>
      <c r="CZ28">
        <f>AF28</f>
        <v>65.709999999999994</v>
      </c>
      <c r="DA28">
        <f>AJ28</f>
        <v>1</v>
      </c>
      <c r="DB28">
        <v>0</v>
      </c>
    </row>
    <row r="29" spans="1:106" x14ac:dyDescent="0.2">
      <c r="A29">
        <f>ROW(Source!A30)</f>
        <v>30</v>
      </c>
      <c r="B29">
        <v>16492569</v>
      </c>
      <c r="C29">
        <v>16495847</v>
      </c>
      <c r="D29">
        <v>15167286</v>
      </c>
      <c r="E29">
        <v>1</v>
      </c>
      <c r="F29">
        <v>1</v>
      </c>
      <c r="G29">
        <v>1</v>
      </c>
      <c r="H29">
        <v>3</v>
      </c>
      <c r="I29" t="s">
        <v>198</v>
      </c>
      <c r="J29" t="s">
        <v>199</v>
      </c>
      <c r="K29" t="s">
        <v>200</v>
      </c>
      <c r="L29">
        <v>1339</v>
      </c>
      <c r="N29">
        <v>1007</v>
      </c>
      <c r="O29" t="s">
        <v>201</v>
      </c>
      <c r="P29" t="s">
        <v>201</v>
      </c>
      <c r="Q29">
        <v>1</v>
      </c>
      <c r="W29">
        <v>0</v>
      </c>
      <c r="X29">
        <v>-1660354250</v>
      </c>
      <c r="Y29">
        <v>0.44</v>
      </c>
      <c r="AA29">
        <v>2.44</v>
      </c>
      <c r="AB29">
        <v>0</v>
      </c>
      <c r="AC29">
        <v>0</v>
      </c>
      <c r="AD29">
        <v>0</v>
      </c>
      <c r="AE29">
        <v>2.44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0.44</v>
      </c>
      <c r="AU29" t="s">
        <v>6</v>
      </c>
      <c r="AV29">
        <v>0</v>
      </c>
      <c r="AW29">
        <v>2</v>
      </c>
      <c r="AX29">
        <v>16495854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10.65108</v>
      </c>
      <c r="CY29">
        <f>AA29</f>
        <v>2.44</v>
      </c>
      <c r="CZ29">
        <f>AE29</f>
        <v>2.44</v>
      </c>
      <c r="DA29">
        <f>AI29</f>
        <v>1</v>
      </c>
      <c r="DB29">
        <v>0</v>
      </c>
    </row>
    <row r="30" spans="1:106" x14ac:dyDescent="0.2">
      <c r="A30">
        <f>ROW(Source!A30)</f>
        <v>30</v>
      </c>
      <c r="B30">
        <v>16492569</v>
      </c>
      <c r="C30">
        <v>16495847</v>
      </c>
      <c r="D30">
        <v>15173044</v>
      </c>
      <c r="E30">
        <v>1</v>
      </c>
      <c r="F30">
        <v>1</v>
      </c>
      <c r="G30">
        <v>1</v>
      </c>
      <c r="H30">
        <v>3</v>
      </c>
      <c r="I30" t="s">
        <v>220</v>
      </c>
      <c r="J30" t="s">
        <v>221</v>
      </c>
      <c r="K30" t="s">
        <v>222</v>
      </c>
      <c r="L30">
        <v>1348</v>
      </c>
      <c r="N30">
        <v>1009</v>
      </c>
      <c r="O30" t="s">
        <v>205</v>
      </c>
      <c r="P30" t="s">
        <v>205</v>
      </c>
      <c r="Q30">
        <v>1000</v>
      </c>
      <c r="W30">
        <v>0</v>
      </c>
      <c r="X30">
        <v>2108657288</v>
      </c>
      <c r="Y30">
        <v>1.2999999999999999E-2</v>
      </c>
      <c r="AA30">
        <v>6513</v>
      </c>
      <c r="AB30">
        <v>0</v>
      </c>
      <c r="AC30">
        <v>0</v>
      </c>
      <c r="AD30">
        <v>0</v>
      </c>
      <c r="AE30">
        <v>6513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1.2999999999999999E-2</v>
      </c>
      <c r="AU30" t="s">
        <v>6</v>
      </c>
      <c r="AV30">
        <v>0</v>
      </c>
      <c r="AW30">
        <v>2</v>
      </c>
      <c r="AX30">
        <v>16495855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0.314691</v>
      </c>
      <c r="CY30">
        <f>AA30</f>
        <v>6513</v>
      </c>
      <c r="CZ30">
        <f>AE30</f>
        <v>6513</v>
      </c>
      <c r="DA30">
        <f>AI30</f>
        <v>1</v>
      </c>
      <c r="DB30">
        <v>0</v>
      </c>
    </row>
    <row r="31" spans="1:106" x14ac:dyDescent="0.2">
      <c r="A31">
        <f>ROW(Source!A30)</f>
        <v>30</v>
      </c>
      <c r="B31">
        <v>16492569</v>
      </c>
      <c r="C31">
        <v>16495847</v>
      </c>
      <c r="D31">
        <v>15187102</v>
      </c>
      <c r="E31">
        <v>1</v>
      </c>
      <c r="F31">
        <v>1</v>
      </c>
      <c r="G31">
        <v>1</v>
      </c>
      <c r="H31">
        <v>3</v>
      </c>
      <c r="I31" t="s">
        <v>223</v>
      </c>
      <c r="J31" t="s">
        <v>224</v>
      </c>
      <c r="K31" t="s">
        <v>225</v>
      </c>
      <c r="L31">
        <v>1327</v>
      </c>
      <c r="N31">
        <v>1005</v>
      </c>
      <c r="O31" t="s">
        <v>52</v>
      </c>
      <c r="P31" t="s">
        <v>52</v>
      </c>
      <c r="Q31">
        <v>1</v>
      </c>
      <c r="W31">
        <v>0</v>
      </c>
      <c r="X31">
        <v>2046761779</v>
      </c>
      <c r="Y31">
        <v>102</v>
      </c>
      <c r="AA31">
        <v>140.44999999999999</v>
      </c>
      <c r="AB31">
        <v>0</v>
      </c>
      <c r="AC31">
        <v>0</v>
      </c>
      <c r="AD31">
        <v>0</v>
      </c>
      <c r="AE31">
        <v>140.44999999999999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102</v>
      </c>
      <c r="AU31" t="s">
        <v>6</v>
      </c>
      <c r="AV31">
        <v>0</v>
      </c>
      <c r="AW31">
        <v>2</v>
      </c>
      <c r="AX31">
        <v>16495856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2469.114</v>
      </c>
      <c r="CY31">
        <f>AA31</f>
        <v>140.44999999999999</v>
      </c>
      <c r="CZ31">
        <f>AE31</f>
        <v>140.44999999999999</v>
      </c>
      <c r="DA31">
        <f>AI31</f>
        <v>1</v>
      </c>
      <c r="DB31">
        <v>0</v>
      </c>
    </row>
    <row r="32" spans="1:106" x14ac:dyDescent="0.2">
      <c r="A32">
        <f>ROW(Source!A30)</f>
        <v>30</v>
      </c>
      <c r="B32">
        <v>16492569</v>
      </c>
      <c r="C32">
        <v>16495847</v>
      </c>
      <c r="D32">
        <v>15202597</v>
      </c>
      <c r="E32">
        <v>1</v>
      </c>
      <c r="F32">
        <v>1</v>
      </c>
      <c r="G32">
        <v>1</v>
      </c>
      <c r="H32">
        <v>3</v>
      </c>
      <c r="I32" t="s">
        <v>55</v>
      </c>
      <c r="J32" t="s">
        <v>58</v>
      </c>
      <c r="K32" t="s">
        <v>226</v>
      </c>
      <c r="L32">
        <v>1346</v>
      </c>
      <c r="N32">
        <v>1009</v>
      </c>
      <c r="O32" t="s">
        <v>57</v>
      </c>
      <c r="P32" t="s">
        <v>57</v>
      </c>
      <c r="Q32">
        <v>1</v>
      </c>
      <c r="W32">
        <v>0</v>
      </c>
      <c r="X32">
        <v>830044740</v>
      </c>
      <c r="Y32">
        <v>1200</v>
      </c>
      <c r="AA32">
        <v>3.69</v>
      </c>
      <c r="AB32">
        <v>0</v>
      </c>
      <c r="AC32">
        <v>0</v>
      </c>
      <c r="AD32">
        <v>0</v>
      </c>
      <c r="AE32">
        <v>3.69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1200</v>
      </c>
      <c r="AU32" t="s">
        <v>6</v>
      </c>
      <c r="AV32">
        <v>0</v>
      </c>
      <c r="AW32">
        <v>2</v>
      </c>
      <c r="AX32">
        <v>16495858</v>
      </c>
      <c r="AY32">
        <v>1</v>
      </c>
      <c r="AZ32">
        <v>0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29048.400000000001</v>
      </c>
      <c r="CY32">
        <f>AA32</f>
        <v>3.69</v>
      </c>
      <c r="CZ32">
        <f>AE32</f>
        <v>3.69</v>
      </c>
      <c r="DA32">
        <f>AI32</f>
        <v>1</v>
      </c>
      <c r="DB32">
        <v>0</v>
      </c>
    </row>
    <row r="33" spans="1:106" x14ac:dyDescent="0.2">
      <c r="A33">
        <f>ROW(Source!A30)</f>
        <v>30</v>
      </c>
      <c r="B33">
        <v>16492569</v>
      </c>
      <c r="C33">
        <v>16495847</v>
      </c>
      <c r="D33">
        <v>15203234</v>
      </c>
      <c r="E33">
        <v>1</v>
      </c>
      <c r="F33">
        <v>1</v>
      </c>
      <c r="G33">
        <v>1</v>
      </c>
      <c r="H33">
        <v>3</v>
      </c>
      <c r="I33" t="s">
        <v>41</v>
      </c>
      <c r="J33" t="s">
        <v>44</v>
      </c>
      <c r="K33" t="s">
        <v>42</v>
      </c>
      <c r="L33">
        <v>1296</v>
      </c>
      <c r="N33">
        <v>1002</v>
      </c>
      <c r="O33" t="s">
        <v>43</v>
      </c>
      <c r="P33" t="s">
        <v>43</v>
      </c>
      <c r="Q33">
        <v>1</v>
      </c>
      <c r="W33">
        <v>0</v>
      </c>
      <c r="X33">
        <v>-972933126</v>
      </c>
      <c r="Y33">
        <v>20</v>
      </c>
      <c r="AA33">
        <v>9.14</v>
      </c>
      <c r="AB33">
        <v>0</v>
      </c>
      <c r="AC33">
        <v>0</v>
      </c>
      <c r="AD33">
        <v>0</v>
      </c>
      <c r="AE33">
        <v>9.14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6</v>
      </c>
      <c r="AT33">
        <v>20</v>
      </c>
      <c r="AU33" t="s">
        <v>6</v>
      </c>
      <c r="AV33">
        <v>0</v>
      </c>
      <c r="AW33">
        <v>1</v>
      </c>
      <c r="AX33">
        <v>-1</v>
      </c>
      <c r="AY33">
        <v>0</v>
      </c>
      <c r="AZ33">
        <v>0</v>
      </c>
      <c r="BA33" t="s">
        <v>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484.14</v>
      </c>
      <c r="CY33">
        <f>AA33</f>
        <v>9.14</v>
      </c>
      <c r="CZ33">
        <f>AE33</f>
        <v>9.14</v>
      </c>
      <c r="DA33">
        <f>AI33</f>
        <v>1</v>
      </c>
      <c r="DB33">
        <v>0</v>
      </c>
    </row>
    <row r="34" spans="1:106" x14ac:dyDescent="0.2">
      <c r="A34">
        <f>ROW(Source!A31)</f>
        <v>31</v>
      </c>
      <c r="B34">
        <v>16492570</v>
      </c>
      <c r="C34">
        <v>16495847</v>
      </c>
      <c r="D34">
        <v>15436014</v>
      </c>
      <c r="E34">
        <v>1</v>
      </c>
      <c r="F34">
        <v>1</v>
      </c>
      <c r="G34">
        <v>1</v>
      </c>
      <c r="H34">
        <v>1</v>
      </c>
      <c r="I34" t="s">
        <v>209</v>
      </c>
      <c r="J34" t="s">
        <v>6</v>
      </c>
      <c r="K34" t="s">
        <v>210</v>
      </c>
      <c r="L34">
        <v>1191</v>
      </c>
      <c r="N34">
        <v>1013</v>
      </c>
      <c r="O34" t="s">
        <v>183</v>
      </c>
      <c r="P34" t="s">
        <v>183</v>
      </c>
      <c r="Q34">
        <v>1</v>
      </c>
      <c r="W34">
        <v>0</v>
      </c>
      <c r="X34">
        <v>-784637506</v>
      </c>
      <c r="Y34">
        <v>310.42</v>
      </c>
      <c r="AA34">
        <v>0</v>
      </c>
      <c r="AB34">
        <v>0</v>
      </c>
      <c r="AC34">
        <v>0</v>
      </c>
      <c r="AD34">
        <v>59.69</v>
      </c>
      <c r="AE34">
        <v>0</v>
      </c>
      <c r="AF34">
        <v>0</v>
      </c>
      <c r="AG34">
        <v>0</v>
      </c>
      <c r="AH34">
        <v>8.74</v>
      </c>
      <c r="AI34">
        <v>1</v>
      </c>
      <c r="AJ34">
        <v>1</v>
      </c>
      <c r="AK34">
        <v>1</v>
      </c>
      <c r="AL34">
        <v>6.83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310.42</v>
      </c>
      <c r="AU34" t="s">
        <v>6</v>
      </c>
      <c r="AV34">
        <v>1</v>
      </c>
      <c r="AW34">
        <v>2</v>
      </c>
      <c r="AX34">
        <v>16495848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7514.3369400000011</v>
      </c>
      <c r="CY34">
        <f>AD34</f>
        <v>59.69</v>
      </c>
      <c r="CZ34">
        <f>AH34</f>
        <v>8.74</v>
      </c>
      <c r="DA34">
        <f>AL34</f>
        <v>6.83</v>
      </c>
      <c r="DB34">
        <v>0</v>
      </c>
    </row>
    <row r="35" spans="1:106" x14ac:dyDescent="0.2">
      <c r="A35">
        <f>ROW(Source!A31)</f>
        <v>31</v>
      </c>
      <c r="B35">
        <v>16492570</v>
      </c>
      <c r="C35">
        <v>16495847</v>
      </c>
      <c r="D35">
        <v>15430395</v>
      </c>
      <c r="E35">
        <v>1</v>
      </c>
      <c r="F35">
        <v>1</v>
      </c>
      <c r="G35">
        <v>1</v>
      </c>
      <c r="H35">
        <v>1</v>
      </c>
      <c r="I35" t="s">
        <v>184</v>
      </c>
      <c r="J35" t="s">
        <v>6</v>
      </c>
      <c r="K35" t="s">
        <v>185</v>
      </c>
      <c r="L35">
        <v>1191</v>
      </c>
      <c r="N35">
        <v>1013</v>
      </c>
      <c r="O35" t="s">
        <v>183</v>
      </c>
      <c r="P35" t="s">
        <v>183</v>
      </c>
      <c r="Q35">
        <v>1</v>
      </c>
      <c r="W35">
        <v>0</v>
      </c>
      <c r="X35">
        <v>-1417349443</v>
      </c>
      <c r="Y35">
        <v>1.73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6.83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1.73</v>
      </c>
      <c r="AU35" t="s">
        <v>6</v>
      </c>
      <c r="AV35">
        <v>2</v>
      </c>
      <c r="AW35">
        <v>2</v>
      </c>
      <c r="AX35">
        <v>16495849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41.87811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">
      <c r="A36">
        <f>ROW(Source!A31)</f>
        <v>31</v>
      </c>
      <c r="B36">
        <v>16492570</v>
      </c>
      <c r="C36">
        <v>16495847</v>
      </c>
      <c r="D36">
        <v>15247576</v>
      </c>
      <c r="E36">
        <v>1</v>
      </c>
      <c r="F36">
        <v>1</v>
      </c>
      <c r="G36">
        <v>1</v>
      </c>
      <c r="H36">
        <v>2</v>
      </c>
      <c r="I36" t="s">
        <v>211</v>
      </c>
      <c r="J36" t="s">
        <v>212</v>
      </c>
      <c r="K36" t="s">
        <v>213</v>
      </c>
      <c r="L36">
        <v>1368</v>
      </c>
      <c r="N36">
        <v>1011</v>
      </c>
      <c r="O36" t="s">
        <v>189</v>
      </c>
      <c r="P36" t="s">
        <v>189</v>
      </c>
      <c r="Q36">
        <v>1</v>
      </c>
      <c r="W36">
        <v>0</v>
      </c>
      <c r="X36">
        <v>257150282</v>
      </c>
      <c r="Y36">
        <v>0.02</v>
      </c>
      <c r="AA36">
        <v>0</v>
      </c>
      <c r="AB36">
        <v>569.83000000000004</v>
      </c>
      <c r="AC36">
        <v>13.5</v>
      </c>
      <c r="AD36">
        <v>0</v>
      </c>
      <c r="AE36">
        <v>0</v>
      </c>
      <c r="AF36">
        <v>83.43</v>
      </c>
      <c r="AG36">
        <v>13.5</v>
      </c>
      <c r="AH36">
        <v>0</v>
      </c>
      <c r="AI36">
        <v>1</v>
      </c>
      <c r="AJ36">
        <v>6.83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0.02</v>
      </c>
      <c r="AU36" t="s">
        <v>6</v>
      </c>
      <c r="AV36">
        <v>0</v>
      </c>
      <c r="AW36">
        <v>2</v>
      </c>
      <c r="AX36">
        <v>16495850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0.48414000000000001</v>
      </c>
      <c r="CY36">
        <f>AB36</f>
        <v>569.83000000000004</v>
      </c>
      <c r="CZ36">
        <f>AF36</f>
        <v>83.43</v>
      </c>
      <c r="DA36">
        <f>AJ36</f>
        <v>6.83</v>
      </c>
      <c r="DB36">
        <v>0</v>
      </c>
    </row>
    <row r="37" spans="1:106" x14ac:dyDescent="0.2">
      <c r="A37">
        <f>ROW(Source!A31)</f>
        <v>31</v>
      </c>
      <c r="B37">
        <v>16492570</v>
      </c>
      <c r="C37">
        <v>16495847</v>
      </c>
      <c r="D37">
        <v>15247678</v>
      </c>
      <c r="E37">
        <v>1</v>
      </c>
      <c r="F37">
        <v>1</v>
      </c>
      <c r="G37">
        <v>1</v>
      </c>
      <c r="H37">
        <v>2</v>
      </c>
      <c r="I37" t="s">
        <v>214</v>
      </c>
      <c r="J37" t="s">
        <v>215</v>
      </c>
      <c r="K37" t="s">
        <v>216</v>
      </c>
      <c r="L37">
        <v>1368</v>
      </c>
      <c r="N37">
        <v>1011</v>
      </c>
      <c r="O37" t="s">
        <v>189</v>
      </c>
      <c r="P37" t="s">
        <v>189</v>
      </c>
      <c r="Q37">
        <v>1</v>
      </c>
      <c r="W37">
        <v>0</v>
      </c>
      <c r="X37">
        <v>1330025190</v>
      </c>
      <c r="Y37">
        <v>0.01</v>
      </c>
      <c r="AA37">
        <v>0</v>
      </c>
      <c r="AB37">
        <v>601.11</v>
      </c>
      <c r="AC37">
        <v>11.6</v>
      </c>
      <c r="AD37">
        <v>0</v>
      </c>
      <c r="AE37">
        <v>0</v>
      </c>
      <c r="AF37">
        <v>88.01</v>
      </c>
      <c r="AG37">
        <v>11.6</v>
      </c>
      <c r="AH37">
        <v>0</v>
      </c>
      <c r="AI37">
        <v>1</v>
      </c>
      <c r="AJ37">
        <v>6.83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0.01</v>
      </c>
      <c r="AU37" t="s">
        <v>6</v>
      </c>
      <c r="AV37">
        <v>0</v>
      </c>
      <c r="AW37">
        <v>2</v>
      </c>
      <c r="AX37">
        <v>16495851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0.24207000000000001</v>
      </c>
      <c r="CY37">
        <f>AB37</f>
        <v>601.11</v>
      </c>
      <c r="CZ37">
        <f>AF37</f>
        <v>88.01</v>
      </c>
      <c r="DA37">
        <f>AJ37</f>
        <v>6.83</v>
      </c>
      <c r="DB37">
        <v>0</v>
      </c>
    </row>
    <row r="38" spans="1:106" x14ac:dyDescent="0.2">
      <c r="A38">
        <f>ROW(Source!A31)</f>
        <v>31</v>
      </c>
      <c r="B38">
        <v>16492570</v>
      </c>
      <c r="C38">
        <v>16495847</v>
      </c>
      <c r="D38">
        <v>15248143</v>
      </c>
      <c r="E38">
        <v>1</v>
      </c>
      <c r="F38">
        <v>1</v>
      </c>
      <c r="G38">
        <v>1</v>
      </c>
      <c r="H38">
        <v>2</v>
      </c>
      <c r="I38" t="s">
        <v>217</v>
      </c>
      <c r="J38" t="s">
        <v>218</v>
      </c>
      <c r="K38" t="s">
        <v>219</v>
      </c>
      <c r="L38">
        <v>1368</v>
      </c>
      <c r="N38">
        <v>1011</v>
      </c>
      <c r="O38" t="s">
        <v>189</v>
      </c>
      <c r="P38" t="s">
        <v>189</v>
      </c>
      <c r="Q38">
        <v>1</v>
      </c>
      <c r="W38">
        <v>0</v>
      </c>
      <c r="X38">
        <v>983187852</v>
      </c>
      <c r="Y38">
        <v>1.69</v>
      </c>
      <c r="AA38">
        <v>0</v>
      </c>
      <c r="AB38">
        <v>84.62</v>
      </c>
      <c r="AC38">
        <v>10.06</v>
      </c>
      <c r="AD38">
        <v>0</v>
      </c>
      <c r="AE38">
        <v>0</v>
      </c>
      <c r="AF38">
        <v>12.39</v>
      </c>
      <c r="AG38">
        <v>10.06</v>
      </c>
      <c r="AH38">
        <v>0</v>
      </c>
      <c r="AI38">
        <v>1</v>
      </c>
      <c r="AJ38">
        <v>6.83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1.69</v>
      </c>
      <c r="AU38" t="s">
        <v>6</v>
      </c>
      <c r="AV38">
        <v>0</v>
      </c>
      <c r="AW38">
        <v>2</v>
      </c>
      <c r="AX38">
        <v>16495852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40.909829999999999</v>
      </c>
      <c r="CY38">
        <f>AB38</f>
        <v>84.62</v>
      </c>
      <c r="CZ38">
        <f>AF38</f>
        <v>12.39</v>
      </c>
      <c r="DA38">
        <f>AJ38</f>
        <v>6.83</v>
      </c>
      <c r="DB38">
        <v>0</v>
      </c>
    </row>
    <row r="39" spans="1:106" x14ac:dyDescent="0.2">
      <c r="A39">
        <f>ROW(Source!A31)</f>
        <v>31</v>
      </c>
      <c r="B39">
        <v>16492570</v>
      </c>
      <c r="C39">
        <v>16495847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195</v>
      </c>
      <c r="J39" t="s">
        <v>196</v>
      </c>
      <c r="K39" t="s">
        <v>197</v>
      </c>
      <c r="L39">
        <v>1368</v>
      </c>
      <c r="N39">
        <v>1011</v>
      </c>
      <c r="O39" t="s">
        <v>189</v>
      </c>
      <c r="P39" t="s">
        <v>189</v>
      </c>
      <c r="Q39">
        <v>1</v>
      </c>
      <c r="W39">
        <v>0</v>
      </c>
      <c r="X39">
        <v>1372534845</v>
      </c>
      <c r="Y39">
        <v>0.01</v>
      </c>
      <c r="AA39">
        <v>0</v>
      </c>
      <c r="AB39">
        <v>448.8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6.83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0.01</v>
      </c>
      <c r="AU39" t="s">
        <v>6</v>
      </c>
      <c r="AV39">
        <v>0</v>
      </c>
      <c r="AW39">
        <v>2</v>
      </c>
      <c r="AX39">
        <v>16495853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0.24207000000000001</v>
      </c>
      <c r="CY39">
        <f>AB39</f>
        <v>448.8</v>
      </c>
      <c r="CZ39">
        <f>AF39</f>
        <v>65.709999999999994</v>
      </c>
      <c r="DA39">
        <f>AJ39</f>
        <v>6.83</v>
      </c>
      <c r="DB39">
        <v>0</v>
      </c>
    </row>
    <row r="40" spans="1:106" x14ac:dyDescent="0.2">
      <c r="A40">
        <f>ROW(Source!A31)</f>
        <v>31</v>
      </c>
      <c r="B40">
        <v>16492570</v>
      </c>
      <c r="C40">
        <v>16495847</v>
      </c>
      <c r="D40">
        <v>15167286</v>
      </c>
      <c r="E40">
        <v>1</v>
      </c>
      <c r="F40">
        <v>1</v>
      </c>
      <c r="G40">
        <v>1</v>
      </c>
      <c r="H40">
        <v>3</v>
      </c>
      <c r="I40" t="s">
        <v>198</v>
      </c>
      <c r="J40" t="s">
        <v>199</v>
      </c>
      <c r="K40" t="s">
        <v>200</v>
      </c>
      <c r="L40">
        <v>1339</v>
      </c>
      <c r="N40">
        <v>1007</v>
      </c>
      <c r="O40" t="s">
        <v>201</v>
      </c>
      <c r="P40" t="s">
        <v>201</v>
      </c>
      <c r="Q40">
        <v>1</v>
      </c>
      <c r="W40">
        <v>0</v>
      </c>
      <c r="X40">
        <v>-1660354250</v>
      </c>
      <c r="Y40">
        <v>0.44</v>
      </c>
      <c r="AA40">
        <v>16.670000000000002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6.83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0.44</v>
      </c>
      <c r="AU40" t="s">
        <v>6</v>
      </c>
      <c r="AV40">
        <v>0</v>
      </c>
      <c r="AW40">
        <v>2</v>
      </c>
      <c r="AX40">
        <v>16495854</v>
      </c>
      <c r="AY40">
        <v>1</v>
      </c>
      <c r="AZ40">
        <v>0</v>
      </c>
      <c r="BA40">
        <v>45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10.65108</v>
      </c>
      <c r="CY40">
        <f>AA40</f>
        <v>16.670000000000002</v>
      </c>
      <c r="CZ40">
        <f>AE40</f>
        <v>2.44</v>
      </c>
      <c r="DA40">
        <f>AI40</f>
        <v>6.83</v>
      </c>
      <c r="DB40">
        <v>0</v>
      </c>
    </row>
    <row r="41" spans="1:106" x14ac:dyDescent="0.2">
      <c r="A41">
        <f>ROW(Source!A31)</f>
        <v>31</v>
      </c>
      <c r="B41">
        <v>16492570</v>
      </c>
      <c r="C41">
        <v>16495847</v>
      </c>
      <c r="D41">
        <v>15173044</v>
      </c>
      <c r="E41">
        <v>1</v>
      </c>
      <c r="F41">
        <v>1</v>
      </c>
      <c r="G41">
        <v>1</v>
      </c>
      <c r="H41">
        <v>3</v>
      </c>
      <c r="I41" t="s">
        <v>220</v>
      </c>
      <c r="J41" t="s">
        <v>221</v>
      </c>
      <c r="K41" t="s">
        <v>222</v>
      </c>
      <c r="L41">
        <v>1348</v>
      </c>
      <c r="N41">
        <v>1009</v>
      </c>
      <c r="O41" t="s">
        <v>205</v>
      </c>
      <c r="P41" t="s">
        <v>205</v>
      </c>
      <c r="Q41">
        <v>1000</v>
      </c>
      <c r="W41">
        <v>0</v>
      </c>
      <c r="X41">
        <v>2108657288</v>
      </c>
      <c r="Y41">
        <v>1.2999999999999999E-2</v>
      </c>
      <c r="AA41">
        <v>44483.79</v>
      </c>
      <c r="AB41">
        <v>0</v>
      </c>
      <c r="AC41">
        <v>0</v>
      </c>
      <c r="AD41">
        <v>0</v>
      </c>
      <c r="AE41">
        <v>6513</v>
      </c>
      <c r="AF41">
        <v>0</v>
      </c>
      <c r="AG41">
        <v>0</v>
      </c>
      <c r="AH41">
        <v>0</v>
      </c>
      <c r="AI41">
        <v>6.83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1.2999999999999999E-2</v>
      </c>
      <c r="AU41" t="s">
        <v>6</v>
      </c>
      <c r="AV41">
        <v>0</v>
      </c>
      <c r="AW41">
        <v>2</v>
      </c>
      <c r="AX41">
        <v>16495855</v>
      </c>
      <c r="AY41">
        <v>1</v>
      </c>
      <c r="AZ41">
        <v>0</v>
      </c>
      <c r="BA41">
        <v>46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0.314691</v>
      </c>
      <c r="CY41">
        <f>AA41</f>
        <v>44483.79</v>
      </c>
      <c r="CZ41">
        <f>AE41</f>
        <v>6513</v>
      </c>
      <c r="DA41">
        <f>AI41</f>
        <v>6.83</v>
      </c>
      <c r="DB41">
        <v>0</v>
      </c>
    </row>
    <row r="42" spans="1:106" x14ac:dyDescent="0.2">
      <c r="A42">
        <f>ROW(Source!A31)</f>
        <v>31</v>
      </c>
      <c r="B42">
        <v>16492570</v>
      </c>
      <c r="C42">
        <v>16495847</v>
      </c>
      <c r="D42">
        <v>15187102</v>
      </c>
      <c r="E42">
        <v>1</v>
      </c>
      <c r="F42">
        <v>1</v>
      </c>
      <c r="G42">
        <v>1</v>
      </c>
      <c r="H42">
        <v>3</v>
      </c>
      <c r="I42" t="s">
        <v>223</v>
      </c>
      <c r="J42" t="s">
        <v>224</v>
      </c>
      <c r="K42" t="s">
        <v>225</v>
      </c>
      <c r="L42">
        <v>1327</v>
      </c>
      <c r="N42">
        <v>1005</v>
      </c>
      <c r="O42" t="s">
        <v>52</v>
      </c>
      <c r="P42" t="s">
        <v>52</v>
      </c>
      <c r="Q42">
        <v>1</v>
      </c>
      <c r="W42">
        <v>0</v>
      </c>
      <c r="X42">
        <v>2046761779</v>
      </c>
      <c r="Y42">
        <v>102</v>
      </c>
      <c r="AA42">
        <v>959.27</v>
      </c>
      <c r="AB42">
        <v>0</v>
      </c>
      <c r="AC42">
        <v>0</v>
      </c>
      <c r="AD42">
        <v>0</v>
      </c>
      <c r="AE42">
        <v>140.44999999999999</v>
      </c>
      <c r="AF42">
        <v>0</v>
      </c>
      <c r="AG42">
        <v>0</v>
      </c>
      <c r="AH42">
        <v>0</v>
      </c>
      <c r="AI42">
        <v>6.83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102</v>
      </c>
      <c r="AU42" t="s">
        <v>6</v>
      </c>
      <c r="AV42">
        <v>0</v>
      </c>
      <c r="AW42">
        <v>2</v>
      </c>
      <c r="AX42">
        <v>16495856</v>
      </c>
      <c r="AY42">
        <v>1</v>
      </c>
      <c r="AZ42">
        <v>0</v>
      </c>
      <c r="BA42">
        <v>47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2469.114</v>
      </c>
      <c r="CY42">
        <f>AA42</f>
        <v>959.27</v>
      </c>
      <c r="CZ42">
        <f>AE42</f>
        <v>140.44999999999999</v>
      </c>
      <c r="DA42">
        <f>AI42</f>
        <v>6.83</v>
      </c>
      <c r="DB42">
        <v>0</v>
      </c>
    </row>
    <row r="43" spans="1:106" x14ac:dyDescent="0.2">
      <c r="A43">
        <f>ROW(Source!A31)</f>
        <v>31</v>
      </c>
      <c r="B43">
        <v>16492570</v>
      </c>
      <c r="C43">
        <v>16495847</v>
      </c>
      <c r="D43">
        <v>15202597</v>
      </c>
      <c r="E43">
        <v>1</v>
      </c>
      <c r="F43">
        <v>1</v>
      </c>
      <c r="G43">
        <v>1</v>
      </c>
      <c r="H43">
        <v>3</v>
      </c>
      <c r="I43" t="s">
        <v>55</v>
      </c>
      <c r="J43" t="s">
        <v>58</v>
      </c>
      <c r="K43" t="s">
        <v>226</v>
      </c>
      <c r="L43">
        <v>1346</v>
      </c>
      <c r="N43">
        <v>1009</v>
      </c>
      <c r="O43" t="s">
        <v>57</v>
      </c>
      <c r="P43" t="s">
        <v>57</v>
      </c>
      <c r="Q43">
        <v>1</v>
      </c>
      <c r="W43">
        <v>0</v>
      </c>
      <c r="X43">
        <v>830044740</v>
      </c>
      <c r="Y43">
        <v>1200</v>
      </c>
      <c r="AA43">
        <v>25.2</v>
      </c>
      <c r="AB43">
        <v>0</v>
      </c>
      <c r="AC43">
        <v>0</v>
      </c>
      <c r="AD43">
        <v>0</v>
      </c>
      <c r="AE43">
        <v>3.69</v>
      </c>
      <c r="AF43">
        <v>0</v>
      </c>
      <c r="AG43">
        <v>0</v>
      </c>
      <c r="AH43">
        <v>0</v>
      </c>
      <c r="AI43">
        <v>6.83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1200</v>
      </c>
      <c r="AU43" t="s">
        <v>6</v>
      </c>
      <c r="AV43">
        <v>0</v>
      </c>
      <c r="AW43">
        <v>2</v>
      </c>
      <c r="AX43">
        <v>16495858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Y43*Source!I31</f>
        <v>29048.400000000001</v>
      </c>
      <c r="CY43">
        <f>AA43</f>
        <v>25.2</v>
      </c>
      <c r="CZ43">
        <f>AE43</f>
        <v>3.69</v>
      </c>
      <c r="DA43">
        <f>AI43</f>
        <v>6.83</v>
      </c>
      <c r="DB43">
        <v>0</v>
      </c>
    </row>
    <row r="44" spans="1:106" x14ac:dyDescent="0.2">
      <c r="A44">
        <f>ROW(Source!A31)</f>
        <v>31</v>
      </c>
      <c r="B44">
        <v>16492570</v>
      </c>
      <c r="C44">
        <v>16495847</v>
      </c>
      <c r="D44">
        <v>15203234</v>
      </c>
      <c r="E44">
        <v>1</v>
      </c>
      <c r="F44">
        <v>1</v>
      </c>
      <c r="G44">
        <v>1</v>
      </c>
      <c r="H44">
        <v>3</v>
      </c>
      <c r="I44" t="s">
        <v>41</v>
      </c>
      <c r="J44" t="s">
        <v>44</v>
      </c>
      <c r="K44" t="s">
        <v>42</v>
      </c>
      <c r="L44">
        <v>1296</v>
      </c>
      <c r="N44">
        <v>1002</v>
      </c>
      <c r="O44" t="s">
        <v>43</v>
      </c>
      <c r="P44" t="s">
        <v>43</v>
      </c>
      <c r="Q44">
        <v>1</v>
      </c>
      <c r="W44">
        <v>0</v>
      </c>
      <c r="X44">
        <v>-972933126</v>
      </c>
      <c r="Y44">
        <v>20</v>
      </c>
      <c r="AA44">
        <v>62.43</v>
      </c>
      <c r="AB44">
        <v>0</v>
      </c>
      <c r="AC44">
        <v>0</v>
      </c>
      <c r="AD44">
        <v>0</v>
      </c>
      <c r="AE44">
        <v>9.14</v>
      </c>
      <c r="AF44">
        <v>0</v>
      </c>
      <c r="AG44">
        <v>0</v>
      </c>
      <c r="AH44">
        <v>0</v>
      </c>
      <c r="AI44">
        <v>6.83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20</v>
      </c>
      <c r="AU44" t="s">
        <v>6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Y44*Source!I31</f>
        <v>484.14</v>
      </c>
      <c r="CY44">
        <f>AA44</f>
        <v>62.43</v>
      </c>
      <c r="CZ44">
        <f>AE44</f>
        <v>9.14</v>
      </c>
      <c r="DA44">
        <f>AI44</f>
        <v>6.83</v>
      </c>
      <c r="DB44">
        <v>0</v>
      </c>
    </row>
    <row r="45" spans="1:106" x14ac:dyDescent="0.2">
      <c r="A45">
        <f>ROW(Source!A34)</f>
        <v>34</v>
      </c>
      <c r="B45">
        <v>16492569</v>
      </c>
      <c r="C45">
        <v>16492685</v>
      </c>
      <c r="D45">
        <v>15435721</v>
      </c>
      <c r="E45">
        <v>1</v>
      </c>
      <c r="F45">
        <v>1</v>
      </c>
      <c r="G45">
        <v>1</v>
      </c>
      <c r="H45">
        <v>1</v>
      </c>
      <c r="I45" t="s">
        <v>227</v>
      </c>
      <c r="J45" t="s">
        <v>6</v>
      </c>
      <c r="K45" t="s">
        <v>228</v>
      </c>
      <c r="L45">
        <v>1191</v>
      </c>
      <c r="N45">
        <v>1013</v>
      </c>
      <c r="O45" t="s">
        <v>183</v>
      </c>
      <c r="P45" t="s">
        <v>183</v>
      </c>
      <c r="Q45">
        <v>1</v>
      </c>
      <c r="W45">
        <v>0</v>
      </c>
      <c r="X45">
        <v>1983201532</v>
      </c>
      <c r="Y45">
        <v>27.392999999999997</v>
      </c>
      <c r="AA45">
        <v>0</v>
      </c>
      <c r="AB45">
        <v>0</v>
      </c>
      <c r="AC45">
        <v>0</v>
      </c>
      <c r="AD45">
        <v>9.51</v>
      </c>
      <c r="AE45">
        <v>0</v>
      </c>
      <c r="AF45">
        <v>0</v>
      </c>
      <c r="AG45">
        <v>0</v>
      </c>
      <c r="AH45">
        <v>9.51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23.82</v>
      </c>
      <c r="AU45" t="s">
        <v>31</v>
      </c>
      <c r="AV45">
        <v>1</v>
      </c>
      <c r="AW45">
        <v>2</v>
      </c>
      <c r="AX45">
        <v>16492693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722.27123099999994</v>
      </c>
      <c r="CY45">
        <f>AD45</f>
        <v>9.51</v>
      </c>
      <c r="CZ45">
        <f>AH45</f>
        <v>9.51</v>
      </c>
      <c r="DA45">
        <f>AL45</f>
        <v>1</v>
      </c>
      <c r="DB45">
        <v>0</v>
      </c>
    </row>
    <row r="46" spans="1:106" x14ac:dyDescent="0.2">
      <c r="A46">
        <f>ROW(Source!A34)</f>
        <v>34</v>
      </c>
      <c r="B46">
        <v>16492569</v>
      </c>
      <c r="C46">
        <v>16492685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184</v>
      </c>
      <c r="J46" t="s">
        <v>6</v>
      </c>
      <c r="K46" t="s">
        <v>185</v>
      </c>
      <c r="L46">
        <v>1191</v>
      </c>
      <c r="N46">
        <v>1013</v>
      </c>
      <c r="O46" t="s">
        <v>183</v>
      </c>
      <c r="P46" t="s">
        <v>183</v>
      </c>
      <c r="Q46">
        <v>1</v>
      </c>
      <c r="W46">
        <v>0</v>
      </c>
      <c r="X46">
        <v>-1417349443</v>
      </c>
      <c r="Y46">
        <v>0.11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0.11</v>
      </c>
      <c r="AU46" t="s">
        <v>6</v>
      </c>
      <c r="AV46">
        <v>2</v>
      </c>
      <c r="AW46">
        <v>2</v>
      </c>
      <c r="AX46">
        <v>16492694</v>
      </c>
      <c r="AY46">
        <v>1</v>
      </c>
      <c r="AZ46">
        <v>2048</v>
      </c>
      <c r="BA46">
        <v>52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2.9003700000000001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ROW(Source!A34)</f>
        <v>34</v>
      </c>
      <c r="B47">
        <v>16492569</v>
      </c>
      <c r="C47">
        <v>16492685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186</v>
      </c>
      <c r="J47" t="s">
        <v>187</v>
      </c>
      <c r="K47" t="s">
        <v>188</v>
      </c>
      <c r="L47">
        <v>1368</v>
      </c>
      <c r="N47">
        <v>1011</v>
      </c>
      <c r="O47" t="s">
        <v>189</v>
      </c>
      <c r="P47" t="s">
        <v>189</v>
      </c>
      <c r="Q47">
        <v>1</v>
      </c>
      <c r="W47">
        <v>0</v>
      </c>
      <c r="X47">
        <v>1188625873</v>
      </c>
      <c r="Y47">
        <v>6.25E-2</v>
      </c>
      <c r="AA47">
        <v>0</v>
      </c>
      <c r="AB47">
        <v>31.26</v>
      </c>
      <c r="AC47">
        <v>13.5</v>
      </c>
      <c r="AD47">
        <v>0</v>
      </c>
      <c r="AE47">
        <v>0</v>
      </c>
      <c r="AF47">
        <v>31.26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0.05</v>
      </c>
      <c r="AU47" t="s">
        <v>30</v>
      </c>
      <c r="AV47">
        <v>0</v>
      </c>
      <c r="AW47">
        <v>2</v>
      </c>
      <c r="AX47">
        <v>16492695</v>
      </c>
      <c r="AY47">
        <v>1</v>
      </c>
      <c r="AZ47">
        <v>0</v>
      </c>
      <c r="BA47">
        <v>53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1.6479375000000001</v>
      </c>
      <c r="CY47">
        <f>AB47</f>
        <v>31.26</v>
      </c>
      <c r="CZ47">
        <f>AF47</f>
        <v>31.26</v>
      </c>
      <c r="DA47">
        <f>AJ47</f>
        <v>1</v>
      </c>
      <c r="DB47">
        <v>0</v>
      </c>
    </row>
    <row r="48" spans="1:106" x14ac:dyDescent="0.2">
      <c r="A48">
        <f>ROW(Source!A34)</f>
        <v>34</v>
      </c>
      <c r="B48">
        <v>16492569</v>
      </c>
      <c r="C48">
        <v>16492685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195</v>
      </c>
      <c r="J48" t="s">
        <v>196</v>
      </c>
      <c r="K48" t="s">
        <v>197</v>
      </c>
      <c r="L48">
        <v>1368</v>
      </c>
      <c r="N48">
        <v>1011</v>
      </c>
      <c r="O48" t="s">
        <v>189</v>
      </c>
      <c r="P48" t="s">
        <v>189</v>
      </c>
      <c r="Q48">
        <v>1</v>
      </c>
      <c r="W48">
        <v>0</v>
      </c>
      <c r="X48">
        <v>1372534845</v>
      </c>
      <c r="Y48">
        <v>7.4999999999999997E-2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0.06</v>
      </c>
      <c r="AU48" t="s">
        <v>30</v>
      </c>
      <c r="AV48">
        <v>0</v>
      </c>
      <c r="AW48">
        <v>2</v>
      </c>
      <c r="AX48">
        <v>16492696</v>
      </c>
      <c r="AY48">
        <v>1</v>
      </c>
      <c r="AZ48">
        <v>0</v>
      </c>
      <c r="BA48">
        <v>54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1.977525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ROW(Source!A34)</f>
        <v>34</v>
      </c>
      <c r="B49">
        <v>16492569</v>
      </c>
      <c r="C49">
        <v>16492685</v>
      </c>
      <c r="D49">
        <v>15187126</v>
      </c>
      <c r="E49">
        <v>1</v>
      </c>
      <c r="F49">
        <v>1</v>
      </c>
      <c r="G49">
        <v>1</v>
      </c>
      <c r="H49">
        <v>3</v>
      </c>
      <c r="I49" t="s">
        <v>50</v>
      </c>
      <c r="J49" t="s">
        <v>53</v>
      </c>
      <c r="K49" t="s">
        <v>51</v>
      </c>
      <c r="L49">
        <v>1327</v>
      </c>
      <c r="N49">
        <v>1005</v>
      </c>
      <c r="O49" t="s">
        <v>52</v>
      </c>
      <c r="P49" t="s">
        <v>52</v>
      </c>
      <c r="Q49">
        <v>1</v>
      </c>
      <c r="W49">
        <v>0</v>
      </c>
      <c r="X49">
        <v>-1358421812</v>
      </c>
      <c r="Y49">
        <v>10.099804000000001</v>
      </c>
      <c r="AA49">
        <v>65.73</v>
      </c>
      <c r="AB49">
        <v>0</v>
      </c>
      <c r="AC49">
        <v>0</v>
      </c>
      <c r="AD49">
        <v>0</v>
      </c>
      <c r="AE49">
        <v>65.73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10.099804000000001</v>
      </c>
      <c r="AU49" t="s">
        <v>6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266.30153206800003</v>
      </c>
      <c r="CY49">
        <f>AA49</f>
        <v>65.73</v>
      </c>
      <c r="CZ49">
        <f>AE49</f>
        <v>65.73</v>
      </c>
      <c r="DA49">
        <f>AI49</f>
        <v>1</v>
      </c>
      <c r="DB49">
        <v>0</v>
      </c>
    </row>
    <row r="50" spans="1:106" x14ac:dyDescent="0.2">
      <c r="A50">
        <f>ROW(Source!A34)</f>
        <v>34</v>
      </c>
      <c r="B50">
        <v>16492569</v>
      </c>
      <c r="C50">
        <v>16492685</v>
      </c>
      <c r="D50">
        <v>15202597</v>
      </c>
      <c r="E50">
        <v>1</v>
      </c>
      <c r="F50">
        <v>1</v>
      </c>
      <c r="G50">
        <v>1</v>
      </c>
      <c r="H50">
        <v>3</v>
      </c>
      <c r="I50" t="s">
        <v>55</v>
      </c>
      <c r="J50" t="s">
        <v>58</v>
      </c>
      <c r="K50" t="s">
        <v>56</v>
      </c>
      <c r="L50">
        <v>1346</v>
      </c>
      <c r="N50">
        <v>1009</v>
      </c>
      <c r="O50" t="s">
        <v>57</v>
      </c>
      <c r="P50" t="s">
        <v>57</v>
      </c>
      <c r="Q50">
        <v>1</v>
      </c>
      <c r="W50">
        <v>0</v>
      </c>
      <c r="X50">
        <v>75744107</v>
      </c>
      <c r="Y50">
        <v>40</v>
      </c>
      <c r="AA50">
        <v>3.69</v>
      </c>
      <c r="AB50">
        <v>0</v>
      </c>
      <c r="AC50">
        <v>0</v>
      </c>
      <c r="AD50">
        <v>0</v>
      </c>
      <c r="AE50">
        <v>3.69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40</v>
      </c>
      <c r="AU50" t="s">
        <v>6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1054.68</v>
      </c>
      <c r="CY50">
        <f>AA50</f>
        <v>3.69</v>
      </c>
      <c r="CZ50">
        <f>AE50</f>
        <v>3.69</v>
      </c>
      <c r="DA50">
        <f>AI50</f>
        <v>1</v>
      </c>
      <c r="DB50">
        <v>0</v>
      </c>
    </row>
    <row r="51" spans="1:106" x14ac:dyDescent="0.2">
      <c r="A51">
        <f>ROW(Source!A35)</f>
        <v>35</v>
      </c>
      <c r="B51">
        <v>16492570</v>
      </c>
      <c r="C51">
        <v>16492685</v>
      </c>
      <c r="D51">
        <v>15435721</v>
      </c>
      <c r="E51">
        <v>1</v>
      </c>
      <c r="F51">
        <v>1</v>
      </c>
      <c r="G51">
        <v>1</v>
      </c>
      <c r="H51">
        <v>1</v>
      </c>
      <c r="I51" t="s">
        <v>227</v>
      </c>
      <c r="J51" t="s">
        <v>6</v>
      </c>
      <c r="K51" t="s">
        <v>228</v>
      </c>
      <c r="L51">
        <v>1191</v>
      </c>
      <c r="N51">
        <v>1013</v>
      </c>
      <c r="O51" t="s">
        <v>183</v>
      </c>
      <c r="P51" t="s">
        <v>183</v>
      </c>
      <c r="Q51">
        <v>1</v>
      </c>
      <c r="W51">
        <v>0</v>
      </c>
      <c r="X51">
        <v>1983201532</v>
      </c>
      <c r="Y51">
        <v>27.392999999999997</v>
      </c>
      <c r="AA51">
        <v>0</v>
      </c>
      <c r="AB51">
        <v>0</v>
      </c>
      <c r="AC51">
        <v>0</v>
      </c>
      <c r="AD51">
        <v>64.95</v>
      </c>
      <c r="AE51">
        <v>0</v>
      </c>
      <c r="AF51">
        <v>0</v>
      </c>
      <c r="AG51">
        <v>0</v>
      </c>
      <c r="AH51">
        <v>9.51</v>
      </c>
      <c r="AI51">
        <v>1</v>
      </c>
      <c r="AJ51">
        <v>1</v>
      </c>
      <c r="AK51">
        <v>1</v>
      </c>
      <c r="AL51">
        <v>6.83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23.82</v>
      </c>
      <c r="AU51" t="s">
        <v>31</v>
      </c>
      <c r="AV51">
        <v>1</v>
      </c>
      <c r="AW51">
        <v>2</v>
      </c>
      <c r="AX51">
        <v>16492693</v>
      </c>
      <c r="AY51">
        <v>1</v>
      </c>
      <c r="AZ51">
        <v>0</v>
      </c>
      <c r="BA51">
        <v>57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722.27123099999994</v>
      </c>
      <c r="CY51">
        <f>AD51</f>
        <v>64.95</v>
      </c>
      <c r="CZ51">
        <f>AH51</f>
        <v>9.51</v>
      </c>
      <c r="DA51">
        <f>AL51</f>
        <v>6.83</v>
      </c>
      <c r="DB51">
        <v>0</v>
      </c>
    </row>
    <row r="52" spans="1:106" x14ac:dyDescent="0.2">
      <c r="A52">
        <f>ROW(Source!A35)</f>
        <v>35</v>
      </c>
      <c r="B52">
        <v>16492570</v>
      </c>
      <c r="C52">
        <v>16492685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184</v>
      </c>
      <c r="J52" t="s">
        <v>6</v>
      </c>
      <c r="K52" t="s">
        <v>185</v>
      </c>
      <c r="L52">
        <v>1191</v>
      </c>
      <c r="N52">
        <v>1013</v>
      </c>
      <c r="O52" t="s">
        <v>183</v>
      </c>
      <c r="P52" t="s">
        <v>183</v>
      </c>
      <c r="Q52">
        <v>1</v>
      </c>
      <c r="W52">
        <v>0</v>
      </c>
      <c r="X52">
        <v>-1417349443</v>
      </c>
      <c r="Y52">
        <v>0.11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6.83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0.11</v>
      </c>
      <c r="AU52" t="s">
        <v>6</v>
      </c>
      <c r="AV52">
        <v>2</v>
      </c>
      <c r="AW52">
        <v>2</v>
      </c>
      <c r="AX52">
        <v>16492694</v>
      </c>
      <c r="AY52">
        <v>1</v>
      </c>
      <c r="AZ52">
        <v>2048</v>
      </c>
      <c r="BA52">
        <v>58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2.9003700000000001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ROW(Source!A35)</f>
        <v>35</v>
      </c>
      <c r="B53">
        <v>16492570</v>
      </c>
      <c r="C53">
        <v>16492685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186</v>
      </c>
      <c r="J53" t="s">
        <v>187</v>
      </c>
      <c r="K53" t="s">
        <v>188</v>
      </c>
      <c r="L53">
        <v>1368</v>
      </c>
      <c r="N53">
        <v>1011</v>
      </c>
      <c r="O53" t="s">
        <v>189</v>
      </c>
      <c r="P53" t="s">
        <v>189</v>
      </c>
      <c r="Q53">
        <v>1</v>
      </c>
      <c r="W53">
        <v>0</v>
      </c>
      <c r="X53">
        <v>1188625873</v>
      </c>
      <c r="Y53">
        <v>6.25E-2</v>
      </c>
      <c r="AA53">
        <v>0</v>
      </c>
      <c r="AB53">
        <v>213.51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6.83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0.05</v>
      </c>
      <c r="AU53" t="s">
        <v>30</v>
      </c>
      <c r="AV53">
        <v>0</v>
      </c>
      <c r="AW53">
        <v>2</v>
      </c>
      <c r="AX53">
        <v>16492695</v>
      </c>
      <c r="AY53">
        <v>1</v>
      </c>
      <c r="AZ53">
        <v>0</v>
      </c>
      <c r="BA53">
        <v>59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1.6479375000000001</v>
      </c>
      <c r="CY53">
        <f>AB53</f>
        <v>213.51</v>
      </c>
      <c r="CZ53">
        <f>AF53</f>
        <v>31.26</v>
      </c>
      <c r="DA53">
        <f>AJ53</f>
        <v>6.83</v>
      </c>
      <c r="DB53">
        <v>0</v>
      </c>
    </row>
    <row r="54" spans="1:106" x14ac:dyDescent="0.2">
      <c r="A54">
        <f>ROW(Source!A35)</f>
        <v>35</v>
      </c>
      <c r="B54">
        <v>16492570</v>
      </c>
      <c r="C54">
        <v>16492685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195</v>
      </c>
      <c r="J54" t="s">
        <v>196</v>
      </c>
      <c r="K54" t="s">
        <v>197</v>
      </c>
      <c r="L54">
        <v>1368</v>
      </c>
      <c r="N54">
        <v>1011</v>
      </c>
      <c r="O54" t="s">
        <v>189</v>
      </c>
      <c r="P54" t="s">
        <v>189</v>
      </c>
      <c r="Q54">
        <v>1</v>
      </c>
      <c r="W54">
        <v>0</v>
      </c>
      <c r="X54">
        <v>1372534845</v>
      </c>
      <c r="Y54">
        <v>7.4999999999999997E-2</v>
      </c>
      <c r="AA54">
        <v>0</v>
      </c>
      <c r="AB54">
        <v>448.8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6.83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0.06</v>
      </c>
      <c r="AU54" t="s">
        <v>30</v>
      </c>
      <c r="AV54">
        <v>0</v>
      </c>
      <c r="AW54">
        <v>2</v>
      </c>
      <c r="AX54">
        <v>16492696</v>
      </c>
      <c r="AY54">
        <v>1</v>
      </c>
      <c r="AZ54">
        <v>0</v>
      </c>
      <c r="BA54">
        <v>60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1.977525</v>
      </c>
      <c r="CY54">
        <f>AB54</f>
        <v>448.8</v>
      </c>
      <c r="CZ54">
        <f>AF54</f>
        <v>65.709999999999994</v>
      </c>
      <c r="DA54">
        <f>AJ54</f>
        <v>6.83</v>
      </c>
      <c r="DB54">
        <v>0</v>
      </c>
    </row>
    <row r="55" spans="1:106" x14ac:dyDescent="0.2">
      <c r="A55">
        <f>ROW(Source!A35)</f>
        <v>35</v>
      </c>
      <c r="B55">
        <v>16492570</v>
      </c>
      <c r="C55">
        <v>16492685</v>
      </c>
      <c r="D55">
        <v>15187126</v>
      </c>
      <c r="E55">
        <v>1</v>
      </c>
      <c r="F55">
        <v>1</v>
      </c>
      <c r="G55">
        <v>1</v>
      </c>
      <c r="H55">
        <v>3</v>
      </c>
      <c r="I55" t="s">
        <v>50</v>
      </c>
      <c r="J55" t="s">
        <v>53</v>
      </c>
      <c r="K55" t="s">
        <v>51</v>
      </c>
      <c r="L55">
        <v>1327</v>
      </c>
      <c r="N55">
        <v>1005</v>
      </c>
      <c r="O55" t="s">
        <v>52</v>
      </c>
      <c r="P55" t="s">
        <v>52</v>
      </c>
      <c r="Q55">
        <v>1</v>
      </c>
      <c r="W55">
        <v>0</v>
      </c>
      <c r="X55">
        <v>-1358421812</v>
      </c>
      <c r="Y55">
        <v>10.099804000000001</v>
      </c>
      <c r="AA55">
        <v>448.94</v>
      </c>
      <c r="AB55">
        <v>0</v>
      </c>
      <c r="AC55">
        <v>0</v>
      </c>
      <c r="AD55">
        <v>0</v>
      </c>
      <c r="AE55">
        <v>65.73</v>
      </c>
      <c r="AF55">
        <v>0</v>
      </c>
      <c r="AG55">
        <v>0</v>
      </c>
      <c r="AH55">
        <v>0</v>
      </c>
      <c r="AI55">
        <v>6.83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</v>
      </c>
      <c r="AT55">
        <v>10.099804000000001</v>
      </c>
      <c r="AU55" t="s">
        <v>6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266.30153206800003</v>
      </c>
      <c r="CY55">
        <f>AA55</f>
        <v>448.94</v>
      </c>
      <c r="CZ55">
        <f>AE55</f>
        <v>65.73</v>
      </c>
      <c r="DA55">
        <f>AI55</f>
        <v>6.83</v>
      </c>
      <c r="DB55">
        <v>0</v>
      </c>
    </row>
    <row r="56" spans="1:106" x14ac:dyDescent="0.2">
      <c r="A56">
        <f>ROW(Source!A35)</f>
        <v>35</v>
      </c>
      <c r="B56">
        <v>16492570</v>
      </c>
      <c r="C56">
        <v>16492685</v>
      </c>
      <c r="D56">
        <v>15202597</v>
      </c>
      <c r="E56">
        <v>1</v>
      </c>
      <c r="F56">
        <v>1</v>
      </c>
      <c r="G56">
        <v>1</v>
      </c>
      <c r="H56">
        <v>3</v>
      </c>
      <c r="I56" t="s">
        <v>55</v>
      </c>
      <c r="J56" t="s">
        <v>58</v>
      </c>
      <c r="K56" t="s">
        <v>56</v>
      </c>
      <c r="L56">
        <v>1346</v>
      </c>
      <c r="N56">
        <v>1009</v>
      </c>
      <c r="O56" t="s">
        <v>57</v>
      </c>
      <c r="P56" t="s">
        <v>57</v>
      </c>
      <c r="Q56">
        <v>1</v>
      </c>
      <c r="W56">
        <v>0</v>
      </c>
      <c r="X56">
        <v>75744107</v>
      </c>
      <c r="Y56">
        <v>40</v>
      </c>
      <c r="AA56">
        <v>25.2</v>
      </c>
      <c r="AB56">
        <v>0</v>
      </c>
      <c r="AC56">
        <v>0</v>
      </c>
      <c r="AD56">
        <v>0</v>
      </c>
      <c r="AE56">
        <v>3.69</v>
      </c>
      <c r="AF56">
        <v>0</v>
      </c>
      <c r="AG56">
        <v>0</v>
      </c>
      <c r="AH56">
        <v>0</v>
      </c>
      <c r="AI56">
        <v>6.83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40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1054.68</v>
      </c>
      <c r="CY56">
        <f>AA56</f>
        <v>25.2</v>
      </c>
      <c r="CZ56">
        <f>AE56</f>
        <v>3.69</v>
      </c>
      <c r="DA56">
        <f>AI56</f>
        <v>6.83</v>
      </c>
      <c r="DB5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16492634</v>
      </c>
      <c r="C1">
        <v>16492632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181</v>
      </c>
      <c r="J1" t="s">
        <v>6</v>
      </c>
      <c r="K1" t="s">
        <v>182</v>
      </c>
      <c r="L1">
        <v>1191</v>
      </c>
      <c r="N1">
        <v>1013</v>
      </c>
      <c r="O1" t="s">
        <v>183</v>
      </c>
      <c r="P1" t="s">
        <v>183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6</v>
      </c>
      <c r="AG1">
        <v>3.77</v>
      </c>
      <c r="AH1">
        <v>2</v>
      </c>
      <c r="AI1">
        <v>16492633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16492635</v>
      </c>
      <c r="C2">
        <v>16492632</v>
      </c>
      <c r="D2">
        <v>15164566</v>
      </c>
      <c r="E2">
        <v>17</v>
      </c>
      <c r="F2">
        <v>1</v>
      </c>
      <c r="G2">
        <v>1</v>
      </c>
      <c r="H2">
        <v>3</v>
      </c>
      <c r="I2" t="s">
        <v>229</v>
      </c>
      <c r="J2" t="s">
        <v>6</v>
      </c>
      <c r="K2" t="s">
        <v>230</v>
      </c>
      <c r="L2">
        <v>1348</v>
      </c>
      <c r="N2">
        <v>1009</v>
      </c>
      <c r="O2" t="s">
        <v>205</v>
      </c>
      <c r="P2" t="s">
        <v>205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6</v>
      </c>
      <c r="AG2">
        <v>0.11</v>
      </c>
      <c r="AH2">
        <v>3</v>
      </c>
      <c r="AI2">
        <v>-1</v>
      </c>
      <c r="AJ2" t="s">
        <v>6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16492634</v>
      </c>
      <c r="C3">
        <v>16492632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181</v>
      </c>
      <c r="J3" t="s">
        <v>6</v>
      </c>
      <c r="K3" t="s">
        <v>182</v>
      </c>
      <c r="L3">
        <v>1191</v>
      </c>
      <c r="N3">
        <v>1013</v>
      </c>
      <c r="O3" t="s">
        <v>183</v>
      </c>
      <c r="P3" t="s">
        <v>183</v>
      </c>
      <c r="Q3">
        <v>1</v>
      </c>
      <c r="X3">
        <v>3.77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6</v>
      </c>
      <c r="AG3">
        <v>3.77</v>
      </c>
      <c r="AH3">
        <v>2</v>
      </c>
      <c r="AI3">
        <v>16492633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16492635</v>
      </c>
      <c r="C4">
        <v>16492632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229</v>
      </c>
      <c r="J4" t="s">
        <v>6</v>
      </c>
      <c r="K4" t="s">
        <v>230</v>
      </c>
      <c r="L4">
        <v>1348</v>
      </c>
      <c r="N4">
        <v>1009</v>
      </c>
      <c r="O4" t="s">
        <v>205</v>
      </c>
      <c r="P4" t="s">
        <v>205</v>
      </c>
      <c r="Q4">
        <v>1000</v>
      </c>
      <c r="X4">
        <v>0.11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0.11</v>
      </c>
      <c r="AH4">
        <v>3</v>
      </c>
      <c r="AI4">
        <v>-1</v>
      </c>
      <c r="AJ4" t="s">
        <v>6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ROW(Source!A26)</f>
        <v>26</v>
      </c>
      <c r="B5">
        <v>16492640</v>
      </c>
      <c r="C5">
        <v>16492636</v>
      </c>
      <c r="D5">
        <v>15430517</v>
      </c>
      <c r="E5">
        <v>1</v>
      </c>
      <c r="F5">
        <v>1</v>
      </c>
      <c r="G5">
        <v>1</v>
      </c>
      <c r="H5">
        <v>1</v>
      </c>
      <c r="I5" t="s">
        <v>181</v>
      </c>
      <c r="J5" t="s">
        <v>6</v>
      </c>
      <c r="K5" t="s">
        <v>182</v>
      </c>
      <c r="L5">
        <v>1191</v>
      </c>
      <c r="N5">
        <v>1013</v>
      </c>
      <c r="O5" t="s">
        <v>183</v>
      </c>
      <c r="P5" t="s">
        <v>183</v>
      </c>
      <c r="Q5">
        <v>1</v>
      </c>
      <c r="X5">
        <v>11.39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6</v>
      </c>
      <c r="AG5">
        <v>11.39</v>
      </c>
      <c r="AH5">
        <v>2</v>
      </c>
      <c r="AI5">
        <v>16492637</v>
      </c>
      <c r="AJ5">
        <v>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ROW(Source!A26)</f>
        <v>26</v>
      </c>
      <c r="B6">
        <v>16492641</v>
      </c>
      <c r="C6">
        <v>16492636</v>
      </c>
      <c r="D6">
        <v>15430395</v>
      </c>
      <c r="E6">
        <v>1</v>
      </c>
      <c r="F6">
        <v>1</v>
      </c>
      <c r="G6">
        <v>1</v>
      </c>
      <c r="H6">
        <v>1</v>
      </c>
      <c r="I6" t="s">
        <v>184</v>
      </c>
      <c r="J6" t="s">
        <v>6</v>
      </c>
      <c r="K6" t="s">
        <v>185</v>
      </c>
      <c r="L6">
        <v>1191</v>
      </c>
      <c r="N6">
        <v>1013</v>
      </c>
      <c r="O6" t="s">
        <v>183</v>
      </c>
      <c r="P6" t="s">
        <v>183</v>
      </c>
      <c r="Q6">
        <v>1</v>
      </c>
      <c r="X6">
        <v>0.13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6</v>
      </c>
      <c r="AG6">
        <v>0.13</v>
      </c>
      <c r="AH6">
        <v>2</v>
      </c>
      <c r="AI6">
        <v>16492638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16492642</v>
      </c>
      <c r="C7">
        <v>16492636</v>
      </c>
      <c r="D7">
        <v>15247974</v>
      </c>
      <c r="E7">
        <v>1</v>
      </c>
      <c r="F7">
        <v>1</v>
      </c>
      <c r="G7">
        <v>1</v>
      </c>
      <c r="H7">
        <v>2</v>
      </c>
      <c r="I7" t="s">
        <v>186</v>
      </c>
      <c r="J7" t="s">
        <v>187</v>
      </c>
      <c r="K7" t="s">
        <v>188</v>
      </c>
      <c r="L7">
        <v>1368</v>
      </c>
      <c r="N7">
        <v>1011</v>
      </c>
      <c r="O7" t="s">
        <v>189</v>
      </c>
      <c r="P7" t="s">
        <v>189</v>
      </c>
      <c r="Q7">
        <v>1</v>
      </c>
      <c r="X7">
        <v>0.13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0.13</v>
      </c>
      <c r="AH7">
        <v>2</v>
      </c>
      <c r="AI7">
        <v>16492639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16492643</v>
      </c>
      <c r="C8">
        <v>16492636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229</v>
      </c>
      <c r="J8" t="s">
        <v>6</v>
      </c>
      <c r="K8" t="s">
        <v>230</v>
      </c>
      <c r="L8">
        <v>1348</v>
      </c>
      <c r="N8">
        <v>1009</v>
      </c>
      <c r="O8" t="s">
        <v>205</v>
      </c>
      <c r="P8" t="s">
        <v>205</v>
      </c>
      <c r="Q8">
        <v>1000</v>
      </c>
      <c r="X8">
        <v>0.47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0.47</v>
      </c>
      <c r="AH8">
        <v>3</v>
      </c>
      <c r="AI8">
        <v>-1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ROW(Source!A27)</f>
        <v>27</v>
      </c>
      <c r="B9">
        <v>16492640</v>
      </c>
      <c r="C9">
        <v>16492636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181</v>
      </c>
      <c r="J9" t="s">
        <v>6</v>
      </c>
      <c r="K9" t="s">
        <v>182</v>
      </c>
      <c r="L9">
        <v>1191</v>
      </c>
      <c r="N9">
        <v>1013</v>
      </c>
      <c r="O9" t="s">
        <v>183</v>
      </c>
      <c r="P9" t="s">
        <v>183</v>
      </c>
      <c r="Q9">
        <v>1</v>
      </c>
      <c r="X9">
        <v>11.39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6</v>
      </c>
      <c r="AG9">
        <v>11.39</v>
      </c>
      <c r="AH9">
        <v>2</v>
      </c>
      <c r="AI9">
        <v>16492637</v>
      </c>
      <c r="AJ9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16492641</v>
      </c>
      <c r="C10">
        <v>16492636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184</v>
      </c>
      <c r="J10" t="s">
        <v>6</v>
      </c>
      <c r="K10" t="s">
        <v>185</v>
      </c>
      <c r="L10">
        <v>1191</v>
      </c>
      <c r="N10">
        <v>1013</v>
      </c>
      <c r="O10" t="s">
        <v>183</v>
      </c>
      <c r="P10" t="s">
        <v>183</v>
      </c>
      <c r="Q10">
        <v>1</v>
      </c>
      <c r="X10">
        <v>0.13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6</v>
      </c>
      <c r="AG10">
        <v>0.13</v>
      </c>
      <c r="AH10">
        <v>2</v>
      </c>
      <c r="AI10">
        <v>16492638</v>
      </c>
      <c r="AJ10">
        <v>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16492642</v>
      </c>
      <c r="C11">
        <v>16492636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186</v>
      </c>
      <c r="J11" t="s">
        <v>187</v>
      </c>
      <c r="K11" t="s">
        <v>188</v>
      </c>
      <c r="L11">
        <v>1368</v>
      </c>
      <c r="N11">
        <v>1011</v>
      </c>
      <c r="O11" t="s">
        <v>189</v>
      </c>
      <c r="P11" t="s">
        <v>189</v>
      </c>
      <c r="Q11">
        <v>1</v>
      </c>
      <c r="X11">
        <v>0.13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0.13</v>
      </c>
      <c r="AH11">
        <v>2</v>
      </c>
      <c r="AI11">
        <v>16492639</v>
      </c>
      <c r="AJ11">
        <v>8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16492643</v>
      </c>
      <c r="C12">
        <v>16492636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229</v>
      </c>
      <c r="J12" t="s">
        <v>6</v>
      </c>
      <c r="K12" t="s">
        <v>230</v>
      </c>
      <c r="L12">
        <v>1348</v>
      </c>
      <c r="N12">
        <v>1009</v>
      </c>
      <c r="O12" t="s">
        <v>205</v>
      </c>
      <c r="P12" t="s">
        <v>205</v>
      </c>
      <c r="Q12">
        <v>1000</v>
      </c>
      <c r="X12">
        <v>0.47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0.47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16492652</v>
      </c>
      <c r="C13">
        <v>16492644</v>
      </c>
      <c r="D13">
        <v>15430767</v>
      </c>
      <c r="E13">
        <v>1</v>
      </c>
      <c r="F13">
        <v>1</v>
      </c>
      <c r="G13">
        <v>1</v>
      </c>
      <c r="H13">
        <v>1</v>
      </c>
      <c r="I13" t="s">
        <v>190</v>
      </c>
      <c r="J13" t="s">
        <v>6</v>
      </c>
      <c r="K13" t="s">
        <v>191</v>
      </c>
      <c r="L13">
        <v>1191</v>
      </c>
      <c r="N13">
        <v>1013</v>
      </c>
      <c r="O13" t="s">
        <v>183</v>
      </c>
      <c r="P13" t="s">
        <v>183</v>
      </c>
      <c r="Q13">
        <v>1</v>
      </c>
      <c r="X13">
        <v>37.67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31</v>
      </c>
      <c r="AG13">
        <v>43.320499999999996</v>
      </c>
      <c r="AH13">
        <v>2</v>
      </c>
      <c r="AI13">
        <v>16492645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16492653</v>
      </c>
      <c r="C14">
        <v>16492644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184</v>
      </c>
      <c r="J14" t="s">
        <v>6</v>
      </c>
      <c r="K14" t="s">
        <v>185</v>
      </c>
      <c r="L14">
        <v>1191</v>
      </c>
      <c r="N14">
        <v>1013</v>
      </c>
      <c r="O14" t="s">
        <v>183</v>
      </c>
      <c r="P14" t="s">
        <v>183</v>
      </c>
      <c r="Q14">
        <v>1</v>
      </c>
      <c r="X14">
        <v>0.17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30</v>
      </c>
      <c r="AG14">
        <v>0.21250000000000002</v>
      </c>
      <c r="AH14">
        <v>2</v>
      </c>
      <c r="AI14">
        <v>16492646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16492654</v>
      </c>
      <c r="C15">
        <v>16492644</v>
      </c>
      <c r="D15">
        <v>15247970</v>
      </c>
      <c r="E15">
        <v>1</v>
      </c>
      <c r="F15">
        <v>1</v>
      </c>
      <c r="G15">
        <v>1</v>
      </c>
      <c r="H15">
        <v>2</v>
      </c>
      <c r="I15" t="s">
        <v>192</v>
      </c>
      <c r="J15" t="s">
        <v>193</v>
      </c>
      <c r="K15" t="s">
        <v>194</v>
      </c>
      <c r="L15">
        <v>1368</v>
      </c>
      <c r="N15">
        <v>1011</v>
      </c>
      <c r="O15" t="s">
        <v>189</v>
      </c>
      <c r="P15" t="s">
        <v>189</v>
      </c>
      <c r="Q15">
        <v>1</v>
      </c>
      <c r="X15">
        <v>0.13</v>
      </c>
      <c r="Y15">
        <v>0</v>
      </c>
      <c r="Z15">
        <v>27.66</v>
      </c>
      <c r="AA15">
        <v>11.6</v>
      </c>
      <c r="AB15">
        <v>0</v>
      </c>
      <c r="AC15">
        <v>0</v>
      </c>
      <c r="AD15">
        <v>1</v>
      </c>
      <c r="AE15">
        <v>0</v>
      </c>
      <c r="AF15" t="s">
        <v>30</v>
      </c>
      <c r="AG15">
        <v>0.16250000000000001</v>
      </c>
      <c r="AH15">
        <v>2</v>
      </c>
      <c r="AI15">
        <v>16492647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16492655</v>
      </c>
      <c r="C16">
        <v>16492644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195</v>
      </c>
      <c r="J16" t="s">
        <v>196</v>
      </c>
      <c r="K16" t="s">
        <v>197</v>
      </c>
      <c r="L16">
        <v>1368</v>
      </c>
      <c r="N16">
        <v>1011</v>
      </c>
      <c r="O16" t="s">
        <v>189</v>
      </c>
      <c r="P16" t="s">
        <v>189</v>
      </c>
      <c r="Q16">
        <v>1</v>
      </c>
      <c r="X16">
        <v>0.04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30</v>
      </c>
      <c r="AG16">
        <v>0.05</v>
      </c>
      <c r="AH16">
        <v>2</v>
      </c>
      <c r="AI16">
        <v>16492648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16492656</v>
      </c>
      <c r="C17">
        <v>16492644</v>
      </c>
      <c r="D17">
        <v>15167286</v>
      </c>
      <c r="E17">
        <v>1</v>
      </c>
      <c r="F17">
        <v>1</v>
      </c>
      <c r="G17">
        <v>1</v>
      </c>
      <c r="H17">
        <v>3</v>
      </c>
      <c r="I17" t="s">
        <v>198</v>
      </c>
      <c r="J17" t="s">
        <v>199</v>
      </c>
      <c r="K17" t="s">
        <v>200</v>
      </c>
      <c r="L17">
        <v>1339</v>
      </c>
      <c r="N17">
        <v>1007</v>
      </c>
      <c r="O17" t="s">
        <v>201</v>
      </c>
      <c r="P17" t="s">
        <v>201</v>
      </c>
      <c r="Q17">
        <v>1</v>
      </c>
      <c r="X17">
        <v>0.17399999999999999</v>
      </c>
      <c r="Y17">
        <v>2.44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0.17399999999999999</v>
      </c>
      <c r="AH17">
        <v>2</v>
      </c>
      <c r="AI17">
        <v>16492649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16492657</v>
      </c>
      <c r="C18">
        <v>16492644</v>
      </c>
      <c r="D18">
        <v>15172906</v>
      </c>
      <c r="E18">
        <v>1</v>
      </c>
      <c r="F18">
        <v>1</v>
      </c>
      <c r="G18">
        <v>1</v>
      </c>
      <c r="H18">
        <v>3</v>
      </c>
      <c r="I18" t="s">
        <v>202</v>
      </c>
      <c r="J18" t="s">
        <v>203</v>
      </c>
      <c r="K18" t="s">
        <v>204</v>
      </c>
      <c r="L18">
        <v>1348</v>
      </c>
      <c r="N18">
        <v>1009</v>
      </c>
      <c r="O18" t="s">
        <v>205</v>
      </c>
      <c r="P18" t="s">
        <v>205</v>
      </c>
      <c r="Q18">
        <v>1000</v>
      </c>
      <c r="X18">
        <v>0.9</v>
      </c>
      <c r="Y18">
        <v>11381.57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0.9</v>
      </c>
      <c r="AH18">
        <v>2</v>
      </c>
      <c r="AI18">
        <v>16492650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16492658</v>
      </c>
      <c r="C19">
        <v>16492644</v>
      </c>
      <c r="D19">
        <v>15203485</v>
      </c>
      <c r="E19">
        <v>1</v>
      </c>
      <c r="F19">
        <v>1</v>
      </c>
      <c r="G19">
        <v>1</v>
      </c>
      <c r="H19">
        <v>3</v>
      </c>
      <c r="I19" t="s">
        <v>206</v>
      </c>
      <c r="J19" t="s">
        <v>207</v>
      </c>
      <c r="K19" t="s">
        <v>208</v>
      </c>
      <c r="L19">
        <v>1346</v>
      </c>
      <c r="N19">
        <v>1009</v>
      </c>
      <c r="O19" t="s">
        <v>57</v>
      </c>
      <c r="P19" t="s">
        <v>57</v>
      </c>
      <c r="Q19">
        <v>1</v>
      </c>
      <c r="X19">
        <v>30</v>
      </c>
      <c r="Y19">
        <v>15.25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30</v>
      </c>
      <c r="AH19">
        <v>2</v>
      </c>
      <c r="AI19">
        <v>16492651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16492652</v>
      </c>
      <c r="C20">
        <v>16492644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190</v>
      </c>
      <c r="J20" t="s">
        <v>6</v>
      </c>
      <c r="K20" t="s">
        <v>191</v>
      </c>
      <c r="L20">
        <v>1191</v>
      </c>
      <c r="N20">
        <v>1013</v>
      </c>
      <c r="O20" t="s">
        <v>183</v>
      </c>
      <c r="P20" t="s">
        <v>183</v>
      </c>
      <c r="Q20">
        <v>1</v>
      </c>
      <c r="X20">
        <v>37.67</v>
      </c>
      <c r="Y20">
        <v>0</v>
      </c>
      <c r="Z20">
        <v>0</v>
      </c>
      <c r="AA20">
        <v>0</v>
      </c>
      <c r="AB20">
        <v>8.5299999999999994</v>
      </c>
      <c r="AC20">
        <v>0</v>
      </c>
      <c r="AD20">
        <v>1</v>
      </c>
      <c r="AE20">
        <v>1</v>
      </c>
      <c r="AF20" t="s">
        <v>31</v>
      </c>
      <c r="AG20">
        <v>43.320499999999996</v>
      </c>
      <c r="AH20">
        <v>2</v>
      </c>
      <c r="AI20">
        <v>16492645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ROW(Source!A29)</f>
        <v>29</v>
      </c>
      <c r="B21">
        <v>16492653</v>
      </c>
      <c r="C21">
        <v>16492644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184</v>
      </c>
      <c r="J21" t="s">
        <v>6</v>
      </c>
      <c r="K21" t="s">
        <v>185</v>
      </c>
      <c r="L21">
        <v>1191</v>
      </c>
      <c r="N21">
        <v>1013</v>
      </c>
      <c r="O21" t="s">
        <v>183</v>
      </c>
      <c r="P21" t="s">
        <v>183</v>
      </c>
      <c r="Q21">
        <v>1</v>
      </c>
      <c r="X21">
        <v>0.17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30</v>
      </c>
      <c r="AG21">
        <v>0.21250000000000002</v>
      </c>
      <c r="AH21">
        <v>2</v>
      </c>
      <c r="AI21">
        <v>16492646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ROW(Source!A29)</f>
        <v>29</v>
      </c>
      <c r="B22">
        <v>16492654</v>
      </c>
      <c r="C22">
        <v>16492644</v>
      </c>
      <c r="D22">
        <v>15247970</v>
      </c>
      <c r="E22">
        <v>1</v>
      </c>
      <c r="F22">
        <v>1</v>
      </c>
      <c r="G22">
        <v>1</v>
      </c>
      <c r="H22">
        <v>2</v>
      </c>
      <c r="I22" t="s">
        <v>192</v>
      </c>
      <c r="J22" t="s">
        <v>193</v>
      </c>
      <c r="K22" t="s">
        <v>194</v>
      </c>
      <c r="L22">
        <v>1368</v>
      </c>
      <c r="N22">
        <v>1011</v>
      </c>
      <c r="O22" t="s">
        <v>189</v>
      </c>
      <c r="P22" t="s">
        <v>189</v>
      </c>
      <c r="Q22">
        <v>1</v>
      </c>
      <c r="X22">
        <v>0.13</v>
      </c>
      <c r="Y22">
        <v>0</v>
      </c>
      <c r="Z22">
        <v>27.66</v>
      </c>
      <c r="AA22">
        <v>11.6</v>
      </c>
      <c r="AB22">
        <v>0</v>
      </c>
      <c r="AC22">
        <v>0</v>
      </c>
      <c r="AD22">
        <v>1</v>
      </c>
      <c r="AE22">
        <v>0</v>
      </c>
      <c r="AF22" t="s">
        <v>30</v>
      </c>
      <c r="AG22">
        <v>0.16250000000000001</v>
      </c>
      <c r="AH22">
        <v>2</v>
      </c>
      <c r="AI22">
        <v>16492647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ROW(Source!A29)</f>
        <v>29</v>
      </c>
      <c r="B23">
        <v>16492655</v>
      </c>
      <c r="C23">
        <v>16492644</v>
      </c>
      <c r="D23">
        <v>15249073</v>
      </c>
      <c r="E23">
        <v>1</v>
      </c>
      <c r="F23">
        <v>1</v>
      </c>
      <c r="G23">
        <v>1</v>
      </c>
      <c r="H23">
        <v>2</v>
      </c>
      <c r="I23" t="s">
        <v>195</v>
      </c>
      <c r="J23" t="s">
        <v>196</v>
      </c>
      <c r="K23" t="s">
        <v>197</v>
      </c>
      <c r="L23">
        <v>1368</v>
      </c>
      <c r="N23">
        <v>1011</v>
      </c>
      <c r="O23" t="s">
        <v>189</v>
      </c>
      <c r="P23" t="s">
        <v>189</v>
      </c>
      <c r="Q23">
        <v>1</v>
      </c>
      <c r="X23">
        <v>0.04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30</v>
      </c>
      <c r="AG23">
        <v>0.05</v>
      </c>
      <c r="AH23">
        <v>2</v>
      </c>
      <c r="AI23">
        <v>16492648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16492656</v>
      </c>
      <c r="C24">
        <v>16492644</v>
      </c>
      <c r="D24">
        <v>15167286</v>
      </c>
      <c r="E24">
        <v>1</v>
      </c>
      <c r="F24">
        <v>1</v>
      </c>
      <c r="G24">
        <v>1</v>
      </c>
      <c r="H24">
        <v>3</v>
      </c>
      <c r="I24" t="s">
        <v>198</v>
      </c>
      <c r="J24" t="s">
        <v>199</v>
      </c>
      <c r="K24" t="s">
        <v>200</v>
      </c>
      <c r="L24">
        <v>1339</v>
      </c>
      <c r="N24">
        <v>1007</v>
      </c>
      <c r="O24" t="s">
        <v>201</v>
      </c>
      <c r="P24" t="s">
        <v>201</v>
      </c>
      <c r="Q24">
        <v>1</v>
      </c>
      <c r="X24">
        <v>0.17399999999999999</v>
      </c>
      <c r="Y24">
        <v>2.44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0.17399999999999999</v>
      </c>
      <c r="AH24">
        <v>2</v>
      </c>
      <c r="AI24">
        <v>16492649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16492657</v>
      </c>
      <c r="C25">
        <v>16492644</v>
      </c>
      <c r="D25">
        <v>15172906</v>
      </c>
      <c r="E25">
        <v>1</v>
      </c>
      <c r="F25">
        <v>1</v>
      </c>
      <c r="G25">
        <v>1</v>
      </c>
      <c r="H25">
        <v>3</v>
      </c>
      <c r="I25" t="s">
        <v>202</v>
      </c>
      <c r="J25" t="s">
        <v>203</v>
      </c>
      <c r="K25" t="s">
        <v>204</v>
      </c>
      <c r="L25">
        <v>1348</v>
      </c>
      <c r="N25">
        <v>1009</v>
      </c>
      <c r="O25" t="s">
        <v>205</v>
      </c>
      <c r="P25" t="s">
        <v>205</v>
      </c>
      <c r="Q25">
        <v>1000</v>
      </c>
      <c r="X25">
        <v>0.9</v>
      </c>
      <c r="Y25">
        <v>11381.57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0.9</v>
      </c>
      <c r="AH25">
        <v>2</v>
      </c>
      <c r="AI25">
        <v>16492650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16492658</v>
      </c>
      <c r="C26">
        <v>16492644</v>
      </c>
      <c r="D26">
        <v>15203485</v>
      </c>
      <c r="E26">
        <v>1</v>
      </c>
      <c r="F26">
        <v>1</v>
      </c>
      <c r="G26">
        <v>1</v>
      </c>
      <c r="H26">
        <v>3</v>
      </c>
      <c r="I26" t="s">
        <v>206</v>
      </c>
      <c r="J26" t="s">
        <v>207</v>
      </c>
      <c r="K26" t="s">
        <v>208</v>
      </c>
      <c r="L26">
        <v>1346</v>
      </c>
      <c r="N26">
        <v>1009</v>
      </c>
      <c r="O26" t="s">
        <v>57</v>
      </c>
      <c r="P26" t="s">
        <v>57</v>
      </c>
      <c r="Q26">
        <v>1</v>
      </c>
      <c r="X26">
        <v>30</v>
      </c>
      <c r="Y26">
        <v>15.25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30</v>
      </c>
      <c r="AH26">
        <v>2</v>
      </c>
      <c r="AI26">
        <v>16492651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16495848</v>
      </c>
      <c r="C27">
        <v>16495847</v>
      </c>
      <c r="D27">
        <v>15436014</v>
      </c>
      <c r="E27">
        <v>1</v>
      </c>
      <c r="F27">
        <v>1</v>
      </c>
      <c r="G27">
        <v>1</v>
      </c>
      <c r="H27">
        <v>1</v>
      </c>
      <c r="I27" t="s">
        <v>209</v>
      </c>
      <c r="J27" t="s">
        <v>6</v>
      </c>
      <c r="K27" t="s">
        <v>210</v>
      </c>
      <c r="L27">
        <v>1191</v>
      </c>
      <c r="N27">
        <v>1013</v>
      </c>
      <c r="O27" t="s">
        <v>183</v>
      </c>
      <c r="P27" t="s">
        <v>183</v>
      </c>
      <c r="Q27">
        <v>1</v>
      </c>
      <c r="X27">
        <v>310.42</v>
      </c>
      <c r="Y27">
        <v>0</v>
      </c>
      <c r="Z27">
        <v>0</v>
      </c>
      <c r="AA27">
        <v>0</v>
      </c>
      <c r="AB27">
        <v>8.74</v>
      </c>
      <c r="AC27">
        <v>0</v>
      </c>
      <c r="AD27">
        <v>1</v>
      </c>
      <c r="AE27">
        <v>1</v>
      </c>
      <c r="AF27" t="s">
        <v>6</v>
      </c>
      <c r="AG27">
        <v>310.42</v>
      </c>
      <c r="AH27">
        <v>2</v>
      </c>
      <c r="AI27">
        <v>16495848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16495849</v>
      </c>
      <c r="C28">
        <v>16495847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184</v>
      </c>
      <c r="J28" t="s">
        <v>6</v>
      </c>
      <c r="K28" t="s">
        <v>185</v>
      </c>
      <c r="L28">
        <v>1191</v>
      </c>
      <c r="N28">
        <v>1013</v>
      </c>
      <c r="O28" t="s">
        <v>183</v>
      </c>
      <c r="P28" t="s">
        <v>183</v>
      </c>
      <c r="Q28">
        <v>1</v>
      </c>
      <c r="X28">
        <v>1.73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6</v>
      </c>
      <c r="AG28">
        <v>1.73</v>
      </c>
      <c r="AH28">
        <v>2</v>
      </c>
      <c r="AI28">
        <v>16495849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16495850</v>
      </c>
      <c r="C29">
        <v>16495847</v>
      </c>
      <c r="D29">
        <v>15247576</v>
      </c>
      <c r="E29">
        <v>1</v>
      </c>
      <c r="F29">
        <v>1</v>
      </c>
      <c r="G29">
        <v>1</v>
      </c>
      <c r="H29">
        <v>2</v>
      </c>
      <c r="I29" t="s">
        <v>211</v>
      </c>
      <c r="J29" t="s">
        <v>212</v>
      </c>
      <c r="K29" t="s">
        <v>213</v>
      </c>
      <c r="L29">
        <v>1368</v>
      </c>
      <c r="N29">
        <v>1011</v>
      </c>
      <c r="O29" t="s">
        <v>189</v>
      </c>
      <c r="P29" t="s">
        <v>189</v>
      </c>
      <c r="Q29">
        <v>1</v>
      </c>
      <c r="X29">
        <v>0.02</v>
      </c>
      <c r="Y29">
        <v>0</v>
      </c>
      <c r="Z29">
        <v>83.43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0.02</v>
      </c>
      <c r="AH29">
        <v>2</v>
      </c>
      <c r="AI29">
        <v>16495850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16495851</v>
      </c>
      <c r="C30">
        <v>16495847</v>
      </c>
      <c r="D30">
        <v>15247678</v>
      </c>
      <c r="E30">
        <v>1</v>
      </c>
      <c r="F30">
        <v>1</v>
      </c>
      <c r="G30">
        <v>1</v>
      </c>
      <c r="H30">
        <v>2</v>
      </c>
      <c r="I30" t="s">
        <v>214</v>
      </c>
      <c r="J30" t="s">
        <v>215</v>
      </c>
      <c r="K30" t="s">
        <v>216</v>
      </c>
      <c r="L30">
        <v>1368</v>
      </c>
      <c r="N30">
        <v>1011</v>
      </c>
      <c r="O30" t="s">
        <v>189</v>
      </c>
      <c r="P30" t="s">
        <v>189</v>
      </c>
      <c r="Q30">
        <v>1</v>
      </c>
      <c r="X30">
        <v>0.01</v>
      </c>
      <c r="Y30">
        <v>0</v>
      </c>
      <c r="Z30">
        <v>88.01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0.01</v>
      </c>
      <c r="AH30">
        <v>2</v>
      </c>
      <c r="AI30">
        <v>16495851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16495852</v>
      </c>
      <c r="C31">
        <v>16495847</v>
      </c>
      <c r="D31">
        <v>15248143</v>
      </c>
      <c r="E31">
        <v>1</v>
      </c>
      <c r="F31">
        <v>1</v>
      </c>
      <c r="G31">
        <v>1</v>
      </c>
      <c r="H31">
        <v>2</v>
      </c>
      <c r="I31" t="s">
        <v>217</v>
      </c>
      <c r="J31" t="s">
        <v>218</v>
      </c>
      <c r="K31" t="s">
        <v>219</v>
      </c>
      <c r="L31">
        <v>1368</v>
      </c>
      <c r="N31">
        <v>1011</v>
      </c>
      <c r="O31" t="s">
        <v>189</v>
      </c>
      <c r="P31" t="s">
        <v>189</v>
      </c>
      <c r="Q31">
        <v>1</v>
      </c>
      <c r="X31">
        <v>1.69</v>
      </c>
      <c r="Y31">
        <v>0</v>
      </c>
      <c r="Z31">
        <v>12.39</v>
      </c>
      <c r="AA31">
        <v>10.06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1.69</v>
      </c>
      <c r="AH31">
        <v>2</v>
      </c>
      <c r="AI31">
        <v>16495852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16495853</v>
      </c>
      <c r="C32">
        <v>16495847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195</v>
      </c>
      <c r="J32" t="s">
        <v>196</v>
      </c>
      <c r="K32" t="s">
        <v>197</v>
      </c>
      <c r="L32">
        <v>1368</v>
      </c>
      <c r="N32">
        <v>1011</v>
      </c>
      <c r="O32" t="s">
        <v>189</v>
      </c>
      <c r="P32" t="s">
        <v>189</v>
      </c>
      <c r="Q32">
        <v>1</v>
      </c>
      <c r="X32">
        <v>0.01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0.01</v>
      </c>
      <c r="AH32">
        <v>2</v>
      </c>
      <c r="AI32">
        <v>16495853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16495854</v>
      </c>
      <c r="C33">
        <v>16495847</v>
      </c>
      <c r="D33">
        <v>15167286</v>
      </c>
      <c r="E33">
        <v>1</v>
      </c>
      <c r="F33">
        <v>1</v>
      </c>
      <c r="G33">
        <v>1</v>
      </c>
      <c r="H33">
        <v>3</v>
      </c>
      <c r="I33" t="s">
        <v>198</v>
      </c>
      <c r="J33" t="s">
        <v>199</v>
      </c>
      <c r="K33" t="s">
        <v>200</v>
      </c>
      <c r="L33">
        <v>1339</v>
      </c>
      <c r="N33">
        <v>1007</v>
      </c>
      <c r="O33" t="s">
        <v>201</v>
      </c>
      <c r="P33" t="s">
        <v>201</v>
      </c>
      <c r="Q33">
        <v>1</v>
      </c>
      <c r="X33">
        <v>0.44</v>
      </c>
      <c r="Y33">
        <v>2.44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0.44</v>
      </c>
      <c r="AH33">
        <v>2</v>
      </c>
      <c r="AI33">
        <v>16495854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16495855</v>
      </c>
      <c r="C34">
        <v>16495847</v>
      </c>
      <c r="D34">
        <v>15173044</v>
      </c>
      <c r="E34">
        <v>1</v>
      </c>
      <c r="F34">
        <v>1</v>
      </c>
      <c r="G34">
        <v>1</v>
      </c>
      <c r="H34">
        <v>3</v>
      </c>
      <c r="I34" t="s">
        <v>220</v>
      </c>
      <c r="J34" t="s">
        <v>221</v>
      </c>
      <c r="K34" t="s">
        <v>222</v>
      </c>
      <c r="L34">
        <v>1348</v>
      </c>
      <c r="N34">
        <v>1009</v>
      </c>
      <c r="O34" t="s">
        <v>205</v>
      </c>
      <c r="P34" t="s">
        <v>205</v>
      </c>
      <c r="Q34">
        <v>1000</v>
      </c>
      <c r="X34">
        <v>1.2999999999999999E-2</v>
      </c>
      <c r="Y34">
        <v>6513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1.2999999999999999E-2</v>
      </c>
      <c r="AH34">
        <v>2</v>
      </c>
      <c r="AI34">
        <v>16495855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16495856</v>
      </c>
      <c r="C35">
        <v>16495847</v>
      </c>
      <c r="D35">
        <v>15187102</v>
      </c>
      <c r="E35">
        <v>1</v>
      </c>
      <c r="F35">
        <v>1</v>
      </c>
      <c r="G35">
        <v>1</v>
      </c>
      <c r="H35">
        <v>3</v>
      </c>
      <c r="I35" t="s">
        <v>223</v>
      </c>
      <c r="J35" t="s">
        <v>224</v>
      </c>
      <c r="K35" t="s">
        <v>225</v>
      </c>
      <c r="L35">
        <v>1327</v>
      </c>
      <c r="N35">
        <v>1005</v>
      </c>
      <c r="O35" t="s">
        <v>52</v>
      </c>
      <c r="P35" t="s">
        <v>52</v>
      </c>
      <c r="Q35">
        <v>1</v>
      </c>
      <c r="X35">
        <v>102</v>
      </c>
      <c r="Y35">
        <v>140.44999999999999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102</v>
      </c>
      <c r="AH35">
        <v>2</v>
      </c>
      <c r="AI35">
        <v>16495856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ROW(Source!A30)</f>
        <v>30</v>
      </c>
      <c r="B36">
        <v>16495857</v>
      </c>
      <c r="C36">
        <v>16495847</v>
      </c>
      <c r="D36">
        <v>15162768</v>
      </c>
      <c r="E36">
        <v>17</v>
      </c>
      <c r="F36">
        <v>1</v>
      </c>
      <c r="G36">
        <v>1</v>
      </c>
      <c r="H36">
        <v>3</v>
      </c>
      <c r="I36" t="s">
        <v>231</v>
      </c>
      <c r="J36" t="s">
        <v>6</v>
      </c>
      <c r="K36" t="s">
        <v>232</v>
      </c>
      <c r="L36">
        <v>1339</v>
      </c>
      <c r="N36">
        <v>1007</v>
      </c>
      <c r="O36" t="s">
        <v>201</v>
      </c>
      <c r="P36" t="s">
        <v>201</v>
      </c>
      <c r="Q36">
        <v>1</v>
      </c>
      <c r="X36">
        <v>0.01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6</v>
      </c>
      <c r="AG36">
        <v>0.01</v>
      </c>
      <c r="AH36">
        <v>3</v>
      </c>
      <c r="AI36">
        <v>-1</v>
      </c>
      <c r="AJ36" t="s">
        <v>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ROW(Source!A30)</f>
        <v>30</v>
      </c>
      <c r="B37">
        <v>16495858</v>
      </c>
      <c r="C37">
        <v>16495847</v>
      </c>
      <c r="D37">
        <v>15202597</v>
      </c>
      <c r="E37">
        <v>1</v>
      </c>
      <c r="F37">
        <v>1</v>
      </c>
      <c r="G37">
        <v>1</v>
      </c>
      <c r="H37">
        <v>3</v>
      </c>
      <c r="I37" t="s">
        <v>55</v>
      </c>
      <c r="J37" t="s">
        <v>58</v>
      </c>
      <c r="K37" t="s">
        <v>226</v>
      </c>
      <c r="L37">
        <v>1346</v>
      </c>
      <c r="N37">
        <v>1009</v>
      </c>
      <c r="O37" t="s">
        <v>57</v>
      </c>
      <c r="P37" t="s">
        <v>57</v>
      </c>
      <c r="Q37">
        <v>1</v>
      </c>
      <c r="X37">
        <v>1200</v>
      </c>
      <c r="Y37">
        <v>3.69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1200</v>
      </c>
      <c r="AH37">
        <v>2</v>
      </c>
      <c r="AI37">
        <v>16495858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ROW(Source!A30)</f>
        <v>30</v>
      </c>
      <c r="B38">
        <v>16495859</v>
      </c>
      <c r="C38">
        <v>16495847</v>
      </c>
      <c r="D38">
        <v>15162572</v>
      </c>
      <c r="E38">
        <v>17</v>
      </c>
      <c r="F38">
        <v>1</v>
      </c>
      <c r="G38">
        <v>1</v>
      </c>
      <c r="H38">
        <v>3</v>
      </c>
      <c r="I38" t="s">
        <v>233</v>
      </c>
      <c r="J38" t="s">
        <v>6</v>
      </c>
      <c r="K38" t="s">
        <v>234</v>
      </c>
      <c r="L38">
        <v>1348</v>
      </c>
      <c r="N38">
        <v>1009</v>
      </c>
      <c r="O38" t="s">
        <v>205</v>
      </c>
      <c r="P38" t="s">
        <v>205</v>
      </c>
      <c r="Q38">
        <v>1000</v>
      </c>
      <c r="X38">
        <v>0</v>
      </c>
      <c r="Y38">
        <v>0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0</v>
      </c>
      <c r="AF38" t="s">
        <v>6</v>
      </c>
      <c r="AG38">
        <v>0</v>
      </c>
      <c r="AH38">
        <v>3</v>
      </c>
      <c r="AI38">
        <v>-1</v>
      </c>
      <c r="AJ38" t="s">
        <v>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16495848</v>
      </c>
      <c r="C39">
        <v>16495847</v>
      </c>
      <c r="D39">
        <v>15436014</v>
      </c>
      <c r="E39">
        <v>1</v>
      </c>
      <c r="F39">
        <v>1</v>
      </c>
      <c r="G39">
        <v>1</v>
      </c>
      <c r="H39">
        <v>1</v>
      </c>
      <c r="I39" t="s">
        <v>209</v>
      </c>
      <c r="J39" t="s">
        <v>6</v>
      </c>
      <c r="K39" t="s">
        <v>210</v>
      </c>
      <c r="L39">
        <v>1191</v>
      </c>
      <c r="N39">
        <v>1013</v>
      </c>
      <c r="O39" t="s">
        <v>183</v>
      </c>
      <c r="P39" t="s">
        <v>183</v>
      </c>
      <c r="Q39">
        <v>1</v>
      </c>
      <c r="X39">
        <v>310.42</v>
      </c>
      <c r="Y39">
        <v>0</v>
      </c>
      <c r="Z39">
        <v>0</v>
      </c>
      <c r="AA39">
        <v>0</v>
      </c>
      <c r="AB39">
        <v>8.74</v>
      </c>
      <c r="AC39">
        <v>0</v>
      </c>
      <c r="AD39">
        <v>1</v>
      </c>
      <c r="AE39">
        <v>1</v>
      </c>
      <c r="AF39" t="s">
        <v>6</v>
      </c>
      <c r="AG39">
        <v>310.42</v>
      </c>
      <c r="AH39">
        <v>2</v>
      </c>
      <c r="AI39">
        <v>16495848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16495849</v>
      </c>
      <c r="C40">
        <v>16495847</v>
      </c>
      <c r="D40">
        <v>15430395</v>
      </c>
      <c r="E40">
        <v>1</v>
      </c>
      <c r="F40">
        <v>1</v>
      </c>
      <c r="G40">
        <v>1</v>
      </c>
      <c r="H40">
        <v>1</v>
      </c>
      <c r="I40" t="s">
        <v>184</v>
      </c>
      <c r="J40" t="s">
        <v>6</v>
      </c>
      <c r="K40" t="s">
        <v>185</v>
      </c>
      <c r="L40">
        <v>1191</v>
      </c>
      <c r="N40">
        <v>1013</v>
      </c>
      <c r="O40" t="s">
        <v>183</v>
      </c>
      <c r="P40" t="s">
        <v>183</v>
      </c>
      <c r="Q40">
        <v>1</v>
      </c>
      <c r="X40">
        <v>1.73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6</v>
      </c>
      <c r="AG40">
        <v>1.73</v>
      </c>
      <c r="AH40">
        <v>2</v>
      </c>
      <c r="AI40">
        <v>16495849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16495850</v>
      </c>
      <c r="C41">
        <v>16495847</v>
      </c>
      <c r="D41">
        <v>15247576</v>
      </c>
      <c r="E41">
        <v>1</v>
      </c>
      <c r="F41">
        <v>1</v>
      </c>
      <c r="G41">
        <v>1</v>
      </c>
      <c r="H41">
        <v>2</v>
      </c>
      <c r="I41" t="s">
        <v>211</v>
      </c>
      <c r="J41" t="s">
        <v>212</v>
      </c>
      <c r="K41" t="s">
        <v>213</v>
      </c>
      <c r="L41">
        <v>1368</v>
      </c>
      <c r="N41">
        <v>1011</v>
      </c>
      <c r="O41" t="s">
        <v>189</v>
      </c>
      <c r="P41" t="s">
        <v>189</v>
      </c>
      <c r="Q41">
        <v>1</v>
      </c>
      <c r="X41">
        <v>0.02</v>
      </c>
      <c r="Y41">
        <v>0</v>
      </c>
      <c r="Z41">
        <v>83.43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0.02</v>
      </c>
      <c r="AH41">
        <v>2</v>
      </c>
      <c r="AI41">
        <v>16495850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16495851</v>
      </c>
      <c r="C42">
        <v>16495847</v>
      </c>
      <c r="D42">
        <v>15247678</v>
      </c>
      <c r="E42">
        <v>1</v>
      </c>
      <c r="F42">
        <v>1</v>
      </c>
      <c r="G42">
        <v>1</v>
      </c>
      <c r="H42">
        <v>2</v>
      </c>
      <c r="I42" t="s">
        <v>214</v>
      </c>
      <c r="J42" t="s">
        <v>215</v>
      </c>
      <c r="K42" t="s">
        <v>216</v>
      </c>
      <c r="L42">
        <v>1368</v>
      </c>
      <c r="N42">
        <v>1011</v>
      </c>
      <c r="O42" t="s">
        <v>189</v>
      </c>
      <c r="P42" t="s">
        <v>189</v>
      </c>
      <c r="Q42">
        <v>1</v>
      </c>
      <c r="X42">
        <v>0.01</v>
      </c>
      <c r="Y42">
        <v>0</v>
      </c>
      <c r="Z42">
        <v>88.01</v>
      </c>
      <c r="AA42">
        <v>11.6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0.01</v>
      </c>
      <c r="AH42">
        <v>2</v>
      </c>
      <c r="AI42">
        <v>16495851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ROW(Source!A31)</f>
        <v>31</v>
      </c>
      <c r="B43">
        <v>16495852</v>
      </c>
      <c r="C43">
        <v>16495847</v>
      </c>
      <c r="D43">
        <v>15248143</v>
      </c>
      <c r="E43">
        <v>1</v>
      </c>
      <c r="F43">
        <v>1</v>
      </c>
      <c r="G43">
        <v>1</v>
      </c>
      <c r="H43">
        <v>2</v>
      </c>
      <c r="I43" t="s">
        <v>217</v>
      </c>
      <c r="J43" t="s">
        <v>218</v>
      </c>
      <c r="K43" t="s">
        <v>219</v>
      </c>
      <c r="L43">
        <v>1368</v>
      </c>
      <c r="N43">
        <v>1011</v>
      </c>
      <c r="O43" t="s">
        <v>189</v>
      </c>
      <c r="P43" t="s">
        <v>189</v>
      </c>
      <c r="Q43">
        <v>1</v>
      </c>
      <c r="X43">
        <v>1.69</v>
      </c>
      <c r="Y43">
        <v>0</v>
      </c>
      <c r="Z43">
        <v>12.39</v>
      </c>
      <c r="AA43">
        <v>10.06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1.69</v>
      </c>
      <c r="AH43">
        <v>2</v>
      </c>
      <c r="AI43">
        <v>16495852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ROW(Source!A31)</f>
        <v>31</v>
      </c>
      <c r="B44">
        <v>16495853</v>
      </c>
      <c r="C44">
        <v>16495847</v>
      </c>
      <c r="D44">
        <v>15249073</v>
      </c>
      <c r="E44">
        <v>1</v>
      </c>
      <c r="F44">
        <v>1</v>
      </c>
      <c r="G44">
        <v>1</v>
      </c>
      <c r="H44">
        <v>2</v>
      </c>
      <c r="I44" t="s">
        <v>195</v>
      </c>
      <c r="J44" t="s">
        <v>196</v>
      </c>
      <c r="K44" t="s">
        <v>197</v>
      </c>
      <c r="L44">
        <v>1368</v>
      </c>
      <c r="N44">
        <v>1011</v>
      </c>
      <c r="O44" t="s">
        <v>189</v>
      </c>
      <c r="P44" t="s">
        <v>189</v>
      </c>
      <c r="Q44">
        <v>1</v>
      </c>
      <c r="X44">
        <v>0.01</v>
      </c>
      <c r="Y44">
        <v>0</v>
      </c>
      <c r="Z44">
        <v>65.709999999999994</v>
      </c>
      <c r="AA44">
        <v>11.6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0.01</v>
      </c>
      <c r="AH44">
        <v>2</v>
      </c>
      <c r="AI44">
        <v>16495853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ROW(Source!A31)</f>
        <v>31</v>
      </c>
      <c r="B45">
        <v>16495854</v>
      </c>
      <c r="C45">
        <v>16495847</v>
      </c>
      <c r="D45">
        <v>15167286</v>
      </c>
      <c r="E45">
        <v>1</v>
      </c>
      <c r="F45">
        <v>1</v>
      </c>
      <c r="G45">
        <v>1</v>
      </c>
      <c r="H45">
        <v>3</v>
      </c>
      <c r="I45" t="s">
        <v>198</v>
      </c>
      <c r="J45" t="s">
        <v>199</v>
      </c>
      <c r="K45" t="s">
        <v>200</v>
      </c>
      <c r="L45">
        <v>1339</v>
      </c>
      <c r="N45">
        <v>1007</v>
      </c>
      <c r="O45" t="s">
        <v>201</v>
      </c>
      <c r="P45" t="s">
        <v>201</v>
      </c>
      <c r="Q45">
        <v>1</v>
      </c>
      <c r="X45">
        <v>0.44</v>
      </c>
      <c r="Y45">
        <v>2.44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0.44</v>
      </c>
      <c r="AH45">
        <v>2</v>
      </c>
      <c r="AI45">
        <v>16495854</v>
      </c>
      <c r="AJ45">
        <v>40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ROW(Source!A31)</f>
        <v>31</v>
      </c>
      <c r="B46">
        <v>16495855</v>
      </c>
      <c r="C46">
        <v>16495847</v>
      </c>
      <c r="D46">
        <v>15173044</v>
      </c>
      <c r="E46">
        <v>1</v>
      </c>
      <c r="F46">
        <v>1</v>
      </c>
      <c r="G46">
        <v>1</v>
      </c>
      <c r="H46">
        <v>3</v>
      </c>
      <c r="I46" t="s">
        <v>220</v>
      </c>
      <c r="J46" t="s">
        <v>221</v>
      </c>
      <c r="K46" t="s">
        <v>222</v>
      </c>
      <c r="L46">
        <v>1348</v>
      </c>
      <c r="N46">
        <v>1009</v>
      </c>
      <c r="O46" t="s">
        <v>205</v>
      </c>
      <c r="P46" t="s">
        <v>205</v>
      </c>
      <c r="Q46">
        <v>1000</v>
      </c>
      <c r="X46">
        <v>1.2999999999999999E-2</v>
      </c>
      <c r="Y46">
        <v>6513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1.2999999999999999E-2</v>
      </c>
      <c r="AH46">
        <v>2</v>
      </c>
      <c r="AI46">
        <v>16495855</v>
      </c>
      <c r="AJ46">
        <v>41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ROW(Source!A31)</f>
        <v>31</v>
      </c>
      <c r="B47">
        <v>16495856</v>
      </c>
      <c r="C47">
        <v>16495847</v>
      </c>
      <c r="D47">
        <v>15187102</v>
      </c>
      <c r="E47">
        <v>1</v>
      </c>
      <c r="F47">
        <v>1</v>
      </c>
      <c r="G47">
        <v>1</v>
      </c>
      <c r="H47">
        <v>3</v>
      </c>
      <c r="I47" t="s">
        <v>223</v>
      </c>
      <c r="J47" t="s">
        <v>224</v>
      </c>
      <c r="K47" t="s">
        <v>225</v>
      </c>
      <c r="L47">
        <v>1327</v>
      </c>
      <c r="N47">
        <v>1005</v>
      </c>
      <c r="O47" t="s">
        <v>52</v>
      </c>
      <c r="P47" t="s">
        <v>52</v>
      </c>
      <c r="Q47">
        <v>1</v>
      </c>
      <c r="X47">
        <v>102</v>
      </c>
      <c r="Y47">
        <v>140.44999999999999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102</v>
      </c>
      <c r="AH47">
        <v>2</v>
      </c>
      <c r="AI47">
        <v>16495856</v>
      </c>
      <c r="AJ47">
        <v>42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ROW(Source!A31)</f>
        <v>31</v>
      </c>
      <c r="B48">
        <v>16495857</v>
      </c>
      <c r="C48">
        <v>16495847</v>
      </c>
      <c r="D48">
        <v>15162768</v>
      </c>
      <c r="E48">
        <v>17</v>
      </c>
      <c r="F48">
        <v>1</v>
      </c>
      <c r="G48">
        <v>1</v>
      </c>
      <c r="H48">
        <v>3</v>
      </c>
      <c r="I48" t="s">
        <v>231</v>
      </c>
      <c r="J48" t="s">
        <v>6</v>
      </c>
      <c r="K48" t="s">
        <v>232</v>
      </c>
      <c r="L48">
        <v>1339</v>
      </c>
      <c r="N48">
        <v>1007</v>
      </c>
      <c r="O48" t="s">
        <v>201</v>
      </c>
      <c r="P48" t="s">
        <v>201</v>
      </c>
      <c r="Q48">
        <v>1</v>
      </c>
      <c r="X48">
        <v>0.01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0.01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ROW(Source!A31)</f>
        <v>31</v>
      </c>
      <c r="B49">
        <v>16495858</v>
      </c>
      <c r="C49">
        <v>16495847</v>
      </c>
      <c r="D49">
        <v>15202597</v>
      </c>
      <c r="E49">
        <v>1</v>
      </c>
      <c r="F49">
        <v>1</v>
      </c>
      <c r="G49">
        <v>1</v>
      </c>
      <c r="H49">
        <v>3</v>
      </c>
      <c r="I49" t="s">
        <v>55</v>
      </c>
      <c r="J49" t="s">
        <v>58</v>
      </c>
      <c r="K49" t="s">
        <v>226</v>
      </c>
      <c r="L49">
        <v>1346</v>
      </c>
      <c r="N49">
        <v>1009</v>
      </c>
      <c r="O49" t="s">
        <v>57</v>
      </c>
      <c r="P49" t="s">
        <v>57</v>
      </c>
      <c r="Q49">
        <v>1</v>
      </c>
      <c r="X49">
        <v>1200</v>
      </c>
      <c r="Y49">
        <v>3.69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1200</v>
      </c>
      <c r="AH49">
        <v>2</v>
      </c>
      <c r="AI49">
        <v>16495858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ROW(Source!A31)</f>
        <v>31</v>
      </c>
      <c r="B50">
        <v>16495859</v>
      </c>
      <c r="C50">
        <v>16495847</v>
      </c>
      <c r="D50">
        <v>15162572</v>
      </c>
      <c r="E50">
        <v>17</v>
      </c>
      <c r="F50">
        <v>1</v>
      </c>
      <c r="G50">
        <v>1</v>
      </c>
      <c r="H50">
        <v>3</v>
      </c>
      <c r="I50" t="s">
        <v>233</v>
      </c>
      <c r="J50" t="s">
        <v>6</v>
      </c>
      <c r="K50" t="s">
        <v>234</v>
      </c>
      <c r="L50">
        <v>1348</v>
      </c>
      <c r="N50">
        <v>1009</v>
      </c>
      <c r="O50" t="s">
        <v>205</v>
      </c>
      <c r="P50" t="s">
        <v>205</v>
      </c>
      <c r="Q50">
        <v>1000</v>
      </c>
      <c r="X50">
        <v>0</v>
      </c>
      <c r="Y50">
        <v>0</v>
      </c>
      <c r="Z50">
        <v>0</v>
      </c>
      <c r="AA50">
        <v>0</v>
      </c>
      <c r="AB50">
        <v>0</v>
      </c>
      <c r="AC50">
        <v>1</v>
      </c>
      <c r="AD50">
        <v>0</v>
      </c>
      <c r="AE50">
        <v>0</v>
      </c>
      <c r="AF50" t="s">
        <v>6</v>
      </c>
      <c r="AG50">
        <v>0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16492693</v>
      </c>
      <c r="C51">
        <v>16492685</v>
      </c>
      <c r="D51">
        <v>15435721</v>
      </c>
      <c r="E51">
        <v>1</v>
      </c>
      <c r="F51">
        <v>1</v>
      </c>
      <c r="G51">
        <v>1</v>
      </c>
      <c r="H51">
        <v>1</v>
      </c>
      <c r="I51" t="s">
        <v>227</v>
      </c>
      <c r="J51" t="s">
        <v>6</v>
      </c>
      <c r="K51" t="s">
        <v>228</v>
      </c>
      <c r="L51">
        <v>1191</v>
      </c>
      <c r="N51">
        <v>1013</v>
      </c>
      <c r="O51" t="s">
        <v>183</v>
      </c>
      <c r="P51" t="s">
        <v>183</v>
      </c>
      <c r="Q51">
        <v>1</v>
      </c>
      <c r="X51">
        <v>23.82</v>
      </c>
      <c r="Y51">
        <v>0</v>
      </c>
      <c r="Z51">
        <v>0</v>
      </c>
      <c r="AA51">
        <v>0</v>
      </c>
      <c r="AB51">
        <v>9.51</v>
      </c>
      <c r="AC51">
        <v>0</v>
      </c>
      <c r="AD51">
        <v>1</v>
      </c>
      <c r="AE51">
        <v>1</v>
      </c>
      <c r="AF51" t="s">
        <v>31</v>
      </c>
      <c r="AG51">
        <v>27.392999999999997</v>
      </c>
      <c r="AH51">
        <v>2</v>
      </c>
      <c r="AI51">
        <v>16492686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16492694</v>
      </c>
      <c r="C52">
        <v>16492685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184</v>
      </c>
      <c r="J52" t="s">
        <v>6</v>
      </c>
      <c r="K52" t="s">
        <v>185</v>
      </c>
      <c r="L52">
        <v>1191</v>
      </c>
      <c r="N52">
        <v>1013</v>
      </c>
      <c r="O52" t="s">
        <v>183</v>
      </c>
      <c r="P52" t="s">
        <v>183</v>
      </c>
      <c r="Q52">
        <v>1</v>
      </c>
      <c r="X52">
        <v>0.11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30</v>
      </c>
      <c r="AG52">
        <v>0.13750000000000001</v>
      </c>
      <c r="AH52">
        <v>2</v>
      </c>
      <c r="AI52">
        <v>16492687</v>
      </c>
      <c r="AJ52">
        <v>46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ROW(Source!A34)</f>
        <v>34</v>
      </c>
      <c r="B53">
        <v>16492695</v>
      </c>
      <c r="C53">
        <v>16492685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186</v>
      </c>
      <c r="J53" t="s">
        <v>187</v>
      </c>
      <c r="K53" t="s">
        <v>188</v>
      </c>
      <c r="L53">
        <v>1368</v>
      </c>
      <c r="N53">
        <v>1011</v>
      </c>
      <c r="O53" t="s">
        <v>189</v>
      </c>
      <c r="P53" t="s">
        <v>189</v>
      </c>
      <c r="Q53">
        <v>1</v>
      </c>
      <c r="X53">
        <v>0.05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30</v>
      </c>
      <c r="AG53">
        <v>6.25E-2</v>
      </c>
      <c r="AH53">
        <v>2</v>
      </c>
      <c r="AI53">
        <v>16492688</v>
      </c>
      <c r="AJ53">
        <v>47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ROW(Source!A34)</f>
        <v>34</v>
      </c>
      <c r="B54">
        <v>16492696</v>
      </c>
      <c r="C54">
        <v>16492685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195</v>
      </c>
      <c r="J54" t="s">
        <v>196</v>
      </c>
      <c r="K54" t="s">
        <v>197</v>
      </c>
      <c r="L54">
        <v>1368</v>
      </c>
      <c r="N54">
        <v>1011</v>
      </c>
      <c r="O54" t="s">
        <v>189</v>
      </c>
      <c r="P54" t="s">
        <v>189</v>
      </c>
      <c r="Q54">
        <v>1</v>
      </c>
      <c r="X54">
        <v>0.06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30</v>
      </c>
      <c r="AG54">
        <v>7.4999999999999997E-2</v>
      </c>
      <c r="AH54">
        <v>2</v>
      </c>
      <c r="AI54">
        <v>16492689</v>
      </c>
      <c r="AJ54">
        <v>48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ROW(Source!A34)</f>
        <v>34</v>
      </c>
      <c r="B55">
        <v>16492697</v>
      </c>
      <c r="C55">
        <v>16492685</v>
      </c>
      <c r="D55">
        <v>15161703</v>
      </c>
      <c r="E55">
        <v>17</v>
      </c>
      <c r="F55">
        <v>1</v>
      </c>
      <c r="G55">
        <v>1</v>
      </c>
      <c r="H55">
        <v>3</v>
      </c>
      <c r="I55" t="s">
        <v>235</v>
      </c>
      <c r="J55" t="s">
        <v>6</v>
      </c>
      <c r="K55" t="s">
        <v>236</v>
      </c>
      <c r="L55">
        <v>1339</v>
      </c>
      <c r="N55">
        <v>1007</v>
      </c>
      <c r="O55" t="s">
        <v>201</v>
      </c>
      <c r="P55" t="s">
        <v>201</v>
      </c>
      <c r="Q55">
        <v>1</v>
      </c>
      <c r="X55">
        <v>0.16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0.16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ROW(Source!A34)</f>
        <v>34</v>
      </c>
      <c r="B56">
        <v>16492698</v>
      </c>
      <c r="C56">
        <v>16492685</v>
      </c>
      <c r="D56">
        <v>15162753</v>
      </c>
      <c r="E56">
        <v>17</v>
      </c>
      <c r="F56">
        <v>1</v>
      </c>
      <c r="G56">
        <v>1</v>
      </c>
      <c r="H56">
        <v>3</v>
      </c>
      <c r="I56" t="s">
        <v>237</v>
      </c>
      <c r="J56" t="s">
        <v>6</v>
      </c>
      <c r="K56" t="s">
        <v>238</v>
      </c>
      <c r="L56">
        <v>1301</v>
      </c>
      <c r="N56">
        <v>1003</v>
      </c>
      <c r="O56" t="s">
        <v>239</v>
      </c>
      <c r="P56" t="s">
        <v>239</v>
      </c>
      <c r="Q56">
        <v>1</v>
      </c>
      <c r="X56">
        <v>101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6</v>
      </c>
      <c r="AG56">
        <v>101</v>
      </c>
      <c r="AH56">
        <v>3</v>
      </c>
      <c r="AI56">
        <v>-1</v>
      </c>
      <c r="AJ56" t="s">
        <v>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ROW(Source!A35)</f>
        <v>35</v>
      </c>
      <c r="B57">
        <v>16492693</v>
      </c>
      <c r="C57">
        <v>16492685</v>
      </c>
      <c r="D57">
        <v>15435721</v>
      </c>
      <c r="E57">
        <v>1</v>
      </c>
      <c r="F57">
        <v>1</v>
      </c>
      <c r="G57">
        <v>1</v>
      </c>
      <c r="H57">
        <v>1</v>
      </c>
      <c r="I57" t="s">
        <v>227</v>
      </c>
      <c r="J57" t="s">
        <v>6</v>
      </c>
      <c r="K57" t="s">
        <v>228</v>
      </c>
      <c r="L57">
        <v>1191</v>
      </c>
      <c r="N57">
        <v>1013</v>
      </c>
      <c r="O57" t="s">
        <v>183</v>
      </c>
      <c r="P57" t="s">
        <v>183</v>
      </c>
      <c r="Q57">
        <v>1</v>
      </c>
      <c r="X57">
        <v>23.82</v>
      </c>
      <c r="Y57">
        <v>0</v>
      </c>
      <c r="Z57">
        <v>0</v>
      </c>
      <c r="AA57">
        <v>0</v>
      </c>
      <c r="AB57">
        <v>9.51</v>
      </c>
      <c r="AC57">
        <v>0</v>
      </c>
      <c r="AD57">
        <v>1</v>
      </c>
      <c r="AE57">
        <v>1</v>
      </c>
      <c r="AF57" t="s">
        <v>31</v>
      </c>
      <c r="AG57">
        <v>27.392999999999997</v>
      </c>
      <c r="AH57">
        <v>2</v>
      </c>
      <c r="AI57">
        <v>16492686</v>
      </c>
      <c r="AJ57">
        <v>51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ROW(Source!A35)</f>
        <v>35</v>
      </c>
      <c r="B58">
        <v>16492694</v>
      </c>
      <c r="C58">
        <v>16492685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184</v>
      </c>
      <c r="J58" t="s">
        <v>6</v>
      </c>
      <c r="K58" t="s">
        <v>185</v>
      </c>
      <c r="L58">
        <v>1191</v>
      </c>
      <c r="N58">
        <v>1013</v>
      </c>
      <c r="O58" t="s">
        <v>183</v>
      </c>
      <c r="P58" t="s">
        <v>183</v>
      </c>
      <c r="Q58">
        <v>1</v>
      </c>
      <c r="X58">
        <v>0.11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30</v>
      </c>
      <c r="AG58">
        <v>0.13750000000000001</v>
      </c>
      <c r="AH58">
        <v>2</v>
      </c>
      <c r="AI58">
        <v>16492687</v>
      </c>
      <c r="AJ58">
        <v>52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ROW(Source!A35)</f>
        <v>35</v>
      </c>
      <c r="B59">
        <v>16492695</v>
      </c>
      <c r="C59">
        <v>16492685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186</v>
      </c>
      <c r="J59" t="s">
        <v>187</v>
      </c>
      <c r="K59" t="s">
        <v>188</v>
      </c>
      <c r="L59">
        <v>1368</v>
      </c>
      <c r="N59">
        <v>1011</v>
      </c>
      <c r="O59" t="s">
        <v>189</v>
      </c>
      <c r="P59" t="s">
        <v>189</v>
      </c>
      <c r="Q59">
        <v>1</v>
      </c>
      <c r="X59">
        <v>0.05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30</v>
      </c>
      <c r="AG59">
        <v>6.25E-2</v>
      </c>
      <c r="AH59">
        <v>2</v>
      </c>
      <c r="AI59">
        <v>16492688</v>
      </c>
      <c r="AJ59">
        <v>53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ROW(Source!A35)</f>
        <v>35</v>
      </c>
      <c r="B60">
        <v>16492696</v>
      </c>
      <c r="C60">
        <v>16492685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195</v>
      </c>
      <c r="J60" t="s">
        <v>196</v>
      </c>
      <c r="K60" t="s">
        <v>197</v>
      </c>
      <c r="L60">
        <v>1368</v>
      </c>
      <c r="N60">
        <v>1011</v>
      </c>
      <c r="O60" t="s">
        <v>189</v>
      </c>
      <c r="P60" t="s">
        <v>189</v>
      </c>
      <c r="Q60">
        <v>1</v>
      </c>
      <c r="X60">
        <v>0.06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30</v>
      </c>
      <c r="AG60">
        <v>7.4999999999999997E-2</v>
      </c>
      <c r="AH60">
        <v>2</v>
      </c>
      <c r="AI60">
        <v>16492689</v>
      </c>
      <c r="AJ60">
        <v>54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ROW(Source!A35)</f>
        <v>35</v>
      </c>
      <c r="B61">
        <v>16492697</v>
      </c>
      <c r="C61">
        <v>16492685</v>
      </c>
      <c r="D61">
        <v>15161703</v>
      </c>
      <c r="E61">
        <v>17</v>
      </c>
      <c r="F61">
        <v>1</v>
      </c>
      <c r="G61">
        <v>1</v>
      </c>
      <c r="H61">
        <v>3</v>
      </c>
      <c r="I61" t="s">
        <v>235</v>
      </c>
      <c r="J61" t="s">
        <v>6</v>
      </c>
      <c r="K61" t="s">
        <v>236</v>
      </c>
      <c r="L61">
        <v>1339</v>
      </c>
      <c r="N61">
        <v>1007</v>
      </c>
      <c r="O61" t="s">
        <v>201</v>
      </c>
      <c r="P61" t="s">
        <v>201</v>
      </c>
      <c r="Q61">
        <v>1</v>
      </c>
      <c r="X61">
        <v>0.16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6</v>
      </c>
      <c r="AG61">
        <v>0.16</v>
      </c>
      <c r="AH61">
        <v>3</v>
      </c>
      <c r="AI61">
        <v>-1</v>
      </c>
      <c r="AJ61" t="s">
        <v>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ROW(Source!A35)</f>
        <v>35</v>
      </c>
      <c r="B62">
        <v>16492698</v>
      </c>
      <c r="C62">
        <v>16492685</v>
      </c>
      <c r="D62">
        <v>15162753</v>
      </c>
      <c r="E62">
        <v>17</v>
      </c>
      <c r="F62">
        <v>1</v>
      </c>
      <c r="G62">
        <v>1</v>
      </c>
      <c r="H62">
        <v>3</v>
      </c>
      <c r="I62" t="s">
        <v>237</v>
      </c>
      <c r="J62" t="s">
        <v>6</v>
      </c>
      <c r="K62" t="s">
        <v>238</v>
      </c>
      <c r="L62">
        <v>1301</v>
      </c>
      <c r="N62">
        <v>1003</v>
      </c>
      <c r="O62" t="s">
        <v>239</v>
      </c>
      <c r="P62" t="s">
        <v>239</v>
      </c>
      <c r="Q62">
        <v>1</v>
      </c>
      <c r="X62">
        <v>101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101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ОСО</dc:creator>
  <cp:lastModifiedBy>ОСО</cp:lastModifiedBy>
  <cp:lastPrinted>2018-05-28T06:12:32Z</cp:lastPrinted>
  <dcterms:created xsi:type="dcterms:W3CDTF">2018-02-01T13:29:00Z</dcterms:created>
  <dcterms:modified xsi:type="dcterms:W3CDTF">2018-06-18T11:22:26Z</dcterms:modified>
</cp:coreProperties>
</file>