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100" windowHeight="118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ФЕР'!$21:$21</definedName>
    <definedName name="_xlnm.Print_Area" localSheetId="0">'Смета 12 гр. по ФЕР'!$A$1:$L$445</definedName>
  </definedNames>
  <calcPr calcId="145621"/>
</workbook>
</file>

<file path=xl/calcChain.xml><?xml version="1.0" encoding="utf-8"?>
<calcChain xmlns="http://schemas.openxmlformats.org/spreadsheetml/2006/main">
  <c r="AD7" i="5" l="1"/>
  <c r="C443" i="5"/>
  <c r="C442" i="5"/>
  <c r="C441" i="5"/>
  <c r="Z439" i="5"/>
  <c r="Y439" i="5"/>
  <c r="X439" i="5"/>
  <c r="J438" i="5"/>
  <c r="G438" i="5"/>
  <c r="F438" i="5"/>
  <c r="U438" i="5"/>
  <c r="S438" i="5"/>
  <c r="E438" i="5"/>
  <c r="D438" i="5"/>
  <c r="I438" i="5"/>
  <c r="C438" i="5"/>
  <c r="B438" i="5"/>
  <c r="A438" i="5"/>
  <c r="Z437" i="5"/>
  <c r="Y437" i="5"/>
  <c r="X437" i="5"/>
  <c r="J436" i="5"/>
  <c r="G436" i="5"/>
  <c r="F436" i="5"/>
  <c r="U436" i="5"/>
  <c r="S436" i="5"/>
  <c r="E436" i="5"/>
  <c r="D436" i="5"/>
  <c r="I436" i="5"/>
  <c r="C436" i="5"/>
  <c r="B436" i="5"/>
  <c r="A436" i="5"/>
  <c r="Z435" i="5"/>
  <c r="Y435" i="5"/>
  <c r="X435" i="5"/>
  <c r="J434" i="5"/>
  <c r="Z434" i="5"/>
  <c r="Y434" i="5"/>
  <c r="X434" i="5"/>
  <c r="F434" i="5"/>
  <c r="D434" i="5"/>
  <c r="C434" i="5"/>
  <c r="B434" i="5"/>
  <c r="A434" i="5"/>
  <c r="J433" i="5"/>
  <c r="Z433" i="5"/>
  <c r="Y433" i="5"/>
  <c r="X433" i="5"/>
  <c r="F433" i="5"/>
  <c r="D433" i="5"/>
  <c r="C433" i="5"/>
  <c r="B433" i="5"/>
  <c r="A433" i="5"/>
  <c r="G432" i="5"/>
  <c r="E432" i="5"/>
  <c r="J431" i="5"/>
  <c r="E431" i="5"/>
  <c r="J430" i="5"/>
  <c r="E430" i="5"/>
  <c r="J429" i="5"/>
  <c r="G429" i="5"/>
  <c r="F429" i="5"/>
  <c r="J428" i="5"/>
  <c r="G428" i="5"/>
  <c r="F428" i="5"/>
  <c r="J427" i="5"/>
  <c r="G427" i="5"/>
  <c r="F427" i="5"/>
  <c r="J426" i="5"/>
  <c r="G426" i="5"/>
  <c r="F426" i="5"/>
  <c r="F424" i="5"/>
  <c r="D424" i="5"/>
  <c r="I424" i="5"/>
  <c r="C424" i="5"/>
  <c r="B424" i="5"/>
  <c r="A424" i="5"/>
  <c r="Z423" i="5"/>
  <c r="Y423" i="5"/>
  <c r="W423" i="5"/>
  <c r="J422" i="5"/>
  <c r="Z422" i="5"/>
  <c r="Y422" i="5"/>
  <c r="W422" i="5"/>
  <c r="F422" i="5"/>
  <c r="D422" i="5"/>
  <c r="C422" i="5"/>
  <c r="B422" i="5"/>
  <c r="A422" i="5"/>
  <c r="G421" i="5"/>
  <c r="E421" i="5"/>
  <c r="J420" i="5"/>
  <c r="E420" i="5"/>
  <c r="J419" i="5"/>
  <c r="E419" i="5"/>
  <c r="J418" i="5"/>
  <c r="G418" i="5"/>
  <c r="F418" i="5"/>
  <c r="J417" i="5"/>
  <c r="G417" i="5"/>
  <c r="F417" i="5"/>
  <c r="J416" i="5"/>
  <c r="G416" i="5"/>
  <c r="F416" i="5"/>
  <c r="F415" i="5"/>
  <c r="E415" i="5"/>
  <c r="D415" i="5"/>
  <c r="I415" i="5"/>
  <c r="C415" i="5"/>
  <c r="B415" i="5"/>
  <c r="A415" i="5"/>
  <c r="Z414" i="5"/>
  <c r="Y414" i="5"/>
  <c r="W414" i="5"/>
  <c r="J413" i="5"/>
  <c r="Z413" i="5"/>
  <c r="Y413" i="5"/>
  <c r="W413" i="5"/>
  <c r="F413" i="5"/>
  <c r="D413" i="5"/>
  <c r="C413" i="5"/>
  <c r="B413" i="5"/>
  <c r="A413" i="5"/>
  <c r="G412" i="5"/>
  <c r="E412" i="5"/>
  <c r="J411" i="5"/>
  <c r="E411" i="5"/>
  <c r="J410" i="5"/>
  <c r="E410" i="5"/>
  <c r="J409" i="5"/>
  <c r="G409" i="5"/>
  <c r="F409" i="5"/>
  <c r="J408" i="5"/>
  <c r="G408" i="5"/>
  <c r="F408" i="5"/>
  <c r="J407" i="5"/>
  <c r="G407" i="5"/>
  <c r="F407" i="5"/>
  <c r="J406" i="5"/>
  <c r="G406" i="5"/>
  <c r="F406" i="5"/>
  <c r="F404" i="5"/>
  <c r="D404" i="5"/>
  <c r="I404" i="5"/>
  <c r="C404" i="5"/>
  <c r="B404" i="5"/>
  <c r="A404" i="5"/>
  <c r="Z403" i="5"/>
  <c r="Y403" i="5"/>
  <c r="W403" i="5"/>
  <c r="J402" i="5"/>
  <c r="Z402" i="5"/>
  <c r="Y402" i="5"/>
  <c r="W402" i="5"/>
  <c r="F402" i="5"/>
  <c r="D402" i="5"/>
  <c r="C402" i="5"/>
  <c r="B402" i="5"/>
  <c r="A402" i="5"/>
  <c r="G401" i="5"/>
  <c r="E401" i="5"/>
  <c r="J400" i="5"/>
  <c r="E400" i="5"/>
  <c r="J399" i="5"/>
  <c r="E399" i="5"/>
  <c r="J398" i="5"/>
  <c r="G398" i="5"/>
  <c r="F398" i="5"/>
  <c r="J397" i="5"/>
  <c r="G397" i="5"/>
  <c r="F397" i="5"/>
  <c r="F396" i="5"/>
  <c r="E396" i="5"/>
  <c r="D396" i="5"/>
  <c r="I396" i="5"/>
  <c r="C396" i="5"/>
  <c r="B396" i="5"/>
  <c r="A396" i="5"/>
  <c r="Z395" i="5"/>
  <c r="Y395" i="5"/>
  <c r="W395" i="5"/>
  <c r="J394" i="5"/>
  <c r="Z394" i="5"/>
  <c r="Y394" i="5"/>
  <c r="W394" i="5"/>
  <c r="F394" i="5"/>
  <c r="D394" i="5"/>
  <c r="C394" i="5"/>
  <c r="B394" i="5"/>
  <c r="A394" i="5"/>
  <c r="G393" i="5"/>
  <c r="E393" i="5"/>
  <c r="J392" i="5"/>
  <c r="E392" i="5"/>
  <c r="J391" i="5"/>
  <c r="E391" i="5"/>
  <c r="J390" i="5"/>
  <c r="G390" i="5"/>
  <c r="F390" i="5"/>
  <c r="J389" i="5"/>
  <c r="G389" i="5"/>
  <c r="F389" i="5"/>
  <c r="J388" i="5"/>
  <c r="G388" i="5"/>
  <c r="F388" i="5"/>
  <c r="J387" i="5"/>
  <c r="G387" i="5"/>
  <c r="F387" i="5"/>
  <c r="F385" i="5"/>
  <c r="D385" i="5"/>
  <c r="I385" i="5"/>
  <c r="C385" i="5"/>
  <c r="B385" i="5"/>
  <c r="A385" i="5"/>
  <c r="Z384" i="5"/>
  <c r="Y384" i="5"/>
  <c r="X384" i="5"/>
  <c r="G383" i="5"/>
  <c r="E383" i="5"/>
  <c r="J382" i="5"/>
  <c r="E382" i="5"/>
  <c r="J381" i="5"/>
  <c r="E381" i="5"/>
  <c r="J380" i="5"/>
  <c r="G380" i="5"/>
  <c r="F380" i="5"/>
  <c r="J379" i="5"/>
  <c r="G379" i="5"/>
  <c r="F379" i="5"/>
  <c r="J378" i="5"/>
  <c r="G378" i="5"/>
  <c r="F378" i="5"/>
  <c r="J377" i="5"/>
  <c r="G377" i="5"/>
  <c r="F377" i="5"/>
  <c r="F375" i="5"/>
  <c r="D375" i="5"/>
  <c r="I375" i="5"/>
  <c r="C375" i="5"/>
  <c r="B375" i="5"/>
  <c r="A375" i="5"/>
  <c r="Z374" i="5"/>
  <c r="Y374" i="5"/>
  <c r="X374" i="5"/>
  <c r="G373" i="5"/>
  <c r="E373" i="5"/>
  <c r="J372" i="5"/>
  <c r="F372" i="5"/>
  <c r="E372" i="5"/>
  <c r="J371" i="5"/>
  <c r="F371" i="5"/>
  <c r="E371" i="5"/>
  <c r="J370" i="5"/>
  <c r="G370" i="5"/>
  <c r="F370" i="5"/>
  <c r="J369" i="5"/>
  <c r="G369" i="5"/>
  <c r="F369" i="5"/>
  <c r="F367" i="5"/>
  <c r="D367" i="5"/>
  <c r="I367" i="5"/>
  <c r="C367" i="5"/>
  <c r="B367" i="5"/>
  <c r="A367" i="5"/>
  <c r="Z366" i="5"/>
  <c r="Y366" i="5"/>
  <c r="W366" i="5"/>
  <c r="J365" i="5"/>
  <c r="Z365" i="5"/>
  <c r="Y365" i="5"/>
  <c r="W365" i="5"/>
  <c r="F365" i="5"/>
  <c r="D365" i="5"/>
  <c r="C365" i="5"/>
  <c r="B365" i="5"/>
  <c r="A365" i="5"/>
  <c r="G364" i="5"/>
  <c r="E364" i="5"/>
  <c r="J363" i="5"/>
  <c r="E363" i="5"/>
  <c r="J362" i="5"/>
  <c r="E362" i="5"/>
  <c r="J361" i="5"/>
  <c r="G361" i="5"/>
  <c r="F361" i="5"/>
  <c r="J360" i="5"/>
  <c r="G360" i="5"/>
  <c r="F360" i="5"/>
  <c r="J359" i="5"/>
  <c r="G359" i="5"/>
  <c r="F359" i="5"/>
  <c r="J358" i="5"/>
  <c r="G358" i="5"/>
  <c r="F358" i="5"/>
  <c r="F356" i="5"/>
  <c r="D356" i="5"/>
  <c r="I356" i="5"/>
  <c r="C356" i="5"/>
  <c r="B356" i="5"/>
  <c r="A356" i="5"/>
  <c r="Z355" i="5"/>
  <c r="Y355" i="5"/>
  <c r="W355" i="5"/>
  <c r="J354" i="5"/>
  <c r="Z354" i="5"/>
  <c r="Y354" i="5"/>
  <c r="W354" i="5"/>
  <c r="F354" i="5"/>
  <c r="D354" i="5"/>
  <c r="C354" i="5"/>
  <c r="B354" i="5"/>
  <c r="A354" i="5"/>
  <c r="G353" i="5"/>
  <c r="E353" i="5"/>
  <c r="J352" i="5"/>
  <c r="E352" i="5"/>
  <c r="J351" i="5"/>
  <c r="E351" i="5"/>
  <c r="J350" i="5"/>
  <c r="G350" i="5"/>
  <c r="F350" i="5"/>
  <c r="J349" i="5"/>
  <c r="G349" i="5"/>
  <c r="F349" i="5"/>
  <c r="J348" i="5"/>
  <c r="G348" i="5"/>
  <c r="F348" i="5"/>
  <c r="J347" i="5"/>
  <c r="G347" i="5"/>
  <c r="F347" i="5"/>
  <c r="F345" i="5"/>
  <c r="D345" i="5"/>
  <c r="I345" i="5"/>
  <c r="C345" i="5"/>
  <c r="B345" i="5"/>
  <c r="A345" i="5"/>
  <c r="Z344" i="5"/>
  <c r="Y344" i="5"/>
  <c r="W344" i="5"/>
  <c r="J343" i="5"/>
  <c r="Z343" i="5"/>
  <c r="Y343" i="5"/>
  <c r="W343" i="5"/>
  <c r="F343" i="5"/>
  <c r="D343" i="5"/>
  <c r="C343" i="5"/>
  <c r="B343" i="5"/>
  <c r="A343" i="5"/>
  <c r="G342" i="5"/>
  <c r="E342" i="5"/>
  <c r="J341" i="5"/>
  <c r="E341" i="5"/>
  <c r="J340" i="5"/>
  <c r="E340" i="5"/>
  <c r="J339" i="5"/>
  <c r="G339" i="5"/>
  <c r="F339" i="5"/>
  <c r="J338" i="5"/>
  <c r="G338" i="5"/>
  <c r="F338" i="5"/>
  <c r="F336" i="5"/>
  <c r="D336" i="5"/>
  <c r="I336" i="5"/>
  <c r="C336" i="5"/>
  <c r="B336" i="5"/>
  <c r="A336" i="5"/>
  <c r="Z335" i="5"/>
  <c r="Y335" i="5"/>
  <c r="W335" i="5"/>
  <c r="J334" i="5"/>
  <c r="Z334" i="5"/>
  <c r="Y334" i="5"/>
  <c r="W334" i="5"/>
  <c r="F334" i="5"/>
  <c r="D334" i="5"/>
  <c r="C334" i="5"/>
  <c r="B334" i="5"/>
  <c r="A334" i="5"/>
  <c r="G333" i="5"/>
  <c r="E333" i="5"/>
  <c r="J332" i="5"/>
  <c r="E332" i="5"/>
  <c r="J331" i="5"/>
  <c r="E331" i="5"/>
  <c r="J330" i="5"/>
  <c r="G330" i="5"/>
  <c r="F330" i="5"/>
  <c r="J329" i="5"/>
  <c r="G329" i="5"/>
  <c r="F329" i="5"/>
  <c r="J328" i="5"/>
  <c r="G328" i="5"/>
  <c r="F328" i="5"/>
  <c r="J327" i="5"/>
  <c r="G327" i="5"/>
  <c r="F327" i="5"/>
  <c r="F325" i="5"/>
  <c r="D325" i="5"/>
  <c r="I325" i="5"/>
  <c r="C325" i="5"/>
  <c r="B325" i="5"/>
  <c r="A325" i="5"/>
  <c r="Z324" i="5"/>
  <c r="Y324" i="5"/>
  <c r="X324" i="5"/>
  <c r="G323" i="5"/>
  <c r="E323" i="5"/>
  <c r="J322" i="5"/>
  <c r="E322" i="5"/>
  <c r="J321" i="5"/>
  <c r="E321" i="5"/>
  <c r="J320" i="5"/>
  <c r="G320" i="5"/>
  <c r="F320" i="5"/>
  <c r="J319" i="5"/>
  <c r="G319" i="5"/>
  <c r="F319" i="5"/>
  <c r="J318" i="5"/>
  <c r="G318" i="5"/>
  <c r="F318" i="5"/>
  <c r="F316" i="5"/>
  <c r="D316" i="5"/>
  <c r="I316" i="5"/>
  <c r="C316" i="5"/>
  <c r="B316" i="5"/>
  <c r="A316" i="5"/>
  <c r="Z315" i="5"/>
  <c r="Y315" i="5"/>
  <c r="X315" i="5"/>
  <c r="J314" i="5"/>
  <c r="Z314" i="5"/>
  <c r="Y314" i="5"/>
  <c r="X314" i="5"/>
  <c r="F314" i="5"/>
  <c r="D314" i="5"/>
  <c r="C314" i="5"/>
  <c r="B314" i="5"/>
  <c r="A314" i="5"/>
  <c r="J313" i="5"/>
  <c r="Z313" i="5"/>
  <c r="Y313" i="5"/>
  <c r="X313" i="5"/>
  <c r="F313" i="5"/>
  <c r="D313" i="5"/>
  <c r="C313" i="5"/>
  <c r="B313" i="5"/>
  <c r="A313" i="5"/>
  <c r="J312" i="5"/>
  <c r="Z312" i="5"/>
  <c r="Y312" i="5"/>
  <c r="X312" i="5"/>
  <c r="F312" i="5"/>
  <c r="D312" i="5"/>
  <c r="C312" i="5"/>
  <c r="B312" i="5"/>
  <c r="A312" i="5"/>
  <c r="J311" i="5"/>
  <c r="Z311" i="5"/>
  <c r="Y311" i="5"/>
  <c r="X311" i="5"/>
  <c r="F311" i="5"/>
  <c r="D311" i="5"/>
  <c r="C311" i="5"/>
  <c r="B311" i="5"/>
  <c r="A311" i="5"/>
  <c r="J310" i="5"/>
  <c r="Z310" i="5"/>
  <c r="Y310" i="5"/>
  <c r="X310" i="5"/>
  <c r="F310" i="5"/>
  <c r="D310" i="5"/>
  <c r="C310" i="5"/>
  <c r="B310" i="5"/>
  <c r="A310" i="5"/>
  <c r="J309" i="5"/>
  <c r="Z309" i="5"/>
  <c r="Y309" i="5"/>
  <c r="X309" i="5"/>
  <c r="F309" i="5"/>
  <c r="D309" i="5"/>
  <c r="C309" i="5"/>
  <c r="B309" i="5"/>
  <c r="A309" i="5"/>
  <c r="G308" i="5"/>
  <c r="E308" i="5"/>
  <c r="J307" i="5"/>
  <c r="F307" i="5"/>
  <c r="E307" i="5"/>
  <c r="J306" i="5"/>
  <c r="F306" i="5"/>
  <c r="E306" i="5"/>
  <c r="J305" i="5"/>
  <c r="G305" i="5"/>
  <c r="F305" i="5"/>
  <c r="J304" i="5"/>
  <c r="G304" i="5"/>
  <c r="F304" i="5"/>
  <c r="J303" i="5"/>
  <c r="G303" i="5"/>
  <c r="F303" i="5"/>
  <c r="J302" i="5"/>
  <c r="G302" i="5"/>
  <c r="F302" i="5"/>
  <c r="F300" i="5"/>
  <c r="D300" i="5"/>
  <c r="I300" i="5"/>
  <c r="C300" i="5"/>
  <c r="B300" i="5"/>
  <c r="A300" i="5"/>
  <c r="Z299" i="5"/>
  <c r="Y299" i="5"/>
  <c r="X299" i="5"/>
  <c r="J298" i="5"/>
  <c r="Z298" i="5"/>
  <c r="Y298" i="5"/>
  <c r="X298" i="5"/>
  <c r="F298" i="5"/>
  <c r="D298" i="5"/>
  <c r="C298" i="5"/>
  <c r="B298" i="5"/>
  <c r="A298" i="5"/>
  <c r="J297" i="5"/>
  <c r="Z297" i="5"/>
  <c r="Y297" i="5"/>
  <c r="X297" i="5"/>
  <c r="F297" i="5"/>
  <c r="D297" i="5"/>
  <c r="C297" i="5"/>
  <c r="B297" i="5"/>
  <c r="A297" i="5"/>
  <c r="J296" i="5"/>
  <c r="Z296" i="5"/>
  <c r="Y296" i="5"/>
  <c r="X296" i="5"/>
  <c r="F296" i="5"/>
  <c r="D296" i="5"/>
  <c r="C296" i="5"/>
  <c r="B296" i="5"/>
  <c r="A296" i="5"/>
  <c r="J295" i="5"/>
  <c r="Z295" i="5"/>
  <c r="Y295" i="5"/>
  <c r="X295" i="5"/>
  <c r="F295" i="5"/>
  <c r="D295" i="5"/>
  <c r="C295" i="5"/>
  <c r="B295" i="5"/>
  <c r="A295" i="5"/>
  <c r="J294" i="5"/>
  <c r="Z294" i="5"/>
  <c r="Y294" i="5"/>
  <c r="X294" i="5"/>
  <c r="F294" i="5"/>
  <c r="D294" i="5"/>
  <c r="C294" i="5"/>
  <c r="B294" i="5"/>
  <c r="A294" i="5"/>
  <c r="J293" i="5"/>
  <c r="Z293" i="5"/>
  <c r="Y293" i="5"/>
  <c r="X293" i="5"/>
  <c r="F293" i="5"/>
  <c r="D293" i="5"/>
  <c r="C293" i="5"/>
  <c r="B293" i="5"/>
  <c r="A293" i="5"/>
  <c r="G292" i="5"/>
  <c r="E292" i="5"/>
  <c r="J291" i="5"/>
  <c r="F291" i="5"/>
  <c r="E291" i="5"/>
  <c r="J290" i="5"/>
  <c r="F290" i="5"/>
  <c r="E290" i="5"/>
  <c r="J289" i="5"/>
  <c r="G289" i="5"/>
  <c r="F289" i="5"/>
  <c r="J288" i="5"/>
  <c r="G288" i="5"/>
  <c r="F288" i="5"/>
  <c r="J287" i="5"/>
  <c r="G287" i="5"/>
  <c r="F287" i="5"/>
  <c r="J286" i="5"/>
  <c r="G286" i="5"/>
  <c r="F286" i="5"/>
  <c r="F284" i="5"/>
  <c r="D284" i="5"/>
  <c r="I284" i="5"/>
  <c r="C284" i="5"/>
  <c r="B284" i="5"/>
  <c r="A284" i="5"/>
  <c r="Z283" i="5"/>
  <c r="Y283" i="5"/>
  <c r="X283" i="5"/>
  <c r="J282" i="5"/>
  <c r="Z282" i="5"/>
  <c r="Y282" i="5"/>
  <c r="X282" i="5"/>
  <c r="F282" i="5"/>
  <c r="D282" i="5"/>
  <c r="C282" i="5"/>
  <c r="B282" i="5"/>
  <c r="A282" i="5"/>
  <c r="J281" i="5"/>
  <c r="Z281" i="5"/>
  <c r="Y281" i="5"/>
  <c r="X281" i="5"/>
  <c r="F281" i="5"/>
  <c r="D281" i="5"/>
  <c r="C281" i="5"/>
  <c r="B281" i="5"/>
  <c r="A281" i="5"/>
  <c r="G280" i="5"/>
  <c r="E280" i="5"/>
  <c r="J279" i="5"/>
  <c r="F279" i="5"/>
  <c r="E279" i="5"/>
  <c r="J278" i="5"/>
  <c r="F278" i="5"/>
  <c r="E278" i="5"/>
  <c r="J277" i="5"/>
  <c r="G277" i="5"/>
  <c r="F277" i="5"/>
  <c r="F275" i="5"/>
  <c r="D275" i="5"/>
  <c r="I275" i="5"/>
  <c r="C275" i="5"/>
  <c r="B275" i="5"/>
  <c r="A275" i="5"/>
  <c r="Z274" i="5"/>
  <c r="Y274" i="5"/>
  <c r="X274" i="5"/>
  <c r="J273" i="5"/>
  <c r="Z273" i="5"/>
  <c r="Y273" i="5"/>
  <c r="X273" i="5"/>
  <c r="F273" i="5"/>
  <c r="D273" i="5"/>
  <c r="C273" i="5"/>
  <c r="B273" i="5"/>
  <c r="A273" i="5"/>
  <c r="J272" i="5"/>
  <c r="Z272" i="5"/>
  <c r="Y272" i="5"/>
  <c r="X272" i="5"/>
  <c r="F272" i="5"/>
  <c r="D272" i="5"/>
  <c r="C272" i="5"/>
  <c r="B272" i="5"/>
  <c r="A272" i="5"/>
  <c r="J271" i="5"/>
  <c r="Z271" i="5"/>
  <c r="Y271" i="5"/>
  <c r="X271" i="5"/>
  <c r="F271" i="5"/>
  <c r="D271" i="5"/>
  <c r="C271" i="5"/>
  <c r="B271" i="5"/>
  <c r="A271" i="5"/>
  <c r="J270" i="5"/>
  <c r="Z270" i="5"/>
  <c r="Y270" i="5"/>
  <c r="X270" i="5"/>
  <c r="F270" i="5"/>
  <c r="D270" i="5"/>
  <c r="C270" i="5"/>
  <c r="B270" i="5"/>
  <c r="A270" i="5"/>
  <c r="G269" i="5"/>
  <c r="E269" i="5"/>
  <c r="J268" i="5"/>
  <c r="F268" i="5"/>
  <c r="E268" i="5"/>
  <c r="J267" i="5"/>
  <c r="F267" i="5"/>
  <c r="E267" i="5"/>
  <c r="J266" i="5"/>
  <c r="G266" i="5"/>
  <c r="F266" i="5"/>
  <c r="J265" i="5"/>
  <c r="G265" i="5"/>
  <c r="F265" i="5"/>
  <c r="J264" i="5"/>
  <c r="G264" i="5"/>
  <c r="F264" i="5"/>
  <c r="J263" i="5"/>
  <c r="G263" i="5"/>
  <c r="F263" i="5"/>
  <c r="F261" i="5"/>
  <c r="D261" i="5"/>
  <c r="I261" i="5"/>
  <c r="C261" i="5"/>
  <c r="B261" i="5"/>
  <c r="A261" i="5"/>
  <c r="Z260" i="5"/>
  <c r="Y260" i="5"/>
  <c r="X260" i="5"/>
  <c r="J259" i="5"/>
  <c r="Z259" i="5"/>
  <c r="Y259" i="5"/>
  <c r="X259" i="5"/>
  <c r="F259" i="5"/>
  <c r="D259" i="5"/>
  <c r="C259" i="5"/>
  <c r="B259" i="5"/>
  <c r="A259" i="5"/>
  <c r="J258" i="5"/>
  <c r="Z258" i="5"/>
  <c r="Y258" i="5"/>
  <c r="X258" i="5"/>
  <c r="F258" i="5"/>
  <c r="D258" i="5"/>
  <c r="C258" i="5"/>
  <c r="B258" i="5"/>
  <c r="A258" i="5"/>
  <c r="G257" i="5"/>
  <c r="E257" i="5"/>
  <c r="J256" i="5"/>
  <c r="F256" i="5"/>
  <c r="E256" i="5"/>
  <c r="J255" i="5"/>
  <c r="F255" i="5"/>
  <c r="E255" i="5"/>
  <c r="J254" i="5"/>
  <c r="G254" i="5"/>
  <c r="F254" i="5"/>
  <c r="J253" i="5"/>
  <c r="G253" i="5"/>
  <c r="F253" i="5"/>
  <c r="J252" i="5"/>
  <c r="G252" i="5"/>
  <c r="F252" i="5"/>
  <c r="J251" i="5"/>
  <c r="G251" i="5"/>
  <c r="F251" i="5"/>
  <c r="F249" i="5"/>
  <c r="D249" i="5"/>
  <c r="I249" i="5"/>
  <c r="C249" i="5"/>
  <c r="B249" i="5"/>
  <c r="A249" i="5"/>
  <c r="Z248" i="5"/>
  <c r="Y248" i="5"/>
  <c r="X248" i="5"/>
  <c r="J247" i="5"/>
  <c r="Z247" i="5"/>
  <c r="Y247" i="5"/>
  <c r="X247" i="5"/>
  <c r="F247" i="5"/>
  <c r="D247" i="5"/>
  <c r="C247" i="5"/>
  <c r="B247" i="5"/>
  <c r="A247" i="5"/>
  <c r="J246" i="5"/>
  <c r="Z246" i="5"/>
  <c r="Y246" i="5"/>
  <c r="X246" i="5"/>
  <c r="F246" i="5"/>
  <c r="D246" i="5"/>
  <c r="C246" i="5"/>
  <c r="B246" i="5"/>
  <c r="A246" i="5"/>
  <c r="G245" i="5"/>
  <c r="E245" i="5"/>
  <c r="J244" i="5"/>
  <c r="F244" i="5"/>
  <c r="E244" i="5"/>
  <c r="J243" i="5"/>
  <c r="F243" i="5"/>
  <c r="E243" i="5"/>
  <c r="J242" i="5"/>
  <c r="G242" i="5"/>
  <c r="F242" i="5"/>
  <c r="J241" i="5"/>
  <c r="G241" i="5"/>
  <c r="F241" i="5"/>
  <c r="J240" i="5"/>
  <c r="G240" i="5"/>
  <c r="F240" i="5"/>
  <c r="J239" i="5"/>
  <c r="G239" i="5"/>
  <c r="F239" i="5"/>
  <c r="F237" i="5"/>
  <c r="D237" i="5"/>
  <c r="I237" i="5"/>
  <c r="C237" i="5"/>
  <c r="B237" i="5"/>
  <c r="A237" i="5"/>
  <c r="Z236" i="5"/>
  <c r="Y236" i="5"/>
  <c r="X236" i="5"/>
  <c r="J235" i="5"/>
  <c r="Z235" i="5"/>
  <c r="Y235" i="5"/>
  <c r="X235" i="5"/>
  <c r="F235" i="5"/>
  <c r="D235" i="5"/>
  <c r="C235" i="5"/>
  <c r="B235" i="5"/>
  <c r="A235" i="5"/>
  <c r="J234" i="5"/>
  <c r="Z234" i="5"/>
  <c r="Y234" i="5"/>
  <c r="X234" i="5"/>
  <c r="F234" i="5"/>
  <c r="D234" i="5"/>
  <c r="C234" i="5"/>
  <c r="B234" i="5"/>
  <c r="A234" i="5"/>
  <c r="G233" i="5"/>
  <c r="E233" i="5"/>
  <c r="J232" i="5"/>
  <c r="F232" i="5"/>
  <c r="E232" i="5"/>
  <c r="J231" i="5"/>
  <c r="F231" i="5"/>
  <c r="E231" i="5"/>
  <c r="J230" i="5"/>
  <c r="G230" i="5"/>
  <c r="F230" i="5"/>
  <c r="J229" i="5"/>
  <c r="G229" i="5"/>
  <c r="F229" i="5"/>
  <c r="J228" i="5"/>
  <c r="G228" i="5"/>
  <c r="F228" i="5"/>
  <c r="J227" i="5"/>
  <c r="G227" i="5"/>
  <c r="F227" i="5"/>
  <c r="F226" i="5"/>
  <c r="E226" i="5"/>
  <c r="D226" i="5"/>
  <c r="I226" i="5"/>
  <c r="C226" i="5"/>
  <c r="B226" i="5"/>
  <c r="A226" i="5"/>
  <c r="Z225" i="5"/>
  <c r="Y225" i="5"/>
  <c r="X225" i="5"/>
  <c r="J224" i="5"/>
  <c r="Z224" i="5"/>
  <c r="Y224" i="5"/>
  <c r="X224" i="5"/>
  <c r="F224" i="5"/>
  <c r="D224" i="5"/>
  <c r="C224" i="5"/>
  <c r="B224" i="5"/>
  <c r="A224" i="5"/>
  <c r="J223" i="5"/>
  <c r="Z223" i="5"/>
  <c r="Y223" i="5"/>
  <c r="X223" i="5"/>
  <c r="F223" i="5"/>
  <c r="D223" i="5"/>
  <c r="C223" i="5"/>
  <c r="B223" i="5"/>
  <c r="A223" i="5"/>
  <c r="J222" i="5"/>
  <c r="Z222" i="5"/>
  <c r="Y222" i="5"/>
  <c r="X222" i="5"/>
  <c r="F222" i="5"/>
  <c r="D222" i="5"/>
  <c r="C222" i="5"/>
  <c r="B222" i="5"/>
  <c r="A222" i="5"/>
  <c r="J221" i="5"/>
  <c r="Z221" i="5"/>
  <c r="Y221" i="5"/>
  <c r="X221" i="5"/>
  <c r="F221" i="5"/>
  <c r="D221" i="5"/>
  <c r="C221" i="5"/>
  <c r="B221" i="5"/>
  <c r="A221" i="5"/>
  <c r="J220" i="5"/>
  <c r="Z220" i="5"/>
  <c r="Y220" i="5"/>
  <c r="X220" i="5"/>
  <c r="F220" i="5"/>
  <c r="D220" i="5"/>
  <c r="C220" i="5"/>
  <c r="B220" i="5"/>
  <c r="A220" i="5"/>
  <c r="J219" i="5"/>
  <c r="Z219" i="5"/>
  <c r="Y219" i="5"/>
  <c r="X219" i="5"/>
  <c r="F219" i="5"/>
  <c r="D219" i="5"/>
  <c r="C219" i="5"/>
  <c r="B219" i="5"/>
  <c r="A219" i="5"/>
  <c r="G218" i="5"/>
  <c r="E218" i="5"/>
  <c r="J217" i="5"/>
  <c r="F217" i="5"/>
  <c r="E217" i="5"/>
  <c r="J216" i="5"/>
  <c r="F216" i="5"/>
  <c r="E216" i="5"/>
  <c r="J215" i="5"/>
  <c r="G215" i="5"/>
  <c r="F215" i="5"/>
  <c r="J214" i="5"/>
  <c r="G214" i="5"/>
  <c r="F214" i="5"/>
  <c r="J213" i="5"/>
  <c r="G213" i="5"/>
  <c r="F213" i="5"/>
  <c r="J212" i="5"/>
  <c r="G212" i="5"/>
  <c r="F212" i="5"/>
  <c r="F210" i="5"/>
  <c r="D210" i="5"/>
  <c r="I210" i="5"/>
  <c r="C210" i="5"/>
  <c r="B210" i="5"/>
  <c r="A210" i="5"/>
  <c r="Z209" i="5"/>
  <c r="Y209" i="5"/>
  <c r="X209" i="5"/>
  <c r="G208" i="5"/>
  <c r="E208" i="5"/>
  <c r="J207" i="5"/>
  <c r="F207" i="5"/>
  <c r="E207" i="5"/>
  <c r="J206" i="5"/>
  <c r="F206" i="5"/>
  <c r="E206" i="5"/>
  <c r="J205" i="5"/>
  <c r="G205" i="5"/>
  <c r="F205" i="5"/>
  <c r="J204" i="5"/>
  <c r="G204" i="5"/>
  <c r="F204" i="5"/>
  <c r="J203" i="5"/>
  <c r="G203" i="5"/>
  <c r="F203" i="5"/>
  <c r="J202" i="5"/>
  <c r="G202" i="5"/>
  <c r="F202" i="5"/>
  <c r="F200" i="5"/>
  <c r="D200" i="5"/>
  <c r="I200" i="5"/>
  <c r="C200" i="5"/>
  <c r="B200" i="5"/>
  <c r="A200" i="5"/>
  <c r="Z199" i="5"/>
  <c r="Y199" i="5"/>
  <c r="X199" i="5"/>
  <c r="J198" i="5"/>
  <c r="Z198" i="5"/>
  <c r="Y198" i="5"/>
  <c r="X198" i="5"/>
  <c r="F198" i="5"/>
  <c r="D198" i="5"/>
  <c r="C198" i="5"/>
  <c r="B198" i="5"/>
  <c r="A198" i="5"/>
  <c r="J197" i="5"/>
  <c r="Z197" i="5"/>
  <c r="Y197" i="5"/>
  <c r="X197" i="5"/>
  <c r="F197" i="5"/>
  <c r="D197" i="5"/>
  <c r="C197" i="5"/>
  <c r="B197" i="5"/>
  <c r="A197" i="5"/>
  <c r="G196" i="5"/>
  <c r="E196" i="5"/>
  <c r="J195" i="5"/>
  <c r="F195" i="5"/>
  <c r="E195" i="5"/>
  <c r="J194" i="5"/>
  <c r="F194" i="5"/>
  <c r="E194" i="5"/>
  <c r="J193" i="5"/>
  <c r="G193" i="5"/>
  <c r="F193" i="5"/>
  <c r="J192" i="5"/>
  <c r="G192" i="5"/>
  <c r="F192" i="5"/>
  <c r="J191" i="5"/>
  <c r="G191" i="5"/>
  <c r="F191" i="5"/>
  <c r="J190" i="5"/>
  <c r="G190" i="5"/>
  <c r="F190" i="5"/>
  <c r="F188" i="5"/>
  <c r="D188" i="5"/>
  <c r="I188" i="5"/>
  <c r="C188" i="5"/>
  <c r="B188" i="5"/>
  <c r="A188" i="5"/>
  <c r="Z187" i="5"/>
  <c r="Y187" i="5"/>
  <c r="X187" i="5"/>
  <c r="G186" i="5"/>
  <c r="E186" i="5"/>
  <c r="J185" i="5"/>
  <c r="F185" i="5"/>
  <c r="E185" i="5"/>
  <c r="J184" i="5"/>
  <c r="F184" i="5"/>
  <c r="E184" i="5"/>
  <c r="J183" i="5"/>
  <c r="G183" i="5"/>
  <c r="F183" i="5"/>
  <c r="J182" i="5"/>
  <c r="G182" i="5"/>
  <c r="F182" i="5"/>
  <c r="J181" i="5"/>
  <c r="G181" i="5"/>
  <c r="F181" i="5"/>
  <c r="J180" i="5"/>
  <c r="G180" i="5"/>
  <c r="F180" i="5"/>
  <c r="F178" i="5"/>
  <c r="D178" i="5"/>
  <c r="I178" i="5"/>
  <c r="C178" i="5"/>
  <c r="B178" i="5"/>
  <c r="A178" i="5"/>
  <c r="Z177" i="5"/>
  <c r="Y177" i="5"/>
  <c r="X177" i="5"/>
  <c r="J176" i="5"/>
  <c r="Z176" i="5"/>
  <c r="Y176" i="5"/>
  <c r="X176" i="5"/>
  <c r="F176" i="5"/>
  <c r="D176" i="5"/>
  <c r="C176" i="5"/>
  <c r="B176" i="5"/>
  <c r="A176" i="5"/>
  <c r="J175" i="5"/>
  <c r="Z175" i="5"/>
  <c r="Y175" i="5"/>
  <c r="X175" i="5"/>
  <c r="F175" i="5"/>
  <c r="D175" i="5"/>
  <c r="C175" i="5"/>
  <c r="B175" i="5"/>
  <c r="A175" i="5"/>
  <c r="J174" i="5"/>
  <c r="Z174" i="5"/>
  <c r="Y174" i="5"/>
  <c r="X174" i="5"/>
  <c r="F174" i="5"/>
  <c r="D174" i="5"/>
  <c r="C174" i="5"/>
  <c r="B174" i="5"/>
  <c r="A174" i="5"/>
  <c r="J173" i="5"/>
  <c r="Z173" i="5"/>
  <c r="Y173" i="5"/>
  <c r="X173" i="5"/>
  <c r="F173" i="5"/>
  <c r="D173" i="5"/>
  <c r="C173" i="5"/>
  <c r="B173" i="5"/>
  <c r="A173" i="5"/>
  <c r="G172" i="5"/>
  <c r="E172" i="5"/>
  <c r="J171" i="5"/>
  <c r="F171" i="5"/>
  <c r="E171" i="5"/>
  <c r="J170" i="5"/>
  <c r="F170" i="5"/>
  <c r="E170" i="5"/>
  <c r="J169" i="5"/>
  <c r="G169" i="5"/>
  <c r="F169" i="5"/>
  <c r="J168" i="5"/>
  <c r="G168" i="5"/>
  <c r="F168" i="5"/>
  <c r="J167" i="5"/>
  <c r="G167" i="5"/>
  <c r="F167" i="5"/>
  <c r="F165" i="5"/>
  <c r="D165" i="5"/>
  <c r="I165" i="5"/>
  <c r="C165" i="5"/>
  <c r="B165" i="5"/>
  <c r="A165" i="5"/>
  <c r="Z164" i="5"/>
  <c r="Y164" i="5"/>
  <c r="X164" i="5"/>
  <c r="J163" i="5"/>
  <c r="Z163" i="5"/>
  <c r="Y163" i="5"/>
  <c r="X163" i="5"/>
  <c r="F163" i="5"/>
  <c r="D163" i="5"/>
  <c r="C163" i="5"/>
  <c r="B163" i="5"/>
  <c r="A163" i="5"/>
  <c r="J162" i="5"/>
  <c r="Z162" i="5"/>
  <c r="Y162" i="5"/>
  <c r="X162" i="5"/>
  <c r="F162" i="5"/>
  <c r="D162" i="5"/>
  <c r="C162" i="5"/>
  <c r="B162" i="5"/>
  <c r="A162" i="5"/>
  <c r="G161" i="5"/>
  <c r="E161" i="5"/>
  <c r="J160" i="5"/>
  <c r="F160" i="5"/>
  <c r="E160" i="5"/>
  <c r="J159" i="5"/>
  <c r="F159" i="5"/>
  <c r="E159" i="5"/>
  <c r="J158" i="5"/>
  <c r="G158" i="5"/>
  <c r="F158" i="5"/>
  <c r="J157" i="5"/>
  <c r="G157" i="5"/>
  <c r="F157" i="5"/>
  <c r="J156" i="5"/>
  <c r="G156" i="5"/>
  <c r="F156" i="5"/>
  <c r="J155" i="5"/>
  <c r="G155" i="5"/>
  <c r="F155" i="5"/>
  <c r="F153" i="5"/>
  <c r="D153" i="5"/>
  <c r="I153" i="5"/>
  <c r="C153" i="5"/>
  <c r="B153" i="5"/>
  <c r="A153" i="5"/>
  <c r="Z152" i="5"/>
  <c r="Y152" i="5"/>
  <c r="X152" i="5"/>
  <c r="J151" i="5"/>
  <c r="Z151" i="5"/>
  <c r="Y151" i="5"/>
  <c r="X151" i="5"/>
  <c r="F151" i="5"/>
  <c r="D151" i="5"/>
  <c r="C151" i="5"/>
  <c r="B151" i="5"/>
  <c r="A151" i="5"/>
  <c r="J150" i="5"/>
  <c r="Z150" i="5"/>
  <c r="Y150" i="5"/>
  <c r="X150" i="5"/>
  <c r="F150" i="5"/>
  <c r="D150" i="5"/>
  <c r="C150" i="5"/>
  <c r="B150" i="5"/>
  <c r="A150" i="5"/>
  <c r="G149" i="5"/>
  <c r="E149" i="5"/>
  <c r="J148" i="5"/>
  <c r="F148" i="5"/>
  <c r="E148" i="5"/>
  <c r="J147" i="5"/>
  <c r="F147" i="5"/>
  <c r="E147" i="5"/>
  <c r="J146" i="5"/>
  <c r="G146" i="5"/>
  <c r="F146" i="5"/>
  <c r="J145" i="5"/>
  <c r="G145" i="5"/>
  <c r="F145" i="5"/>
  <c r="J144" i="5"/>
  <c r="G144" i="5"/>
  <c r="F144" i="5"/>
  <c r="J143" i="5"/>
  <c r="G143" i="5"/>
  <c r="F143" i="5"/>
  <c r="F141" i="5"/>
  <c r="D141" i="5"/>
  <c r="I141" i="5"/>
  <c r="C141" i="5"/>
  <c r="B141" i="5"/>
  <c r="A141" i="5"/>
  <c r="Z140" i="5"/>
  <c r="Y140" i="5"/>
  <c r="X140" i="5"/>
  <c r="J139" i="5"/>
  <c r="Z139" i="5"/>
  <c r="Y139" i="5"/>
  <c r="X139" i="5"/>
  <c r="F139" i="5"/>
  <c r="D139" i="5"/>
  <c r="C139" i="5"/>
  <c r="B139" i="5"/>
  <c r="A139" i="5"/>
  <c r="J138" i="5"/>
  <c r="Z138" i="5"/>
  <c r="Y138" i="5"/>
  <c r="X138" i="5"/>
  <c r="F138" i="5"/>
  <c r="D138" i="5"/>
  <c r="C138" i="5"/>
  <c r="B138" i="5"/>
  <c r="A138" i="5"/>
  <c r="G137" i="5"/>
  <c r="E137" i="5"/>
  <c r="J136" i="5"/>
  <c r="F136" i="5"/>
  <c r="E136" i="5"/>
  <c r="J135" i="5"/>
  <c r="F135" i="5"/>
  <c r="E135" i="5"/>
  <c r="J134" i="5"/>
  <c r="G134" i="5"/>
  <c r="F134" i="5"/>
  <c r="J133" i="5"/>
  <c r="G133" i="5"/>
  <c r="F133" i="5"/>
  <c r="J132" i="5"/>
  <c r="G132" i="5"/>
  <c r="F132" i="5"/>
  <c r="F130" i="5"/>
  <c r="D130" i="5"/>
  <c r="I130" i="5"/>
  <c r="C130" i="5"/>
  <c r="B130" i="5"/>
  <c r="A130" i="5"/>
  <c r="Z129" i="5"/>
  <c r="Y129" i="5"/>
  <c r="X129" i="5"/>
  <c r="J128" i="5"/>
  <c r="Z128" i="5"/>
  <c r="Y128" i="5"/>
  <c r="X128" i="5"/>
  <c r="F128" i="5"/>
  <c r="D128" i="5"/>
  <c r="C128" i="5"/>
  <c r="B128" i="5"/>
  <c r="A128" i="5"/>
  <c r="J127" i="5"/>
  <c r="Z127" i="5"/>
  <c r="Y127" i="5"/>
  <c r="X127" i="5"/>
  <c r="F127" i="5"/>
  <c r="D127" i="5"/>
  <c r="C127" i="5"/>
  <c r="B127" i="5"/>
  <c r="A127" i="5"/>
  <c r="G126" i="5"/>
  <c r="E126" i="5"/>
  <c r="J125" i="5"/>
  <c r="F125" i="5"/>
  <c r="E125" i="5"/>
  <c r="J124" i="5"/>
  <c r="F124" i="5"/>
  <c r="E124" i="5"/>
  <c r="J123" i="5"/>
  <c r="G123" i="5"/>
  <c r="F123" i="5"/>
  <c r="J122" i="5"/>
  <c r="G122" i="5"/>
  <c r="F122" i="5"/>
  <c r="J121" i="5"/>
  <c r="G121" i="5"/>
  <c r="F121" i="5"/>
  <c r="J120" i="5"/>
  <c r="G120" i="5"/>
  <c r="F120" i="5"/>
  <c r="F118" i="5"/>
  <c r="D118" i="5"/>
  <c r="I118" i="5"/>
  <c r="C118" i="5"/>
  <c r="B118" i="5"/>
  <c r="A118" i="5"/>
  <c r="Z117" i="5"/>
  <c r="Y117" i="5"/>
  <c r="X117" i="5"/>
  <c r="G116" i="5"/>
  <c r="E116" i="5"/>
  <c r="J115" i="5"/>
  <c r="F115" i="5"/>
  <c r="E115" i="5"/>
  <c r="J114" i="5"/>
  <c r="F114" i="5"/>
  <c r="E114" i="5"/>
  <c r="J113" i="5"/>
  <c r="G113" i="5"/>
  <c r="F113" i="5"/>
  <c r="J112" i="5"/>
  <c r="G112" i="5"/>
  <c r="F112" i="5"/>
  <c r="J111" i="5"/>
  <c r="G111" i="5"/>
  <c r="F111" i="5"/>
  <c r="J110" i="5"/>
  <c r="G110" i="5"/>
  <c r="F110" i="5"/>
  <c r="F108" i="5"/>
  <c r="D108" i="5"/>
  <c r="I108" i="5"/>
  <c r="C108" i="5"/>
  <c r="B108" i="5"/>
  <c r="A108" i="5"/>
  <c r="Z107" i="5"/>
  <c r="Y107" i="5"/>
  <c r="X107" i="5"/>
  <c r="G106" i="5"/>
  <c r="E106" i="5"/>
  <c r="J105" i="5"/>
  <c r="F105" i="5"/>
  <c r="E105" i="5"/>
  <c r="J104" i="5"/>
  <c r="F104" i="5"/>
  <c r="E104" i="5"/>
  <c r="J103" i="5"/>
  <c r="G103" i="5"/>
  <c r="F103" i="5"/>
  <c r="J102" i="5"/>
  <c r="G102" i="5"/>
  <c r="F102" i="5"/>
  <c r="J101" i="5"/>
  <c r="G101" i="5"/>
  <c r="F101" i="5"/>
  <c r="F99" i="5"/>
  <c r="D99" i="5"/>
  <c r="I99" i="5"/>
  <c r="C99" i="5"/>
  <c r="B99" i="5"/>
  <c r="A99" i="5"/>
  <c r="Z98" i="5"/>
  <c r="Y98" i="5"/>
  <c r="X98" i="5"/>
  <c r="G97" i="5"/>
  <c r="E97" i="5"/>
  <c r="J96" i="5"/>
  <c r="F96" i="5"/>
  <c r="E96" i="5"/>
  <c r="J95" i="5"/>
  <c r="F95" i="5"/>
  <c r="E95" i="5"/>
  <c r="J94" i="5"/>
  <c r="G94" i="5"/>
  <c r="F94" i="5"/>
  <c r="J93" i="5"/>
  <c r="G93" i="5"/>
  <c r="F93" i="5"/>
  <c r="J92" i="5"/>
  <c r="G92" i="5"/>
  <c r="F92" i="5"/>
  <c r="F90" i="5"/>
  <c r="D90" i="5"/>
  <c r="I90" i="5"/>
  <c r="C90" i="5"/>
  <c r="B90" i="5"/>
  <c r="A90" i="5"/>
  <c r="Z89" i="5"/>
  <c r="Y89" i="5"/>
  <c r="X89" i="5"/>
  <c r="G88" i="5"/>
  <c r="E88" i="5"/>
  <c r="J87" i="5"/>
  <c r="F87" i="5"/>
  <c r="E87" i="5"/>
  <c r="J86" i="5"/>
  <c r="F86" i="5"/>
  <c r="E86" i="5"/>
  <c r="J85" i="5"/>
  <c r="G85" i="5"/>
  <c r="F85" i="5"/>
  <c r="J84" i="5"/>
  <c r="G84" i="5"/>
  <c r="F84" i="5"/>
  <c r="J83" i="5"/>
  <c r="G83" i="5"/>
  <c r="F83" i="5"/>
  <c r="F81" i="5"/>
  <c r="D81" i="5"/>
  <c r="I81" i="5"/>
  <c r="C81" i="5"/>
  <c r="B81" i="5"/>
  <c r="A81" i="5"/>
  <c r="Z80" i="5"/>
  <c r="Y80" i="5"/>
  <c r="X80" i="5"/>
  <c r="G79" i="5"/>
  <c r="E79" i="5"/>
  <c r="J78" i="5"/>
  <c r="F78" i="5"/>
  <c r="E78" i="5"/>
  <c r="J77" i="5"/>
  <c r="F77" i="5"/>
  <c r="E77" i="5"/>
  <c r="J76" i="5"/>
  <c r="G76" i="5"/>
  <c r="F76" i="5"/>
  <c r="J75" i="5"/>
  <c r="G75" i="5"/>
  <c r="F75" i="5"/>
  <c r="J74" i="5"/>
  <c r="G74" i="5"/>
  <c r="F74" i="5"/>
  <c r="F72" i="5"/>
  <c r="D72" i="5"/>
  <c r="I72" i="5"/>
  <c r="C72" i="5"/>
  <c r="B72" i="5"/>
  <c r="A72" i="5"/>
  <c r="Z71" i="5"/>
  <c r="Y71" i="5"/>
  <c r="X71" i="5"/>
  <c r="G70" i="5"/>
  <c r="E70" i="5"/>
  <c r="J69" i="5"/>
  <c r="E69" i="5"/>
  <c r="J68" i="5"/>
  <c r="E68" i="5"/>
  <c r="J67" i="5"/>
  <c r="G67" i="5"/>
  <c r="F67" i="5"/>
  <c r="J66" i="5"/>
  <c r="G66" i="5"/>
  <c r="F66" i="5"/>
  <c r="J65" i="5"/>
  <c r="G65" i="5"/>
  <c r="F65" i="5"/>
  <c r="F63" i="5"/>
  <c r="D63" i="5"/>
  <c r="I63" i="5"/>
  <c r="C63" i="5"/>
  <c r="B63" i="5"/>
  <c r="A63" i="5"/>
  <c r="Z62" i="5"/>
  <c r="Y62" i="5"/>
  <c r="X62" i="5"/>
  <c r="G61" i="5"/>
  <c r="E61" i="5"/>
  <c r="J60" i="5"/>
  <c r="E60" i="5"/>
  <c r="J59" i="5"/>
  <c r="E59" i="5"/>
  <c r="J58" i="5"/>
  <c r="G58" i="5"/>
  <c r="F58" i="5"/>
  <c r="F56" i="5"/>
  <c r="D56" i="5"/>
  <c r="I56" i="5"/>
  <c r="C56" i="5"/>
  <c r="B56" i="5"/>
  <c r="A56" i="5"/>
  <c r="Z55" i="5"/>
  <c r="Y55" i="5"/>
  <c r="X55" i="5"/>
  <c r="G54" i="5"/>
  <c r="E54" i="5"/>
  <c r="J53" i="5"/>
  <c r="F53" i="5"/>
  <c r="E53" i="5"/>
  <c r="J52" i="5"/>
  <c r="F52" i="5"/>
  <c r="E52" i="5"/>
  <c r="J51" i="5"/>
  <c r="G51" i="5"/>
  <c r="F51" i="5"/>
  <c r="J50" i="5"/>
  <c r="G50" i="5"/>
  <c r="F50" i="5"/>
  <c r="J49" i="5"/>
  <c r="G49" i="5"/>
  <c r="F49" i="5"/>
  <c r="F47" i="5"/>
  <c r="D47" i="5"/>
  <c r="I47" i="5"/>
  <c r="C47" i="5"/>
  <c r="B47" i="5"/>
  <c r="A47" i="5"/>
  <c r="Z46" i="5"/>
  <c r="Y46" i="5"/>
  <c r="X46" i="5"/>
  <c r="G45" i="5"/>
  <c r="E45" i="5"/>
  <c r="J44" i="5"/>
  <c r="E44" i="5"/>
  <c r="J43" i="5"/>
  <c r="E43" i="5"/>
  <c r="J42" i="5"/>
  <c r="G42" i="5"/>
  <c r="F42" i="5"/>
  <c r="J41" i="5"/>
  <c r="G41" i="5"/>
  <c r="F41" i="5"/>
  <c r="J40" i="5"/>
  <c r="G40" i="5"/>
  <c r="F40" i="5"/>
  <c r="F38" i="5"/>
  <c r="D38" i="5"/>
  <c r="I38" i="5"/>
  <c r="C38" i="5"/>
  <c r="B38" i="5"/>
  <c r="A38" i="5"/>
  <c r="Z37" i="5"/>
  <c r="Y37" i="5"/>
  <c r="X37" i="5"/>
  <c r="G36" i="5"/>
  <c r="E36" i="5"/>
  <c r="J35" i="5"/>
  <c r="E35" i="5"/>
  <c r="J34" i="5"/>
  <c r="E34" i="5"/>
  <c r="J33" i="5"/>
  <c r="G33" i="5"/>
  <c r="F33" i="5"/>
  <c r="F31" i="5"/>
  <c r="D31" i="5"/>
  <c r="I31" i="5"/>
  <c r="C31" i="5"/>
  <c r="B31" i="5"/>
  <c r="A31" i="5"/>
  <c r="Z30" i="5"/>
  <c r="Y30" i="5"/>
  <c r="X30" i="5"/>
  <c r="G29" i="5"/>
  <c r="E29" i="5"/>
  <c r="J28" i="5"/>
  <c r="F28" i="5"/>
  <c r="E28" i="5"/>
  <c r="J27" i="5"/>
  <c r="F27" i="5"/>
  <c r="E27" i="5"/>
  <c r="J26" i="5"/>
  <c r="G26" i="5"/>
  <c r="F26" i="5"/>
  <c r="J25" i="5"/>
  <c r="G25" i="5"/>
  <c r="F25" i="5"/>
  <c r="J24" i="5"/>
  <c r="G24" i="5"/>
  <c r="F24" i="5"/>
  <c r="F22" i="5"/>
  <c r="D22" i="5"/>
  <c r="I22" i="5"/>
  <c r="C22" i="5"/>
  <c r="B22" i="5"/>
  <c r="A22" i="5"/>
  <c r="B7" i="5"/>
  <c r="B5" i="5"/>
  <c r="A1" i="5"/>
  <c r="G15" i="5" l="1"/>
  <c r="G14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X127" i="3"/>
  <c r="CY127" i="3"/>
  <c r="CZ127" i="3"/>
  <c r="DA127" i="3"/>
  <c r="A128" i="3"/>
  <c r="CX128" i="3"/>
  <c r="CY128" i="3"/>
  <c r="CZ128" i="3"/>
  <c r="DA128" i="3"/>
  <c r="A129" i="3"/>
  <c r="CX129" i="3"/>
  <c r="CY129" i="3"/>
  <c r="CZ129" i="3"/>
  <c r="DA129" i="3"/>
  <c r="A130" i="3"/>
  <c r="CX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X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X256" i="3"/>
  <c r="CY256" i="3"/>
  <c r="CZ256" i="3"/>
  <c r="DA256" i="3"/>
  <c r="A257" i="3"/>
  <c r="CX257" i="3"/>
  <c r="CY257" i="3"/>
  <c r="CZ257" i="3"/>
  <c r="DA257" i="3"/>
  <c r="A258" i="3"/>
  <c r="CX258" i="3"/>
  <c r="CY258" i="3"/>
  <c r="CZ258" i="3"/>
  <c r="DA258" i="3"/>
  <c r="A259" i="3"/>
  <c r="CX259" i="3"/>
  <c r="CY259" i="3"/>
  <c r="CZ259" i="3"/>
  <c r="DA259" i="3"/>
  <c r="A260" i="3"/>
  <c r="CX260" i="3"/>
  <c r="CY260" i="3"/>
  <c r="CZ260" i="3"/>
  <c r="DA260" i="3"/>
  <c r="A261" i="3"/>
  <c r="CX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X275" i="3"/>
  <c r="CY275" i="3"/>
  <c r="CZ275" i="3"/>
  <c r="DA275" i="3"/>
  <c r="A276" i="3"/>
  <c r="CX276" i="3"/>
  <c r="CY276" i="3"/>
  <c r="CZ276" i="3"/>
  <c r="DA276" i="3"/>
  <c r="A277" i="3"/>
  <c r="CX277" i="3"/>
  <c r="CY277" i="3"/>
  <c r="CZ277" i="3"/>
  <c r="DA277" i="3"/>
  <c r="A278" i="3"/>
  <c r="CX278" i="3"/>
  <c r="CY278" i="3"/>
  <c r="CZ278" i="3"/>
  <c r="DA278" i="3"/>
  <c r="A279" i="3"/>
  <c r="CX279" i="3"/>
  <c r="CY279" i="3"/>
  <c r="CZ279" i="3"/>
  <c r="DA279" i="3"/>
  <c r="A280" i="3"/>
  <c r="CX280" i="3"/>
  <c r="CY280" i="3"/>
  <c r="CZ280" i="3"/>
  <c r="DA280" i="3"/>
  <c r="A281" i="3"/>
  <c r="CX281" i="3"/>
  <c r="CY281" i="3"/>
  <c r="CZ281" i="3"/>
  <c r="DA281" i="3"/>
  <c r="A282" i="3"/>
  <c r="CX282" i="3"/>
  <c r="CY282" i="3"/>
  <c r="CZ282" i="3"/>
  <c r="DA282" i="3"/>
  <c r="A283" i="3"/>
  <c r="CX283" i="3"/>
  <c r="CY283" i="3"/>
  <c r="CZ283" i="3"/>
  <c r="DA283" i="3"/>
  <c r="A284" i="3"/>
  <c r="CX284" i="3"/>
  <c r="CY284" i="3"/>
  <c r="CZ284" i="3"/>
  <c r="DA284" i="3"/>
  <c r="A285" i="3"/>
  <c r="CX285" i="3"/>
  <c r="CY285" i="3"/>
  <c r="CZ285" i="3"/>
  <c r="DA285" i="3"/>
  <c r="A286" i="3"/>
  <c r="CX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AC24" i="1"/>
  <c r="AE24" i="1"/>
  <c r="AF24" i="1"/>
  <c r="AG24" i="1"/>
  <c r="AH24" i="1"/>
  <c r="CV24" i="1" s="1"/>
  <c r="AI24" i="1"/>
  <c r="CW24" i="1" s="1"/>
  <c r="AJ24" i="1"/>
  <c r="CX24" i="1" s="1"/>
  <c r="W24" i="1" s="1"/>
  <c r="CQ24" i="1"/>
  <c r="CU24" i="1"/>
  <c r="FR24" i="1"/>
  <c r="GL24" i="1"/>
  <c r="GO24" i="1"/>
  <c r="GP24" i="1"/>
  <c r="GV24" i="1"/>
  <c r="C25" i="1"/>
  <c r="D25" i="1"/>
  <c r="I25" i="1"/>
  <c r="AC25" i="1"/>
  <c r="AE25" i="1"/>
  <c r="AD25" i="1" s="1"/>
  <c r="AF25" i="1"/>
  <c r="AG25" i="1"/>
  <c r="CU25" i="1" s="1"/>
  <c r="T25" i="1" s="1"/>
  <c r="AH25" i="1"/>
  <c r="AI25" i="1"/>
  <c r="CW25" i="1" s="1"/>
  <c r="AJ25" i="1"/>
  <c r="CX25" i="1" s="1"/>
  <c r="CQ25" i="1"/>
  <c r="P25" i="1" s="1"/>
  <c r="CV25" i="1"/>
  <c r="FR25" i="1"/>
  <c r="GL25" i="1"/>
  <c r="GO25" i="1"/>
  <c r="GP25" i="1"/>
  <c r="GV25" i="1"/>
  <c r="GX25" i="1"/>
  <c r="C26" i="1"/>
  <c r="D26" i="1"/>
  <c r="I26" i="1"/>
  <c r="AC26" i="1"/>
  <c r="AE26" i="1"/>
  <c r="AF26" i="1"/>
  <c r="AG26" i="1"/>
  <c r="CU26" i="1" s="1"/>
  <c r="T26" i="1" s="1"/>
  <c r="AH26" i="1"/>
  <c r="CV26" i="1" s="1"/>
  <c r="U26" i="1" s="1"/>
  <c r="AI26" i="1"/>
  <c r="AJ26" i="1"/>
  <c r="CS26" i="1"/>
  <c r="R26" i="1" s="1"/>
  <c r="CT26" i="1"/>
  <c r="S26" i="1" s="1"/>
  <c r="K40" i="5" s="1"/>
  <c r="CW26" i="1"/>
  <c r="CX26" i="1"/>
  <c r="W26" i="1" s="1"/>
  <c r="FR26" i="1"/>
  <c r="GL26" i="1"/>
  <c r="GO26" i="1"/>
  <c r="GP26" i="1"/>
  <c r="GV26" i="1"/>
  <c r="GX26" i="1" s="1"/>
  <c r="C27" i="1"/>
  <c r="D27" i="1"/>
  <c r="I27" i="1"/>
  <c r="AC27" i="1"/>
  <c r="AE27" i="1"/>
  <c r="AF27" i="1"/>
  <c r="AG27" i="1"/>
  <c r="AH27" i="1"/>
  <c r="CV27" i="1" s="1"/>
  <c r="AI27" i="1"/>
  <c r="CW27" i="1" s="1"/>
  <c r="AJ27" i="1"/>
  <c r="CX27" i="1" s="1"/>
  <c r="CQ27" i="1"/>
  <c r="CU27" i="1"/>
  <c r="FR27" i="1"/>
  <c r="GL27" i="1"/>
  <c r="GO27" i="1"/>
  <c r="GP27" i="1"/>
  <c r="GV27" i="1"/>
  <c r="C28" i="1"/>
  <c r="D28" i="1"/>
  <c r="I28" i="1"/>
  <c r="AC28" i="1"/>
  <c r="CQ28" i="1" s="1"/>
  <c r="P28" i="1" s="1"/>
  <c r="AE28" i="1"/>
  <c r="AD28" i="1" s="1"/>
  <c r="CR28" i="1" s="1"/>
  <c r="AF28" i="1"/>
  <c r="AG28" i="1"/>
  <c r="CU28" i="1" s="1"/>
  <c r="T28" i="1" s="1"/>
  <c r="AH28" i="1"/>
  <c r="CV28" i="1" s="1"/>
  <c r="U28" i="1" s="1"/>
  <c r="AI28" i="1"/>
  <c r="CW28" i="1" s="1"/>
  <c r="AJ28" i="1"/>
  <c r="CT28" i="1"/>
  <c r="S28" i="1" s="1"/>
  <c r="K58" i="5" s="1"/>
  <c r="CX28" i="1"/>
  <c r="W28" i="1" s="1"/>
  <c r="FR28" i="1"/>
  <c r="GL28" i="1"/>
  <c r="GO28" i="1"/>
  <c r="GP28" i="1"/>
  <c r="GV28" i="1"/>
  <c r="GX28" i="1" s="1"/>
  <c r="C29" i="1"/>
  <c r="D29" i="1"/>
  <c r="I29" i="1"/>
  <c r="AC29" i="1"/>
  <c r="CQ29" i="1" s="1"/>
  <c r="P29" i="1" s="1"/>
  <c r="AE29" i="1"/>
  <c r="AF29" i="1"/>
  <c r="AG29" i="1"/>
  <c r="CU29" i="1" s="1"/>
  <c r="T29" i="1" s="1"/>
  <c r="AH29" i="1"/>
  <c r="CV29" i="1" s="1"/>
  <c r="U29" i="1" s="1"/>
  <c r="AI29" i="1"/>
  <c r="AJ29" i="1"/>
  <c r="CX29" i="1" s="1"/>
  <c r="CS29" i="1"/>
  <c r="R29" i="1" s="1"/>
  <c r="CW29" i="1"/>
  <c r="V29" i="1" s="1"/>
  <c r="FR29" i="1"/>
  <c r="GL29" i="1"/>
  <c r="GO29" i="1"/>
  <c r="GP29" i="1"/>
  <c r="GV29" i="1"/>
  <c r="GX29" i="1" s="1"/>
  <c r="C30" i="1"/>
  <c r="D30" i="1"/>
  <c r="I30" i="1"/>
  <c r="AC30" i="1"/>
  <c r="AE30" i="1"/>
  <c r="AF30" i="1"/>
  <c r="AG30" i="1"/>
  <c r="CU30" i="1" s="1"/>
  <c r="T30" i="1" s="1"/>
  <c r="AH30" i="1"/>
  <c r="AI30" i="1"/>
  <c r="AJ30" i="1"/>
  <c r="CS30" i="1"/>
  <c r="R30" i="1" s="1"/>
  <c r="CV30" i="1"/>
  <c r="CW30" i="1"/>
  <c r="CX30" i="1"/>
  <c r="FR30" i="1"/>
  <c r="GL30" i="1"/>
  <c r="GO30" i="1"/>
  <c r="GP30" i="1"/>
  <c r="GV30" i="1"/>
  <c r="C31" i="1"/>
  <c r="D31" i="1"/>
  <c r="I31" i="1"/>
  <c r="AC31" i="1"/>
  <c r="AE31" i="1"/>
  <c r="AF31" i="1"/>
  <c r="AG31" i="1"/>
  <c r="AH31" i="1"/>
  <c r="CV31" i="1" s="1"/>
  <c r="U31" i="1" s="1"/>
  <c r="AI31" i="1"/>
  <c r="CW31" i="1" s="1"/>
  <c r="V31" i="1" s="1"/>
  <c r="AJ31" i="1"/>
  <c r="CT31" i="1"/>
  <c r="S31" i="1" s="1"/>
  <c r="K83" i="5" s="1"/>
  <c r="CU31" i="1"/>
  <c r="T31" i="1" s="1"/>
  <c r="CX31" i="1"/>
  <c r="W31" i="1" s="1"/>
  <c r="FR31" i="1"/>
  <c r="GL31" i="1"/>
  <c r="GO31" i="1"/>
  <c r="GP31" i="1"/>
  <c r="GV31" i="1"/>
  <c r="GX31" i="1"/>
  <c r="C32" i="1"/>
  <c r="D32" i="1"/>
  <c r="I32" i="1"/>
  <c r="T32" i="1"/>
  <c r="AC32" i="1"/>
  <c r="CQ32" i="1" s="1"/>
  <c r="AE32" i="1"/>
  <c r="AF32" i="1"/>
  <c r="AG32" i="1"/>
  <c r="AH32" i="1"/>
  <c r="AI32" i="1"/>
  <c r="CW32" i="1" s="1"/>
  <c r="V32" i="1" s="1"/>
  <c r="AJ32" i="1"/>
  <c r="CU32" i="1"/>
  <c r="CV32" i="1"/>
  <c r="U32" i="1" s="1"/>
  <c r="CX32" i="1"/>
  <c r="W32" i="1" s="1"/>
  <c r="FR32" i="1"/>
  <c r="GL32" i="1"/>
  <c r="GO32" i="1"/>
  <c r="GP32" i="1"/>
  <c r="GV32" i="1"/>
  <c r="C33" i="1"/>
  <c r="D33" i="1"/>
  <c r="I33" i="1"/>
  <c r="AC33" i="1"/>
  <c r="AE33" i="1"/>
  <c r="AF33" i="1"/>
  <c r="AG33" i="1"/>
  <c r="AH33" i="1"/>
  <c r="AI33" i="1"/>
  <c r="CW33" i="1" s="1"/>
  <c r="V33" i="1" s="1"/>
  <c r="AJ33" i="1"/>
  <c r="CX33" i="1" s="1"/>
  <c r="W33" i="1" s="1"/>
  <c r="CQ33" i="1"/>
  <c r="CU33" i="1"/>
  <c r="T33" i="1" s="1"/>
  <c r="CV33" i="1"/>
  <c r="FR33" i="1"/>
  <c r="GL33" i="1"/>
  <c r="GO33" i="1"/>
  <c r="GP33" i="1"/>
  <c r="GV33" i="1"/>
  <c r="GX33" i="1" s="1"/>
  <c r="C34" i="1"/>
  <c r="D34" i="1"/>
  <c r="I34" i="1"/>
  <c r="AC34" i="1"/>
  <c r="AE34" i="1"/>
  <c r="AF34" i="1"/>
  <c r="AG34" i="1"/>
  <c r="CU34" i="1" s="1"/>
  <c r="T34" i="1" s="1"/>
  <c r="AH34" i="1"/>
  <c r="AI34" i="1"/>
  <c r="CW34" i="1" s="1"/>
  <c r="V34" i="1" s="1"/>
  <c r="AJ34" i="1"/>
  <c r="CX34" i="1" s="1"/>
  <c r="W34" i="1" s="1"/>
  <c r="CV34" i="1"/>
  <c r="U34" i="1" s="1"/>
  <c r="FR34" i="1"/>
  <c r="GL34" i="1"/>
  <c r="GO34" i="1"/>
  <c r="GP34" i="1"/>
  <c r="GV34" i="1"/>
  <c r="GX34" i="1"/>
  <c r="C35" i="1"/>
  <c r="D35" i="1"/>
  <c r="I35" i="1"/>
  <c r="AC35" i="1"/>
  <c r="AE35" i="1"/>
  <c r="H122" i="5" s="1"/>
  <c r="R122" i="5" s="1"/>
  <c r="AF35" i="1"/>
  <c r="AG35" i="1"/>
  <c r="CU35" i="1" s="1"/>
  <c r="T35" i="1" s="1"/>
  <c r="AH35" i="1"/>
  <c r="CV35" i="1" s="1"/>
  <c r="AI35" i="1"/>
  <c r="AJ35" i="1"/>
  <c r="CX35" i="1" s="1"/>
  <c r="W35" i="1" s="1"/>
  <c r="CS35" i="1"/>
  <c r="R35" i="1" s="1"/>
  <c r="CW35" i="1"/>
  <c r="FR35" i="1"/>
  <c r="GL35" i="1"/>
  <c r="GO35" i="1"/>
  <c r="GP35" i="1"/>
  <c r="GV35" i="1"/>
  <c r="GX35" i="1" s="1"/>
  <c r="AC36" i="1"/>
  <c r="AE36" i="1"/>
  <c r="AD36" i="1" s="1"/>
  <c r="CR36" i="1" s="1"/>
  <c r="AF36" i="1"/>
  <c r="AG36" i="1"/>
  <c r="CU36" i="1" s="1"/>
  <c r="AH36" i="1"/>
  <c r="AI36" i="1"/>
  <c r="CW36" i="1" s="1"/>
  <c r="AJ36" i="1"/>
  <c r="CX36" i="1" s="1"/>
  <c r="CV36" i="1"/>
  <c r="FR36" i="1"/>
  <c r="GL36" i="1"/>
  <c r="GO36" i="1"/>
  <c r="GP36" i="1"/>
  <c r="GV36" i="1"/>
  <c r="I37" i="1"/>
  <c r="E128" i="5" s="1"/>
  <c r="U37" i="1"/>
  <c r="AC37" i="1"/>
  <c r="AE37" i="1"/>
  <c r="AD37" i="1" s="1"/>
  <c r="AF37" i="1"/>
  <c r="AG37" i="1"/>
  <c r="CU37" i="1" s="1"/>
  <c r="T37" i="1" s="1"/>
  <c r="AH37" i="1"/>
  <c r="AI37" i="1"/>
  <c r="CW37" i="1" s="1"/>
  <c r="V37" i="1" s="1"/>
  <c r="AJ37" i="1"/>
  <c r="CX37" i="1" s="1"/>
  <c r="W37" i="1" s="1"/>
  <c r="CQ37" i="1"/>
  <c r="P37" i="1" s="1"/>
  <c r="CS37" i="1"/>
  <c r="R37" i="1" s="1"/>
  <c r="CV37" i="1"/>
  <c r="FR37" i="1"/>
  <c r="GL37" i="1"/>
  <c r="GO37" i="1"/>
  <c r="GP37" i="1"/>
  <c r="GV37" i="1"/>
  <c r="GX37" i="1" s="1"/>
  <c r="C38" i="1"/>
  <c r="D38" i="1"/>
  <c r="I38" i="1"/>
  <c r="AC38" i="1"/>
  <c r="CQ38" i="1" s="1"/>
  <c r="AE38" i="1"/>
  <c r="AF38" i="1"/>
  <c r="AG38" i="1"/>
  <c r="CU38" i="1" s="1"/>
  <c r="AH38" i="1"/>
  <c r="AI38" i="1"/>
  <c r="CW38" i="1" s="1"/>
  <c r="AJ38" i="1"/>
  <c r="CX38" i="1" s="1"/>
  <c r="CV38" i="1"/>
  <c r="U38" i="1" s="1"/>
  <c r="FR38" i="1"/>
  <c r="GL38" i="1"/>
  <c r="GO38" i="1"/>
  <c r="GP38" i="1"/>
  <c r="GV38" i="1"/>
  <c r="AC39" i="1"/>
  <c r="AE39" i="1"/>
  <c r="AD39" i="1" s="1"/>
  <c r="AF39" i="1"/>
  <c r="AG39" i="1"/>
  <c r="CU39" i="1" s="1"/>
  <c r="AH39" i="1"/>
  <c r="CV39" i="1" s="1"/>
  <c r="AI39" i="1"/>
  <c r="AJ39" i="1"/>
  <c r="CX39" i="1" s="1"/>
  <c r="CQ39" i="1"/>
  <c r="CS39" i="1"/>
  <c r="CW39" i="1"/>
  <c r="FR39" i="1"/>
  <c r="GL39" i="1"/>
  <c r="GO39" i="1"/>
  <c r="GP39" i="1"/>
  <c r="GV39" i="1"/>
  <c r="AC40" i="1"/>
  <c r="AE40" i="1"/>
  <c r="AF40" i="1"/>
  <c r="AG40" i="1"/>
  <c r="AH40" i="1"/>
  <c r="AI40" i="1"/>
  <c r="CW40" i="1" s="1"/>
  <c r="AJ40" i="1"/>
  <c r="CT40" i="1"/>
  <c r="CU40" i="1"/>
  <c r="CV40" i="1"/>
  <c r="CX40" i="1"/>
  <c r="FR40" i="1"/>
  <c r="GL40" i="1"/>
  <c r="GO40" i="1"/>
  <c r="GP40" i="1"/>
  <c r="GV40" i="1"/>
  <c r="C41" i="1"/>
  <c r="D41" i="1"/>
  <c r="I41" i="1"/>
  <c r="V41" i="1"/>
  <c r="AC41" i="1"/>
  <c r="H146" i="5" s="1"/>
  <c r="AE41" i="1"/>
  <c r="H145" i="5" s="1"/>
  <c r="R145" i="5" s="1"/>
  <c r="AF41" i="1"/>
  <c r="AG41" i="1"/>
  <c r="AH41" i="1"/>
  <c r="AI41" i="1"/>
  <c r="CW41" i="1" s="1"/>
  <c r="AJ41" i="1"/>
  <c r="CX41" i="1" s="1"/>
  <c r="W41" i="1" s="1"/>
  <c r="CQ41" i="1"/>
  <c r="P41" i="1" s="1"/>
  <c r="CS41" i="1"/>
  <c r="R41" i="1" s="1"/>
  <c r="CU41" i="1"/>
  <c r="T41" i="1" s="1"/>
  <c r="CV41" i="1"/>
  <c r="U41" i="1" s="1"/>
  <c r="FR41" i="1"/>
  <c r="GL41" i="1"/>
  <c r="GO41" i="1"/>
  <c r="GP41" i="1"/>
  <c r="GV41" i="1"/>
  <c r="GX41" i="1" s="1"/>
  <c r="AC42" i="1"/>
  <c r="AE42" i="1"/>
  <c r="CS42" i="1" s="1"/>
  <c r="AF42" i="1"/>
  <c r="AG42" i="1"/>
  <c r="CU42" i="1" s="1"/>
  <c r="AH42" i="1"/>
  <c r="AI42" i="1"/>
  <c r="CW42" i="1" s="1"/>
  <c r="AJ42" i="1"/>
  <c r="CX42" i="1" s="1"/>
  <c r="CV42" i="1"/>
  <c r="FR42" i="1"/>
  <c r="GL42" i="1"/>
  <c r="GO42" i="1"/>
  <c r="GP42" i="1"/>
  <c r="GV42" i="1"/>
  <c r="I43" i="1"/>
  <c r="AC43" i="1"/>
  <c r="AD43" i="1"/>
  <c r="CR43" i="1" s="1"/>
  <c r="Q43" i="1" s="1"/>
  <c r="AE43" i="1"/>
  <c r="AF43" i="1"/>
  <c r="AG43" i="1"/>
  <c r="AH43" i="1"/>
  <c r="CV43" i="1" s="1"/>
  <c r="U43" i="1" s="1"/>
  <c r="AI43" i="1"/>
  <c r="CW43" i="1" s="1"/>
  <c r="V43" i="1" s="1"/>
  <c r="AJ43" i="1"/>
  <c r="CQ43" i="1"/>
  <c r="P43" i="1" s="1"/>
  <c r="CS43" i="1"/>
  <c r="R43" i="1" s="1"/>
  <c r="GK43" i="1" s="1"/>
  <c r="CT43" i="1"/>
  <c r="S43" i="1" s="1"/>
  <c r="CU43" i="1"/>
  <c r="T43" i="1" s="1"/>
  <c r="CX43" i="1"/>
  <c r="W43" i="1" s="1"/>
  <c r="FR43" i="1"/>
  <c r="GL43" i="1"/>
  <c r="GO43" i="1"/>
  <c r="GP43" i="1"/>
  <c r="GV43" i="1"/>
  <c r="C44" i="1"/>
  <c r="D44" i="1"/>
  <c r="I44" i="1"/>
  <c r="AC44" i="1"/>
  <c r="H158" i="5" s="1"/>
  <c r="AD44" i="1"/>
  <c r="AE44" i="1"/>
  <c r="AF44" i="1"/>
  <c r="AG44" i="1"/>
  <c r="CU44" i="1" s="1"/>
  <c r="T44" i="1" s="1"/>
  <c r="AH44" i="1"/>
  <c r="CV44" i="1" s="1"/>
  <c r="U44" i="1" s="1"/>
  <c r="AI44" i="1"/>
  <c r="CW44" i="1" s="1"/>
  <c r="AJ44" i="1"/>
  <c r="CT44" i="1"/>
  <c r="S44" i="1" s="1"/>
  <c r="CX44" i="1"/>
  <c r="W44" i="1" s="1"/>
  <c r="FR44" i="1"/>
  <c r="GL44" i="1"/>
  <c r="BZ120" i="1" s="1"/>
  <c r="GO44" i="1"/>
  <c r="GP44" i="1"/>
  <c r="GV44" i="1"/>
  <c r="GX44" i="1" s="1"/>
  <c r="I45" i="1"/>
  <c r="E162" i="5" s="1"/>
  <c r="AC45" i="1"/>
  <c r="AD45" i="1"/>
  <c r="CR45" i="1" s="1"/>
  <c r="AE45" i="1"/>
  <c r="AF45" i="1"/>
  <c r="AG45" i="1"/>
  <c r="CU45" i="1" s="1"/>
  <c r="AH45" i="1"/>
  <c r="CV45" i="1" s="1"/>
  <c r="AI45" i="1"/>
  <c r="AJ45" i="1"/>
  <c r="CX45" i="1" s="1"/>
  <c r="W45" i="1" s="1"/>
  <c r="CS45" i="1"/>
  <c r="CW45" i="1"/>
  <c r="FR45" i="1"/>
  <c r="GL45" i="1"/>
  <c r="GO45" i="1"/>
  <c r="GP45" i="1"/>
  <c r="GV45" i="1"/>
  <c r="GX45" i="1" s="1"/>
  <c r="I46" i="1"/>
  <c r="E163" i="5" s="1"/>
  <c r="AC46" i="1"/>
  <c r="AE46" i="1"/>
  <c r="AD46" i="1" s="1"/>
  <c r="AF46" i="1"/>
  <c r="AG46" i="1"/>
  <c r="CU46" i="1" s="1"/>
  <c r="T46" i="1" s="1"/>
  <c r="AH46" i="1"/>
  <c r="CV46" i="1" s="1"/>
  <c r="U46" i="1" s="1"/>
  <c r="AI46" i="1"/>
  <c r="AJ46" i="1"/>
  <c r="CX46" i="1" s="1"/>
  <c r="W46" i="1" s="1"/>
  <c r="CW46" i="1"/>
  <c r="V46" i="1" s="1"/>
  <c r="FR46" i="1"/>
  <c r="GL46" i="1"/>
  <c r="GO46" i="1"/>
  <c r="GP46" i="1"/>
  <c r="GV46" i="1"/>
  <c r="GX46" i="1" s="1"/>
  <c r="C47" i="1"/>
  <c r="D47" i="1"/>
  <c r="I47" i="1"/>
  <c r="AC47" i="1"/>
  <c r="AD47" i="1"/>
  <c r="AE47" i="1"/>
  <c r="H169" i="5" s="1"/>
  <c r="R169" i="5" s="1"/>
  <c r="AF47" i="1"/>
  <c r="AG47" i="1"/>
  <c r="CU47" i="1" s="1"/>
  <c r="AH47" i="1"/>
  <c r="CV47" i="1" s="1"/>
  <c r="U47" i="1" s="1"/>
  <c r="AI47" i="1"/>
  <c r="AJ47" i="1"/>
  <c r="CT47" i="1"/>
  <c r="S47" i="1" s="1"/>
  <c r="K167" i="5" s="1"/>
  <c r="CW47" i="1"/>
  <c r="V47" i="1" s="1"/>
  <c r="CX47" i="1"/>
  <c r="W47" i="1" s="1"/>
  <c r="FR47" i="1"/>
  <c r="GL47" i="1"/>
  <c r="GO47" i="1"/>
  <c r="GP47" i="1"/>
  <c r="GV47" i="1"/>
  <c r="GX47" i="1" s="1"/>
  <c r="I48" i="1"/>
  <c r="E173" i="5" s="1"/>
  <c r="AC48" i="1"/>
  <c r="AE48" i="1"/>
  <c r="AD48" i="1" s="1"/>
  <c r="AF48" i="1"/>
  <c r="AG48" i="1"/>
  <c r="CU48" i="1" s="1"/>
  <c r="T48" i="1" s="1"/>
  <c r="AH48" i="1"/>
  <c r="CV48" i="1" s="1"/>
  <c r="U48" i="1" s="1"/>
  <c r="AI48" i="1"/>
  <c r="CW48" i="1" s="1"/>
  <c r="V48" i="1" s="1"/>
  <c r="AJ48" i="1"/>
  <c r="CX48" i="1" s="1"/>
  <c r="CR48" i="1"/>
  <c r="Q48" i="1" s="1"/>
  <c r="CS48" i="1"/>
  <c r="R48" i="1" s="1"/>
  <c r="GK48" i="1" s="1"/>
  <c r="FR48" i="1"/>
  <c r="GL48" i="1"/>
  <c r="GO48" i="1"/>
  <c r="GP48" i="1"/>
  <c r="GV48" i="1"/>
  <c r="GX48" i="1" s="1"/>
  <c r="AC49" i="1"/>
  <c r="AE49" i="1"/>
  <c r="CS49" i="1" s="1"/>
  <c r="AF49" i="1"/>
  <c r="AG49" i="1"/>
  <c r="CU49" i="1" s="1"/>
  <c r="AH49" i="1"/>
  <c r="CV49" i="1" s="1"/>
  <c r="AI49" i="1"/>
  <c r="CW49" i="1" s="1"/>
  <c r="AJ49" i="1"/>
  <c r="CX49" i="1" s="1"/>
  <c r="CQ49" i="1"/>
  <c r="FR49" i="1"/>
  <c r="GL49" i="1"/>
  <c r="GO49" i="1"/>
  <c r="GP49" i="1"/>
  <c r="GV49" i="1"/>
  <c r="AC50" i="1"/>
  <c r="AE50" i="1"/>
  <c r="CS50" i="1" s="1"/>
  <c r="AF50" i="1"/>
  <c r="CT50" i="1" s="1"/>
  <c r="AG50" i="1"/>
  <c r="CU50" i="1" s="1"/>
  <c r="AH50" i="1"/>
  <c r="AI50" i="1"/>
  <c r="CW50" i="1" s="1"/>
  <c r="AJ50" i="1"/>
  <c r="CV50" i="1"/>
  <c r="CX50" i="1"/>
  <c r="FR50" i="1"/>
  <c r="GL50" i="1"/>
  <c r="GO50" i="1"/>
  <c r="GP50" i="1"/>
  <c r="GV50" i="1"/>
  <c r="I51" i="1"/>
  <c r="E176" i="5" s="1"/>
  <c r="S51" i="1"/>
  <c r="AC51" i="1"/>
  <c r="AE51" i="1"/>
  <c r="AF51" i="1"/>
  <c r="CT51" i="1" s="1"/>
  <c r="AG51" i="1"/>
  <c r="AH51" i="1"/>
  <c r="CV51" i="1" s="1"/>
  <c r="AI51" i="1"/>
  <c r="CW51" i="1" s="1"/>
  <c r="V51" i="1" s="1"/>
  <c r="AJ51" i="1"/>
  <c r="CX51" i="1" s="1"/>
  <c r="W51" i="1" s="1"/>
  <c r="CU51" i="1"/>
  <c r="T51" i="1" s="1"/>
  <c r="FR51" i="1"/>
  <c r="GL51" i="1"/>
  <c r="GO51" i="1"/>
  <c r="GP51" i="1"/>
  <c r="GV51" i="1"/>
  <c r="GX51" i="1"/>
  <c r="C52" i="1"/>
  <c r="D52" i="1"/>
  <c r="I52" i="1"/>
  <c r="AC52" i="1"/>
  <c r="AE52" i="1"/>
  <c r="AF52" i="1"/>
  <c r="AG52" i="1"/>
  <c r="CU52" i="1" s="1"/>
  <c r="T52" i="1" s="1"/>
  <c r="AH52" i="1"/>
  <c r="CV52" i="1" s="1"/>
  <c r="U52" i="1" s="1"/>
  <c r="AI52" i="1"/>
  <c r="CW52" i="1" s="1"/>
  <c r="V52" i="1" s="1"/>
  <c r="AJ52" i="1"/>
  <c r="CX52" i="1"/>
  <c r="W52" i="1" s="1"/>
  <c r="FR52" i="1"/>
  <c r="GL52" i="1"/>
  <c r="GO52" i="1"/>
  <c r="GP52" i="1"/>
  <c r="GV52" i="1"/>
  <c r="GX52" i="1" s="1"/>
  <c r="C53" i="1"/>
  <c r="D53" i="1"/>
  <c r="I53" i="1"/>
  <c r="AC53" i="1"/>
  <c r="AE53" i="1"/>
  <c r="AF53" i="1"/>
  <c r="AG53" i="1"/>
  <c r="AH53" i="1"/>
  <c r="CV53" i="1" s="1"/>
  <c r="U53" i="1" s="1"/>
  <c r="AI53" i="1"/>
  <c r="CW53" i="1" s="1"/>
  <c r="V53" i="1" s="1"/>
  <c r="AJ53" i="1"/>
  <c r="CX53" i="1" s="1"/>
  <c r="CS53" i="1"/>
  <c r="R53" i="1" s="1"/>
  <c r="CU53" i="1"/>
  <c r="T53" i="1" s="1"/>
  <c r="FR53" i="1"/>
  <c r="GL53" i="1"/>
  <c r="GO53" i="1"/>
  <c r="GP53" i="1"/>
  <c r="GV53" i="1"/>
  <c r="GX53" i="1" s="1"/>
  <c r="AC54" i="1"/>
  <c r="AD54" i="1"/>
  <c r="CR54" i="1" s="1"/>
  <c r="AE54" i="1"/>
  <c r="CS54" i="1" s="1"/>
  <c r="AF54" i="1"/>
  <c r="AG54" i="1"/>
  <c r="CU54" i="1" s="1"/>
  <c r="AH54" i="1"/>
  <c r="CV54" i="1" s="1"/>
  <c r="AI54" i="1"/>
  <c r="CW54" i="1" s="1"/>
  <c r="AJ54" i="1"/>
  <c r="CQ54" i="1"/>
  <c r="CT54" i="1"/>
  <c r="CX54" i="1"/>
  <c r="FR54" i="1"/>
  <c r="GL54" i="1"/>
  <c r="GO54" i="1"/>
  <c r="GP54" i="1"/>
  <c r="GV54" i="1"/>
  <c r="AC55" i="1"/>
  <c r="AE55" i="1"/>
  <c r="AF55" i="1"/>
  <c r="AG55" i="1"/>
  <c r="AH55" i="1"/>
  <c r="CV55" i="1" s="1"/>
  <c r="AI55" i="1"/>
  <c r="CW55" i="1" s="1"/>
  <c r="AJ55" i="1"/>
  <c r="CX55" i="1" s="1"/>
  <c r="CQ55" i="1"/>
  <c r="CT55" i="1"/>
  <c r="CU55" i="1"/>
  <c r="FR55" i="1"/>
  <c r="GL55" i="1"/>
  <c r="GO55" i="1"/>
  <c r="GP55" i="1"/>
  <c r="GV55" i="1"/>
  <c r="C56" i="1"/>
  <c r="D56" i="1"/>
  <c r="I56" i="1"/>
  <c r="W56" i="1"/>
  <c r="AC56" i="1"/>
  <c r="H205" i="5" s="1"/>
  <c r="AE56" i="1"/>
  <c r="AF56" i="1"/>
  <c r="AG56" i="1"/>
  <c r="CU56" i="1" s="1"/>
  <c r="T56" i="1" s="1"/>
  <c r="AH56" i="1"/>
  <c r="AI56" i="1"/>
  <c r="CW56" i="1" s="1"/>
  <c r="V56" i="1" s="1"/>
  <c r="AJ56" i="1"/>
  <c r="CX56" i="1" s="1"/>
  <c r="CQ56" i="1"/>
  <c r="P56" i="1" s="1"/>
  <c r="K205" i="5" s="1"/>
  <c r="CV56" i="1"/>
  <c r="U56" i="1" s="1"/>
  <c r="FR56" i="1"/>
  <c r="GL56" i="1"/>
  <c r="GO56" i="1"/>
  <c r="GP56" i="1"/>
  <c r="GV56" i="1"/>
  <c r="GX56" i="1" s="1"/>
  <c r="C57" i="1"/>
  <c r="D57" i="1"/>
  <c r="I57" i="1"/>
  <c r="R57" i="1"/>
  <c r="AC57" i="1"/>
  <c r="H215" i="5" s="1"/>
  <c r="AE57" i="1"/>
  <c r="H214" i="5" s="1"/>
  <c r="R214" i="5" s="1"/>
  <c r="AF57" i="1"/>
  <c r="AG57" i="1"/>
  <c r="AH57" i="1"/>
  <c r="CV57" i="1" s="1"/>
  <c r="U57" i="1" s="1"/>
  <c r="AI57" i="1"/>
  <c r="AJ57" i="1"/>
  <c r="CX57" i="1" s="1"/>
  <c r="W57" i="1" s="1"/>
  <c r="CQ57" i="1"/>
  <c r="P57" i="1" s="1"/>
  <c r="K215" i="5" s="1"/>
  <c r="CS57" i="1"/>
  <c r="CU57" i="1"/>
  <c r="T57" i="1" s="1"/>
  <c r="CW57" i="1"/>
  <c r="V57" i="1" s="1"/>
  <c r="FR57" i="1"/>
  <c r="GL57" i="1"/>
  <c r="GO57" i="1"/>
  <c r="GP57" i="1"/>
  <c r="GV57" i="1"/>
  <c r="GX57" i="1"/>
  <c r="AC58" i="1"/>
  <c r="AE58" i="1"/>
  <c r="CS58" i="1" s="1"/>
  <c r="AF58" i="1"/>
  <c r="AG58" i="1"/>
  <c r="CU58" i="1" s="1"/>
  <c r="AH58" i="1"/>
  <c r="CV58" i="1" s="1"/>
  <c r="AI58" i="1"/>
  <c r="CW58" i="1" s="1"/>
  <c r="AJ58" i="1"/>
  <c r="CT58" i="1"/>
  <c r="CX58" i="1"/>
  <c r="FR58" i="1"/>
  <c r="GL58" i="1"/>
  <c r="GO58" i="1"/>
  <c r="GP58" i="1"/>
  <c r="GV58" i="1"/>
  <c r="I59" i="1"/>
  <c r="AC59" i="1"/>
  <c r="AD59" i="1"/>
  <c r="CR59" i="1" s="1"/>
  <c r="AE59" i="1"/>
  <c r="AF59" i="1"/>
  <c r="AG59" i="1"/>
  <c r="CU59" i="1" s="1"/>
  <c r="T59" i="1" s="1"/>
  <c r="AH59" i="1"/>
  <c r="CV59" i="1" s="1"/>
  <c r="AI59" i="1"/>
  <c r="AJ59" i="1"/>
  <c r="CS59" i="1"/>
  <c r="R59" i="1" s="1"/>
  <c r="GK59" i="1" s="1"/>
  <c r="CT59" i="1"/>
  <c r="S59" i="1" s="1"/>
  <c r="CY59" i="1" s="1"/>
  <c r="X59" i="1" s="1"/>
  <c r="T220" i="5" s="1"/>
  <c r="CW59" i="1"/>
  <c r="V59" i="1" s="1"/>
  <c r="CX59" i="1"/>
  <c r="W59" i="1" s="1"/>
  <c r="FR59" i="1"/>
  <c r="GL59" i="1"/>
  <c r="GO59" i="1"/>
  <c r="GP59" i="1"/>
  <c r="GV59" i="1"/>
  <c r="I60" i="1"/>
  <c r="E221" i="5" s="1"/>
  <c r="AC60" i="1"/>
  <c r="AE60" i="1"/>
  <c r="AF60" i="1"/>
  <c r="AG60" i="1"/>
  <c r="CU60" i="1" s="1"/>
  <c r="AH60" i="1"/>
  <c r="AI60" i="1"/>
  <c r="CW60" i="1" s="1"/>
  <c r="V60" i="1" s="1"/>
  <c r="AJ60" i="1"/>
  <c r="CX60" i="1" s="1"/>
  <c r="W60" i="1" s="1"/>
  <c r="CT60" i="1"/>
  <c r="S60" i="1" s="1"/>
  <c r="CV60" i="1"/>
  <c r="U60" i="1" s="1"/>
  <c r="FR60" i="1"/>
  <c r="GL60" i="1"/>
  <c r="GO60" i="1"/>
  <c r="GP60" i="1"/>
  <c r="GV60" i="1"/>
  <c r="GX60" i="1" s="1"/>
  <c r="I61" i="1"/>
  <c r="E222" i="5" s="1"/>
  <c r="AC61" i="1"/>
  <c r="AE61" i="1"/>
  <c r="AD61" i="1" s="1"/>
  <c r="AF61" i="1"/>
  <c r="AG61" i="1"/>
  <c r="CU61" i="1" s="1"/>
  <c r="T61" i="1" s="1"/>
  <c r="AH61" i="1"/>
  <c r="AI61" i="1"/>
  <c r="CW61" i="1" s="1"/>
  <c r="AJ61" i="1"/>
  <c r="CX61" i="1" s="1"/>
  <c r="CQ61" i="1"/>
  <c r="CV61" i="1"/>
  <c r="U61" i="1" s="1"/>
  <c r="FR61" i="1"/>
  <c r="GL61" i="1"/>
  <c r="GO61" i="1"/>
  <c r="GP61" i="1"/>
  <c r="GV61" i="1"/>
  <c r="AC62" i="1"/>
  <c r="AE62" i="1"/>
  <c r="AF62" i="1"/>
  <c r="CT62" i="1" s="1"/>
  <c r="AG62" i="1"/>
  <c r="AH62" i="1"/>
  <c r="AI62" i="1"/>
  <c r="CW62" i="1" s="1"/>
  <c r="AJ62" i="1"/>
  <c r="CX62" i="1" s="1"/>
  <c r="CQ62" i="1"/>
  <c r="CU62" i="1"/>
  <c r="CV62" i="1"/>
  <c r="FR62" i="1"/>
  <c r="GL62" i="1"/>
  <c r="GO62" i="1"/>
  <c r="GP62" i="1"/>
  <c r="GV62" i="1"/>
  <c r="I63" i="1"/>
  <c r="AC63" i="1"/>
  <c r="AD63" i="1"/>
  <c r="CR63" i="1" s="1"/>
  <c r="AE63" i="1"/>
  <c r="AF63" i="1"/>
  <c r="AG63" i="1"/>
  <c r="CU63" i="1" s="1"/>
  <c r="AH63" i="1"/>
  <c r="CV63" i="1" s="1"/>
  <c r="AI63" i="1"/>
  <c r="CW63" i="1" s="1"/>
  <c r="AJ63" i="1"/>
  <c r="CX63" i="1" s="1"/>
  <c r="CQ63" i="1"/>
  <c r="CS63" i="1"/>
  <c r="CT63" i="1"/>
  <c r="FR63" i="1"/>
  <c r="GL63" i="1"/>
  <c r="GO63" i="1"/>
  <c r="GP63" i="1"/>
  <c r="GV63" i="1"/>
  <c r="C64" i="1"/>
  <c r="D64" i="1"/>
  <c r="AC64" i="1"/>
  <c r="AE64" i="1"/>
  <c r="AF64" i="1"/>
  <c r="AG64" i="1"/>
  <c r="AH64" i="1"/>
  <c r="CV64" i="1" s="1"/>
  <c r="U64" i="1" s="1"/>
  <c r="AI64" i="1"/>
  <c r="CW64" i="1" s="1"/>
  <c r="V64" i="1" s="1"/>
  <c r="AJ64" i="1"/>
  <c r="CX64" i="1" s="1"/>
  <c r="W64" i="1" s="1"/>
  <c r="CS64" i="1"/>
  <c r="R64" i="1" s="1"/>
  <c r="CU64" i="1"/>
  <c r="T64" i="1" s="1"/>
  <c r="FR64" i="1"/>
  <c r="GL64" i="1"/>
  <c r="GO64" i="1"/>
  <c r="GP64" i="1"/>
  <c r="GV64" i="1"/>
  <c r="GX64" i="1"/>
  <c r="I65" i="1"/>
  <c r="E234" i="5" s="1"/>
  <c r="AC65" i="1"/>
  <c r="AE65" i="1"/>
  <c r="CS65" i="1" s="1"/>
  <c r="R65" i="1" s="1"/>
  <c r="GK65" i="1" s="1"/>
  <c r="AF65" i="1"/>
  <c r="CT65" i="1" s="1"/>
  <c r="S65" i="1" s="1"/>
  <c r="AG65" i="1"/>
  <c r="AH65" i="1"/>
  <c r="AI65" i="1"/>
  <c r="CW65" i="1" s="1"/>
  <c r="V65" i="1" s="1"/>
  <c r="AJ65" i="1"/>
  <c r="CU65" i="1"/>
  <c r="CV65" i="1"/>
  <c r="U65" i="1" s="1"/>
  <c r="CX65" i="1"/>
  <c r="W65" i="1" s="1"/>
  <c r="FR65" i="1"/>
  <c r="GL65" i="1"/>
  <c r="GO65" i="1"/>
  <c r="GP65" i="1"/>
  <c r="GV65" i="1"/>
  <c r="I66" i="1"/>
  <c r="E235" i="5" s="1"/>
  <c r="V66" i="1"/>
  <c r="AC66" i="1"/>
  <c r="AE66" i="1"/>
  <c r="AD66" i="1" s="1"/>
  <c r="CR66" i="1" s="1"/>
  <c r="AF66" i="1"/>
  <c r="AG66" i="1"/>
  <c r="CU66" i="1" s="1"/>
  <c r="T66" i="1" s="1"/>
  <c r="AH66" i="1"/>
  <c r="CV66" i="1" s="1"/>
  <c r="AI66" i="1"/>
  <c r="AJ66" i="1"/>
  <c r="CX66" i="1" s="1"/>
  <c r="W66" i="1" s="1"/>
  <c r="CS66" i="1"/>
  <c r="R66" i="1" s="1"/>
  <c r="GK66" i="1" s="1"/>
  <c r="CW66" i="1"/>
  <c r="FR66" i="1"/>
  <c r="GL66" i="1"/>
  <c r="GO66" i="1"/>
  <c r="GP66" i="1"/>
  <c r="GV66" i="1"/>
  <c r="GX66" i="1" s="1"/>
  <c r="C67" i="1"/>
  <c r="D67" i="1"/>
  <c r="I67" i="1"/>
  <c r="AC67" i="1"/>
  <c r="AE67" i="1"/>
  <c r="AF67" i="1"/>
  <c r="AG67" i="1"/>
  <c r="CU67" i="1" s="1"/>
  <c r="AH67" i="1"/>
  <c r="AI67" i="1"/>
  <c r="CW67" i="1" s="1"/>
  <c r="AJ67" i="1"/>
  <c r="CX67" i="1" s="1"/>
  <c r="W67" i="1" s="1"/>
  <c r="CV67" i="1"/>
  <c r="FR67" i="1"/>
  <c r="GL67" i="1"/>
  <c r="GO67" i="1"/>
  <c r="GP67" i="1"/>
  <c r="GV67" i="1"/>
  <c r="GX67" i="1" s="1"/>
  <c r="AC68" i="1"/>
  <c r="AD68" i="1"/>
  <c r="CR68" i="1" s="1"/>
  <c r="AE68" i="1"/>
  <c r="CS68" i="1" s="1"/>
  <c r="AF68" i="1"/>
  <c r="AG68" i="1"/>
  <c r="AH68" i="1"/>
  <c r="CV68" i="1" s="1"/>
  <c r="AI68" i="1"/>
  <c r="CW68" i="1" s="1"/>
  <c r="AJ68" i="1"/>
  <c r="CT68" i="1"/>
  <c r="CU68" i="1"/>
  <c r="CX68" i="1"/>
  <c r="FR68" i="1"/>
  <c r="GL68" i="1"/>
  <c r="GO68" i="1"/>
  <c r="GP68" i="1"/>
  <c r="GV68" i="1"/>
  <c r="AC69" i="1"/>
  <c r="AE69" i="1"/>
  <c r="AD69" i="1" s="1"/>
  <c r="CR69" i="1" s="1"/>
  <c r="AF69" i="1"/>
  <c r="AG69" i="1"/>
  <c r="CU69" i="1" s="1"/>
  <c r="AH69" i="1"/>
  <c r="AI69" i="1"/>
  <c r="CW69" i="1" s="1"/>
  <c r="AJ69" i="1"/>
  <c r="CX69" i="1" s="1"/>
  <c r="CS69" i="1"/>
  <c r="CT69" i="1"/>
  <c r="CV69" i="1"/>
  <c r="FR69" i="1"/>
  <c r="GL69" i="1"/>
  <c r="GO69" i="1"/>
  <c r="GP69" i="1"/>
  <c r="GV69" i="1"/>
  <c r="C70" i="1"/>
  <c r="D70" i="1"/>
  <c r="I70" i="1"/>
  <c r="AC70" i="1"/>
  <c r="AE70" i="1"/>
  <c r="H253" i="5" s="1"/>
  <c r="R253" i="5" s="1"/>
  <c r="AF70" i="1"/>
  <c r="AG70" i="1"/>
  <c r="CU70" i="1" s="1"/>
  <c r="T70" i="1" s="1"/>
  <c r="AH70" i="1"/>
  <c r="CV70" i="1" s="1"/>
  <c r="AI70" i="1"/>
  <c r="AJ70" i="1"/>
  <c r="CX70" i="1" s="1"/>
  <c r="CS70" i="1"/>
  <c r="CW70" i="1"/>
  <c r="FR70" i="1"/>
  <c r="GL70" i="1"/>
  <c r="GO70" i="1"/>
  <c r="GP70" i="1"/>
  <c r="GV70" i="1"/>
  <c r="I71" i="1"/>
  <c r="E258" i="5" s="1"/>
  <c r="AC71" i="1"/>
  <c r="AE71" i="1"/>
  <c r="AD71" i="1" s="1"/>
  <c r="CR71" i="1" s="1"/>
  <c r="Q71" i="1" s="1"/>
  <c r="AF71" i="1"/>
  <c r="CT71" i="1" s="1"/>
  <c r="S71" i="1" s="1"/>
  <c r="AG71" i="1"/>
  <c r="CU71" i="1" s="1"/>
  <c r="AH71" i="1"/>
  <c r="AI71" i="1"/>
  <c r="CW71" i="1" s="1"/>
  <c r="V71" i="1" s="1"/>
  <c r="AJ71" i="1"/>
  <c r="CV71" i="1"/>
  <c r="CX71" i="1"/>
  <c r="W71" i="1" s="1"/>
  <c r="FR71" i="1"/>
  <c r="GL71" i="1"/>
  <c r="GO71" i="1"/>
  <c r="GP71" i="1"/>
  <c r="CD120" i="1" s="1"/>
  <c r="GV71" i="1"/>
  <c r="I72" i="1"/>
  <c r="AC72" i="1"/>
  <c r="AE72" i="1"/>
  <c r="AD72" i="1" s="1"/>
  <c r="CR72" i="1" s="1"/>
  <c r="AF72" i="1"/>
  <c r="AG72" i="1"/>
  <c r="AH72" i="1"/>
  <c r="CV72" i="1" s="1"/>
  <c r="U72" i="1" s="1"/>
  <c r="AI72" i="1"/>
  <c r="CW72" i="1" s="1"/>
  <c r="V72" i="1" s="1"/>
  <c r="AJ72" i="1"/>
  <c r="CX72" i="1" s="1"/>
  <c r="CS72" i="1"/>
  <c r="R72" i="1" s="1"/>
  <c r="GK72" i="1" s="1"/>
  <c r="CU72" i="1"/>
  <c r="FR72" i="1"/>
  <c r="GL72" i="1"/>
  <c r="GO72" i="1"/>
  <c r="GP72" i="1"/>
  <c r="GV72" i="1"/>
  <c r="GX72" i="1"/>
  <c r="C73" i="1"/>
  <c r="D73" i="1"/>
  <c r="I73" i="1"/>
  <c r="S73" i="1"/>
  <c r="AC73" i="1"/>
  <c r="AE73" i="1"/>
  <c r="AF73" i="1"/>
  <c r="AG73" i="1"/>
  <c r="CU73" i="1" s="1"/>
  <c r="T73" i="1" s="1"/>
  <c r="AH73" i="1"/>
  <c r="CV73" i="1" s="1"/>
  <c r="U73" i="1" s="1"/>
  <c r="AI73" i="1"/>
  <c r="CW73" i="1" s="1"/>
  <c r="AJ73" i="1"/>
  <c r="CS73" i="1"/>
  <c r="R73" i="1" s="1"/>
  <c r="CT73" i="1"/>
  <c r="CX73" i="1"/>
  <c r="W73" i="1" s="1"/>
  <c r="FR73" i="1"/>
  <c r="GL73" i="1"/>
  <c r="GO73" i="1"/>
  <c r="GP73" i="1"/>
  <c r="GV73" i="1"/>
  <c r="GX73" i="1" s="1"/>
  <c r="AC74" i="1"/>
  <c r="AE74" i="1"/>
  <c r="AD74" i="1" s="1"/>
  <c r="CR74" i="1" s="1"/>
  <c r="AF74" i="1"/>
  <c r="AG74" i="1"/>
  <c r="AH74" i="1"/>
  <c r="CV74" i="1" s="1"/>
  <c r="AI74" i="1"/>
  <c r="AJ74" i="1"/>
  <c r="CX74" i="1" s="1"/>
  <c r="CQ74" i="1"/>
  <c r="CS74" i="1"/>
  <c r="CU74" i="1"/>
  <c r="CW74" i="1"/>
  <c r="FR74" i="1"/>
  <c r="GL74" i="1"/>
  <c r="GO74" i="1"/>
  <c r="GP74" i="1"/>
  <c r="GV74" i="1"/>
  <c r="AC75" i="1"/>
  <c r="AE75" i="1"/>
  <c r="CS75" i="1" s="1"/>
  <c r="AF75" i="1"/>
  <c r="AG75" i="1"/>
  <c r="CU75" i="1" s="1"/>
  <c r="AH75" i="1"/>
  <c r="CV75" i="1" s="1"/>
  <c r="AI75" i="1"/>
  <c r="CW75" i="1" s="1"/>
  <c r="AJ75" i="1"/>
  <c r="CT75" i="1"/>
  <c r="CX75" i="1"/>
  <c r="FR75" i="1"/>
  <c r="GL75" i="1"/>
  <c r="GO75" i="1"/>
  <c r="GP75" i="1"/>
  <c r="GV75" i="1"/>
  <c r="I76" i="1"/>
  <c r="AC76" i="1"/>
  <c r="AD76" i="1"/>
  <c r="CR76" i="1" s="1"/>
  <c r="AE76" i="1"/>
  <c r="AF76" i="1"/>
  <c r="AG76" i="1"/>
  <c r="CU76" i="1" s="1"/>
  <c r="T76" i="1" s="1"/>
  <c r="AH76" i="1"/>
  <c r="CV76" i="1" s="1"/>
  <c r="AI76" i="1"/>
  <c r="AJ76" i="1"/>
  <c r="CS76" i="1"/>
  <c r="R76" i="1" s="1"/>
  <c r="GK76" i="1" s="1"/>
  <c r="CT76" i="1"/>
  <c r="S76" i="1" s="1"/>
  <c r="CW76" i="1"/>
  <c r="V76" i="1" s="1"/>
  <c r="CX76" i="1"/>
  <c r="W76" i="1" s="1"/>
  <c r="FR76" i="1"/>
  <c r="GL76" i="1"/>
  <c r="GO76" i="1"/>
  <c r="GP76" i="1"/>
  <c r="GV76" i="1"/>
  <c r="I77" i="1"/>
  <c r="E273" i="5" s="1"/>
  <c r="AC77" i="1"/>
  <c r="AE77" i="1"/>
  <c r="AF77" i="1"/>
  <c r="AG77" i="1"/>
  <c r="CU77" i="1" s="1"/>
  <c r="AH77" i="1"/>
  <c r="AI77" i="1"/>
  <c r="CW77" i="1" s="1"/>
  <c r="V77" i="1" s="1"/>
  <c r="AJ77" i="1"/>
  <c r="CX77" i="1" s="1"/>
  <c r="W77" i="1" s="1"/>
  <c r="CT77" i="1"/>
  <c r="S77" i="1" s="1"/>
  <c r="CV77" i="1"/>
  <c r="U77" i="1" s="1"/>
  <c r="FR77" i="1"/>
  <c r="GL77" i="1"/>
  <c r="GO77" i="1"/>
  <c r="GP77" i="1"/>
  <c r="GV77" i="1"/>
  <c r="GX77" i="1" s="1"/>
  <c r="C78" i="1"/>
  <c r="D78" i="1"/>
  <c r="I78" i="1"/>
  <c r="AC78" i="1"/>
  <c r="CQ78" i="1" s="1"/>
  <c r="P78" i="1" s="1"/>
  <c r="AD78" i="1"/>
  <c r="CR78" i="1" s="1"/>
  <c r="AE78" i="1"/>
  <c r="AF78" i="1"/>
  <c r="AG78" i="1"/>
  <c r="CU78" i="1" s="1"/>
  <c r="T78" i="1" s="1"/>
  <c r="AH78" i="1"/>
  <c r="CV78" i="1" s="1"/>
  <c r="AI78" i="1"/>
  <c r="AJ78" i="1"/>
  <c r="CS78" i="1"/>
  <c r="R78" i="1" s="1"/>
  <c r="GK78" i="1" s="1"/>
  <c r="CT78" i="1"/>
  <c r="S78" i="1" s="1"/>
  <c r="CW78" i="1"/>
  <c r="CX78" i="1"/>
  <c r="W78" i="1" s="1"/>
  <c r="FR78" i="1"/>
  <c r="GL78" i="1"/>
  <c r="GO78" i="1"/>
  <c r="GP78" i="1"/>
  <c r="GV78" i="1"/>
  <c r="AC79" i="1"/>
  <c r="AE79" i="1"/>
  <c r="AD79" i="1" s="1"/>
  <c r="AF79" i="1"/>
  <c r="AG79" i="1"/>
  <c r="CU79" i="1" s="1"/>
  <c r="AH79" i="1"/>
  <c r="AI79" i="1"/>
  <c r="AJ79" i="1"/>
  <c r="CX79" i="1" s="1"/>
  <c r="CR79" i="1"/>
  <c r="CV79" i="1"/>
  <c r="CW79" i="1"/>
  <c r="FR79" i="1"/>
  <c r="GL79" i="1"/>
  <c r="GO79" i="1"/>
  <c r="GP79" i="1"/>
  <c r="GV79" i="1"/>
  <c r="I80" i="1"/>
  <c r="E282" i="5" s="1"/>
  <c r="AC80" i="1"/>
  <c r="H282" i="5" s="1"/>
  <c r="W282" i="5" s="1"/>
  <c r="AE80" i="1"/>
  <c r="AD80" i="1" s="1"/>
  <c r="AF80" i="1"/>
  <c r="AG80" i="1"/>
  <c r="CU80" i="1" s="1"/>
  <c r="T80" i="1" s="1"/>
  <c r="AH80" i="1"/>
  <c r="CV80" i="1" s="1"/>
  <c r="U80" i="1" s="1"/>
  <c r="AI80" i="1"/>
  <c r="CW80" i="1" s="1"/>
  <c r="AJ80" i="1"/>
  <c r="CX80" i="1" s="1"/>
  <c r="CQ80" i="1"/>
  <c r="P80" i="1" s="1"/>
  <c r="CS80" i="1"/>
  <c r="R80" i="1" s="1"/>
  <c r="GK80" i="1" s="1"/>
  <c r="FR80" i="1"/>
  <c r="GL80" i="1"/>
  <c r="GO80" i="1"/>
  <c r="GP80" i="1"/>
  <c r="GV80" i="1"/>
  <c r="GX80" i="1" s="1"/>
  <c r="C81" i="1"/>
  <c r="D81" i="1"/>
  <c r="I81" i="1"/>
  <c r="AC81" i="1"/>
  <c r="AE81" i="1"/>
  <c r="AF81" i="1"/>
  <c r="AG81" i="1"/>
  <c r="CU81" i="1" s="1"/>
  <c r="AH81" i="1"/>
  <c r="CV81" i="1" s="1"/>
  <c r="U81" i="1" s="1"/>
  <c r="AI81" i="1"/>
  <c r="CW81" i="1" s="1"/>
  <c r="V81" i="1" s="1"/>
  <c r="AJ81" i="1"/>
  <c r="CX81" i="1" s="1"/>
  <c r="CS81" i="1"/>
  <c r="R81" i="1" s="1"/>
  <c r="CT81" i="1"/>
  <c r="S81" i="1" s="1"/>
  <c r="K286" i="5" s="1"/>
  <c r="FR81" i="1"/>
  <c r="GL81" i="1"/>
  <c r="GO81" i="1"/>
  <c r="GP81" i="1"/>
  <c r="GV81" i="1"/>
  <c r="GX81" i="1" s="1"/>
  <c r="AC82" i="1"/>
  <c r="AE82" i="1"/>
  <c r="AD82" i="1" s="1"/>
  <c r="AF82" i="1"/>
  <c r="AG82" i="1"/>
  <c r="CU82" i="1" s="1"/>
  <c r="AH82" i="1"/>
  <c r="CV82" i="1" s="1"/>
  <c r="AI82" i="1"/>
  <c r="CW82" i="1" s="1"/>
  <c r="AJ82" i="1"/>
  <c r="CX82" i="1" s="1"/>
  <c r="CQ82" i="1"/>
  <c r="CS82" i="1"/>
  <c r="FR82" i="1"/>
  <c r="GL82" i="1"/>
  <c r="GO82" i="1"/>
  <c r="GP82" i="1"/>
  <c r="GV82" i="1"/>
  <c r="AC83" i="1"/>
  <c r="AE83" i="1"/>
  <c r="CS83" i="1" s="1"/>
  <c r="AF83" i="1"/>
  <c r="AG83" i="1"/>
  <c r="CU83" i="1" s="1"/>
  <c r="AH83" i="1"/>
  <c r="AI83" i="1"/>
  <c r="CW83" i="1" s="1"/>
  <c r="AJ83" i="1"/>
  <c r="CX83" i="1" s="1"/>
  <c r="CQ83" i="1"/>
  <c r="CV83" i="1"/>
  <c r="FR83" i="1"/>
  <c r="GL83" i="1"/>
  <c r="GO83" i="1"/>
  <c r="GP83" i="1"/>
  <c r="GV83" i="1"/>
  <c r="AC84" i="1"/>
  <c r="AD84" i="1"/>
  <c r="AE84" i="1"/>
  <c r="AF84" i="1"/>
  <c r="AG84" i="1"/>
  <c r="CU84" i="1" s="1"/>
  <c r="AH84" i="1"/>
  <c r="CV84" i="1" s="1"/>
  <c r="AI84" i="1"/>
  <c r="AJ84" i="1"/>
  <c r="CX84" i="1" s="1"/>
  <c r="CQ84" i="1"/>
  <c r="CS84" i="1"/>
  <c r="CW84" i="1"/>
  <c r="FR84" i="1"/>
  <c r="GL84" i="1"/>
  <c r="GO84" i="1"/>
  <c r="GP84" i="1"/>
  <c r="GV84" i="1"/>
  <c r="AC85" i="1"/>
  <c r="AE85" i="1"/>
  <c r="AD85" i="1" s="1"/>
  <c r="CR85" i="1" s="1"/>
  <c r="AF85" i="1"/>
  <c r="AG85" i="1"/>
  <c r="CU85" i="1" s="1"/>
  <c r="AH85" i="1"/>
  <c r="CV85" i="1" s="1"/>
  <c r="AI85" i="1"/>
  <c r="CW85" i="1" s="1"/>
  <c r="AJ85" i="1"/>
  <c r="CT85" i="1"/>
  <c r="CX85" i="1"/>
  <c r="FR85" i="1"/>
  <c r="GL85" i="1"/>
  <c r="GO85" i="1"/>
  <c r="GP85" i="1"/>
  <c r="GV85" i="1"/>
  <c r="AC86" i="1"/>
  <c r="AD86" i="1"/>
  <c r="AE86" i="1"/>
  <c r="AF86" i="1"/>
  <c r="AG86" i="1"/>
  <c r="CU86" i="1" s="1"/>
  <c r="AH86" i="1"/>
  <c r="CV86" i="1" s="1"/>
  <c r="AI86" i="1"/>
  <c r="AJ86" i="1"/>
  <c r="CX86" i="1" s="1"/>
  <c r="CQ86" i="1"/>
  <c r="CR86" i="1"/>
  <c r="CS86" i="1"/>
  <c r="CW86" i="1"/>
  <c r="FR86" i="1"/>
  <c r="GL86" i="1"/>
  <c r="GO86" i="1"/>
  <c r="GP86" i="1"/>
  <c r="GV86" i="1"/>
  <c r="AC87" i="1"/>
  <c r="AE87" i="1"/>
  <c r="AF87" i="1"/>
  <c r="AG87" i="1"/>
  <c r="CU87" i="1" s="1"/>
  <c r="AH87" i="1"/>
  <c r="AI87" i="1"/>
  <c r="CW87" i="1" s="1"/>
  <c r="AJ87" i="1"/>
  <c r="CX87" i="1" s="1"/>
  <c r="CV87" i="1"/>
  <c r="FR87" i="1"/>
  <c r="GL87" i="1"/>
  <c r="GO87" i="1"/>
  <c r="GP87" i="1"/>
  <c r="GV87" i="1"/>
  <c r="C88" i="1"/>
  <c r="D88" i="1"/>
  <c r="I88" i="1"/>
  <c r="U88" i="1"/>
  <c r="AC88" i="1"/>
  <c r="AE88" i="1"/>
  <c r="AF88" i="1"/>
  <c r="AG88" i="1"/>
  <c r="CU88" i="1" s="1"/>
  <c r="T88" i="1" s="1"/>
  <c r="AH88" i="1"/>
  <c r="AI88" i="1"/>
  <c r="CW88" i="1" s="1"/>
  <c r="AJ88" i="1"/>
  <c r="CX88" i="1" s="1"/>
  <c r="CQ88" i="1"/>
  <c r="CV88" i="1"/>
  <c r="FR88" i="1"/>
  <c r="GL88" i="1"/>
  <c r="GO88" i="1"/>
  <c r="GP88" i="1"/>
  <c r="GV88" i="1"/>
  <c r="GX88" i="1" s="1"/>
  <c r="AC89" i="1"/>
  <c r="AE89" i="1"/>
  <c r="AD89" i="1" s="1"/>
  <c r="AF89" i="1"/>
  <c r="AG89" i="1"/>
  <c r="AH89" i="1"/>
  <c r="CV89" i="1" s="1"/>
  <c r="AI89" i="1"/>
  <c r="CW89" i="1" s="1"/>
  <c r="AJ89" i="1"/>
  <c r="CX89" i="1" s="1"/>
  <c r="CQ89" i="1"/>
  <c r="CU89" i="1"/>
  <c r="FR89" i="1"/>
  <c r="GL89" i="1"/>
  <c r="GO89" i="1"/>
  <c r="GP89" i="1"/>
  <c r="GV89" i="1"/>
  <c r="AC90" i="1"/>
  <c r="AD90" i="1"/>
  <c r="CR90" i="1" s="1"/>
  <c r="AE90" i="1"/>
  <c r="CS90" i="1" s="1"/>
  <c r="AF90" i="1"/>
  <c r="AG90" i="1"/>
  <c r="CU90" i="1" s="1"/>
  <c r="AH90" i="1"/>
  <c r="CV90" i="1" s="1"/>
  <c r="AI90" i="1"/>
  <c r="CW90" i="1" s="1"/>
  <c r="AJ90" i="1"/>
  <c r="CT90" i="1"/>
  <c r="CX90" i="1"/>
  <c r="FR90" i="1"/>
  <c r="GL90" i="1"/>
  <c r="GO90" i="1"/>
  <c r="GP90" i="1"/>
  <c r="GV90" i="1"/>
  <c r="I91" i="1"/>
  <c r="AC91" i="1"/>
  <c r="AD91" i="1"/>
  <c r="CR91" i="1" s="1"/>
  <c r="AE91" i="1"/>
  <c r="CS91" i="1" s="1"/>
  <c r="AF91" i="1"/>
  <c r="AG91" i="1"/>
  <c r="AH91" i="1"/>
  <c r="CV91" i="1" s="1"/>
  <c r="AI91" i="1"/>
  <c r="CW91" i="1" s="1"/>
  <c r="AJ91" i="1"/>
  <c r="CT91" i="1"/>
  <c r="CU91" i="1"/>
  <c r="CX91" i="1"/>
  <c r="FR91" i="1"/>
  <c r="GL91" i="1"/>
  <c r="GO91" i="1"/>
  <c r="GP91" i="1"/>
  <c r="GV91" i="1"/>
  <c r="I92" i="1"/>
  <c r="E312" i="5" s="1"/>
  <c r="AC92" i="1"/>
  <c r="AE92" i="1"/>
  <c r="AD92" i="1" s="1"/>
  <c r="AF92" i="1"/>
  <c r="AG92" i="1"/>
  <c r="CU92" i="1" s="1"/>
  <c r="AH92" i="1"/>
  <c r="AI92" i="1"/>
  <c r="AJ92" i="1"/>
  <c r="CX92" i="1" s="1"/>
  <c r="W92" i="1" s="1"/>
  <c r="CR92" i="1"/>
  <c r="Q92" i="1" s="1"/>
  <c r="CV92" i="1"/>
  <c r="U92" i="1" s="1"/>
  <c r="CW92" i="1"/>
  <c r="FR92" i="1"/>
  <c r="GL92" i="1"/>
  <c r="GO92" i="1"/>
  <c r="GP92" i="1"/>
  <c r="GV92" i="1"/>
  <c r="I93" i="1"/>
  <c r="AC93" i="1"/>
  <c r="AE93" i="1"/>
  <c r="AD93" i="1" s="1"/>
  <c r="AF93" i="1"/>
  <c r="AG93" i="1"/>
  <c r="CU93" i="1" s="1"/>
  <c r="T93" i="1" s="1"/>
  <c r="AH93" i="1"/>
  <c r="AI93" i="1"/>
  <c r="CW93" i="1" s="1"/>
  <c r="AJ93" i="1"/>
  <c r="CX93" i="1" s="1"/>
  <c r="CQ93" i="1"/>
  <c r="CV93" i="1"/>
  <c r="FR93" i="1"/>
  <c r="GL93" i="1"/>
  <c r="GO93" i="1"/>
  <c r="GP93" i="1"/>
  <c r="GV93" i="1"/>
  <c r="GX93" i="1" s="1"/>
  <c r="AC94" i="1"/>
  <c r="AE94" i="1"/>
  <c r="AF94" i="1"/>
  <c r="AG94" i="1"/>
  <c r="AH94" i="1"/>
  <c r="AI94" i="1"/>
  <c r="CW94" i="1" s="1"/>
  <c r="AJ94" i="1"/>
  <c r="CX94" i="1" s="1"/>
  <c r="CQ94" i="1"/>
  <c r="CU94" i="1"/>
  <c r="CV94" i="1"/>
  <c r="FR94" i="1"/>
  <c r="GL94" i="1"/>
  <c r="GO94" i="1"/>
  <c r="GP94" i="1"/>
  <c r="GV94" i="1"/>
  <c r="C95" i="1"/>
  <c r="D95" i="1"/>
  <c r="I95" i="1"/>
  <c r="AC95" i="1"/>
  <c r="CQ95" i="1" s="1"/>
  <c r="AE95" i="1"/>
  <c r="H320" i="5" s="1"/>
  <c r="R320" i="5" s="1"/>
  <c r="AF95" i="1"/>
  <c r="AG95" i="1"/>
  <c r="AH95" i="1"/>
  <c r="CV95" i="1" s="1"/>
  <c r="U95" i="1" s="1"/>
  <c r="AI95" i="1"/>
  <c r="AJ95" i="1"/>
  <c r="CX95" i="1" s="1"/>
  <c r="CS95" i="1"/>
  <c r="R95" i="1" s="1"/>
  <c r="CU95" i="1"/>
  <c r="T95" i="1" s="1"/>
  <c r="CW95" i="1"/>
  <c r="V95" i="1" s="1"/>
  <c r="FR95" i="1"/>
  <c r="GL95" i="1"/>
  <c r="GO95" i="1"/>
  <c r="GP95" i="1"/>
  <c r="GV95" i="1"/>
  <c r="GX95" i="1" s="1"/>
  <c r="C96" i="1"/>
  <c r="D96" i="1"/>
  <c r="I96" i="1"/>
  <c r="AC96" i="1"/>
  <c r="AE96" i="1"/>
  <c r="AF96" i="1"/>
  <c r="AG96" i="1"/>
  <c r="CU96" i="1" s="1"/>
  <c r="AH96" i="1"/>
  <c r="AI96" i="1"/>
  <c r="CW96" i="1" s="1"/>
  <c r="AJ96" i="1"/>
  <c r="CS96" i="1"/>
  <c r="R96" i="1" s="1"/>
  <c r="CV96" i="1"/>
  <c r="CX96" i="1"/>
  <c r="FR96" i="1"/>
  <c r="GL96" i="1"/>
  <c r="GN96" i="1"/>
  <c r="GP96" i="1"/>
  <c r="GV96" i="1"/>
  <c r="AC97" i="1"/>
  <c r="AE97" i="1"/>
  <c r="AD97" i="1" s="1"/>
  <c r="CR97" i="1" s="1"/>
  <c r="AF97" i="1"/>
  <c r="AG97" i="1"/>
  <c r="AH97" i="1"/>
  <c r="CV97" i="1" s="1"/>
  <c r="AI97" i="1"/>
  <c r="CW97" i="1" s="1"/>
  <c r="AJ97" i="1"/>
  <c r="CX97" i="1" s="1"/>
  <c r="CQ97" i="1"/>
  <c r="CS97" i="1"/>
  <c r="CU97" i="1"/>
  <c r="FR97" i="1"/>
  <c r="GL97" i="1"/>
  <c r="GN97" i="1"/>
  <c r="GP97" i="1"/>
  <c r="GV97" i="1"/>
  <c r="C98" i="1"/>
  <c r="D98" i="1"/>
  <c r="I98" i="1"/>
  <c r="AC98" i="1"/>
  <c r="AE98" i="1"/>
  <c r="AD98" i="1" s="1"/>
  <c r="CR98" i="1" s="1"/>
  <c r="Q98" i="1" s="1"/>
  <c r="AF98" i="1"/>
  <c r="AG98" i="1"/>
  <c r="CU98" i="1" s="1"/>
  <c r="AH98" i="1"/>
  <c r="CV98" i="1" s="1"/>
  <c r="U98" i="1" s="1"/>
  <c r="AI98" i="1"/>
  <c r="CW98" i="1" s="1"/>
  <c r="V98" i="1" s="1"/>
  <c r="AJ98" i="1"/>
  <c r="CT98" i="1"/>
  <c r="S98" i="1" s="1"/>
  <c r="K338" i="5" s="1"/>
  <c r="CX98" i="1"/>
  <c r="W98" i="1" s="1"/>
  <c r="FR98" i="1"/>
  <c r="GL98" i="1"/>
  <c r="GN98" i="1"/>
  <c r="GP98" i="1"/>
  <c r="GV98" i="1"/>
  <c r="GX98" i="1" s="1"/>
  <c r="AC99" i="1"/>
  <c r="AE99" i="1"/>
  <c r="AD99" i="1" s="1"/>
  <c r="AF99" i="1"/>
  <c r="AG99" i="1"/>
  <c r="AH99" i="1"/>
  <c r="CV99" i="1" s="1"/>
  <c r="AI99" i="1"/>
  <c r="CW99" i="1" s="1"/>
  <c r="AJ99" i="1"/>
  <c r="CX99" i="1" s="1"/>
  <c r="CS99" i="1"/>
  <c r="CU99" i="1"/>
  <c r="FR99" i="1"/>
  <c r="GL99" i="1"/>
  <c r="GN99" i="1"/>
  <c r="GP99" i="1"/>
  <c r="GV99" i="1"/>
  <c r="C100" i="1"/>
  <c r="D100" i="1"/>
  <c r="I100" i="1"/>
  <c r="AC100" i="1"/>
  <c r="AE100" i="1"/>
  <c r="AF100" i="1"/>
  <c r="AG100" i="1"/>
  <c r="CU100" i="1" s="1"/>
  <c r="T100" i="1" s="1"/>
  <c r="AH100" i="1"/>
  <c r="CV100" i="1" s="1"/>
  <c r="U100" i="1" s="1"/>
  <c r="AI100" i="1"/>
  <c r="AJ100" i="1"/>
  <c r="CS100" i="1"/>
  <c r="R100" i="1" s="1"/>
  <c r="CW100" i="1"/>
  <c r="V100" i="1" s="1"/>
  <c r="CX100" i="1"/>
  <c r="W100" i="1" s="1"/>
  <c r="FR100" i="1"/>
  <c r="GL100" i="1"/>
  <c r="GN100" i="1"/>
  <c r="GP100" i="1"/>
  <c r="GV100" i="1"/>
  <c r="GX100" i="1"/>
  <c r="I101" i="1"/>
  <c r="R101" i="1"/>
  <c r="GK101" i="1" s="1"/>
  <c r="AC101" i="1"/>
  <c r="AD101" i="1"/>
  <c r="AB101" i="1" s="1"/>
  <c r="AE101" i="1"/>
  <c r="AF101" i="1"/>
  <c r="AG101" i="1"/>
  <c r="CU101" i="1" s="1"/>
  <c r="T101" i="1" s="1"/>
  <c r="AH101" i="1"/>
  <c r="CV101" i="1" s="1"/>
  <c r="U101" i="1" s="1"/>
  <c r="AI101" i="1"/>
  <c r="CW101" i="1" s="1"/>
  <c r="V101" i="1" s="1"/>
  <c r="AJ101" i="1"/>
  <c r="CX101" i="1" s="1"/>
  <c r="CQ101" i="1"/>
  <c r="CR101" i="1"/>
  <c r="Q101" i="1" s="1"/>
  <c r="CS101" i="1"/>
  <c r="FR101" i="1"/>
  <c r="GL101" i="1"/>
  <c r="GN101" i="1"/>
  <c r="GP101" i="1"/>
  <c r="GV101" i="1"/>
  <c r="GX101" i="1" s="1"/>
  <c r="C102" i="1"/>
  <c r="D102" i="1"/>
  <c r="I102" i="1"/>
  <c r="AC102" i="1"/>
  <c r="AE102" i="1"/>
  <c r="AF102" i="1"/>
  <c r="AG102" i="1"/>
  <c r="CU102" i="1" s="1"/>
  <c r="AH102" i="1"/>
  <c r="CV102" i="1" s="1"/>
  <c r="U102" i="1" s="1"/>
  <c r="AI102" i="1"/>
  <c r="CW102" i="1" s="1"/>
  <c r="V102" i="1" s="1"/>
  <c r="AJ102" i="1"/>
  <c r="CX102" i="1" s="1"/>
  <c r="CT102" i="1"/>
  <c r="S102" i="1" s="1"/>
  <c r="K358" i="5" s="1"/>
  <c r="FR102" i="1"/>
  <c r="GL102" i="1"/>
  <c r="GN102" i="1"/>
  <c r="GP102" i="1"/>
  <c r="GV102" i="1"/>
  <c r="GX102" i="1" s="1"/>
  <c r="AC103" i="1"/>
  <c r="CQ103" i="1" s="1"/>
  <c r="AE103" i="1"/>
  <c r="AD103" i="1" s="1"/>
  <c r="AF103" i="1"/>
  <c r="AG103" i="1"/>
  <c r="CU103" i="1" s="1"/>
  <c r="AH103" i="1"/>
  <c r="AI103" i="1"/>
  <c r="CW103" i="1" s="1"/>
  <c r="AJ103" i="1"/>
  <c r="CX103" i="1" s="1"/>
  <c r="CS103" i="1"/>
  <c r="CV103" i="1"/>
  <c r="FR103" i="1"/>
  <c r="GL103" i="1"/>
  <c r="GN103" i="1"/>
  <c r="GP103" i="1"/>
  <c r="GV103" i="1"/>
  <c r="C104" i="1"/>
  <c r="D104" i="1"/>
  <c r="I104" i="1"/>
  <c r="AC104" i="1"/>
  <c r="CQ104" i="1" s="1"/>
  <c r="AE104" i="1"/>
  <c r="AF104" i="1"/>
  <c r="AG104" i="1"/>
  <c r="CU104" i="1" s="1"/>
  <c r="AH104" i="1"/>
  <c r="AI104" i="1"/>
  <c r="CW104" i="1" s="1"/>
  <c r="V104" i="1" s="1"/>
  <c r="AJ104" i="1"/>
  <c r="CV104" i="1"/>
  <c r="U104" i="1" s="1"/>
  <c r="CX104" i="1"/>
  <c r="W104" i="1" s="1"/>
  <c r="FR104" i="1"/>
  <c r="GL104" i="1"/>
  <c r="GO104" i="1"/>
  <c r="GP104" i="1"/>
  <c r="GV104" i="1"/>
  <c r="GX104" i="1" s="1"/>
  <c r="C105" i="1"/>
  <c r="D105" i="1"/>
  <c r="I105" i="1"/>
  <c r="W105" i="1"/>
  <c r="AC105" i="1"/>
  <c r="AE105" i="1"/>
  <c r="AF105" i="1"/>
  <c r="AG105" i="1"/>
  <c r="CU105" i="1" s="1"/>
  <c r="AH105" i="1"/>
  <c r="CV105" i="1" s="1"/>
  <c r="AI105" i="1"/>
  <c r="AJ105" i="1"/>
  <c r="CX105" i="1" s="1"/>
  <c r="CQ105" i="1"/>
  <c r="P105" i="1" s="1"/>
  <c r="CW105" i="1"/>
  <c r="V105" i="1" s="1"/>
  <c r="FR105" i="1"/>
  <c r="GL105" i="1"/>
  <c r="GO105" i="1"/>
  <c r="GP105" i="1"/>
  <c r="GV105" i="1"/>
  <c r="C106" i="1"/>
  <c r="D106" i="1"/>
  <c r="I106" i="1"/>
  <c r="S106" i="1"/>
  <c r="AC106" i="1"/>
  <c r="H390" i="5" s="1"/>
  <c r="AE106" i="1"/>
  <c r="AD106" i="1" s="1"/>
  <c r="AF106" i="1"/>
  <c r="AG106" i="1"/>
  <c r="AH106" i="1"/>
  <c r="CV106" i="1" s="1"/>
  <c r="U106" i="1" s="1"/>
  <c r="AI106" i="1"/>
  <c r="CW106" i="1" s="1"/>
  <c r="V106" i="1" s="1"/>
  <c r="AJ106" i="1"/>
  <c r="CQ106" i="1"/>
  <c r="P106" i="1" s="1"/>
  <c r="K390" i="5" s="1"/>
  <c r="CT106" i="1"/>
  <c r="CU106" i="1"/>
  <c r="T106" i="1" s="1"/>
  <c r="CX106" i="1"/>
  <c r="W106" i="1" s="1"/>
  <c r="FR106" i="1"/>
  <c r="GL106" i="1"/>
  <c r="GN106" i="1"/>
  <c r="GP106" i="1"/>
  <c r="GV106" i="1"/>
  <c r="GX106" i="1" s="1"/>
  <c r="AC107" i="1"/>
  <c r="AD107" i="1"/>
  <c r="CR107" i="1" s="1"/>
  <c r="AE107" i="1"/>
  <c r="AF107" i="1"/>
  <c r="AG107" i="1"/>
  <c r="CU107" i="1" s="1"/>
  <c r="AH107" i="1"/>
  <c r="CV107" i="1" s="1"/>
  <c r="AI107" i="1"/>
  <c r="AJ107" i="1"/>
  <c r="CS107" i="1"/>
  <c r="CT107" i="1"/>
  <c r="CW107" i="1"/>
  <c r="CX107" i="1"/>
  <c r="FR107" i="1"/>
  <c r="GL107" i="1"/>
  <c r="GN107" i="1"/>
  <c r="GP107" i="1"/>
  <c r="GV107" i="1"/>
  <c r="C108" i="1"/>
  <c r="D108" i="1"/>
  <c r="Q108" i="1"/>
  <c r="AC108" i="1"/>
  <c r="H398" i="5" s="1"/>
  <c r="AE108" i="1"/>
  <c r="AD108" i="1" s="1"/>
  <c r="CR108" i="1" s="1"/>
  <c r="AF108" i="1"/>
  <c r="AG108" i="1"/>
  <c r="AH108" i="1"/>
  <c r="AI108" i="1"/>
  <c r="CW108" i="1" s="1"/>
  <c r="V108" i="1" s="1"/>
  <c r="AJ108" i="1"/>
  <c r="CX108" i="1" s="1"/>
  <c r="W108" i="1" s="1"/>
  <c r="CS108" i="1"/>
  <c r="R108" i="1" s="1"/>
  <c r="GK108" i="1" s="1"/>
  <c r="CU108" i="1"/>
  <c r="T108" i="1" s="1"/>
  <c r="CV108" i="1"/>
  <c r="U108" i="1" s="1"/>
  <c r="FR108" i="1"/>
  <c r="GL108" i="1"/>
  <c r="GN108" i="1"/>
  <c r="GP108" i="1"/>
  <c r="GV108" i="1"/>
  <c r="GX108" i="1" s="1"/>
  <c r="I109" i="1"/>
  <c r="E402" i="5" s="1"/>
  <c r="AC109" i="1"/>
  <c r="AE109" i="1"/>
  <c r="CS109" i="1" s="1"/>
  <c r="AF109" i="1"/>
  <c r="AG109" i="1"/>
  <c r="AH109" i="1"/>
  <c r="CV109" i="1" s="1"/>
  <c r="U109" i="1" s="1"/>
  <c r="AI109" i="1"/>
  <c r="CW109" i="1" s="1"/>
  <c r="AJ109" i="1"/>
  <c r="CT109" i="1"/>
  <c r="S109" i="1" s="1"/>
  <c r="CU109" i="1"/>
  <c r="T109" i="1" s="1"/>
  <c r="CX109" i="1"/>
  <c r="FR109" i="1"/>
  <c r="GL109" i="1"/>
  <c r="GN109" i="1"/>
  <c r="GP109" i="1"/>
  <c r="GV109" i="1"/>
  <c r="GX109" i="1" s="1"/>
  <c r="C110" i="1"/>
  <c r="D110" i="1"/>
  <c r="I110" i="1"/>
  <c r="AC110" i="1"/>
  <c r="AE110" i="1"/>
  <c r="H408" i="5" s="1"/>
  <c r="R408" i="5" s="1"/>
  <c r="AF110" i="1"/>
  <c r="AG110" i="1"/>
  <c r="CU110" i="1" s="1"/>
  <c r="T110" i="1" s="1"/>
  <c r="AH110" i="1"/>
  <c r="CV110" i="1" s="1"/>
  <c r="AI110" i="1"/>
  <c r="CW110" i="1" s="1"/>
  <c r="V110" i="1" s="1"/>
  <c r="AJ110" i="1"/>
  <c r="CX110" i="1" s="1"/>
  <c r="CQ110" i="1"/>
  <c r="CS110" i="1"/>
  <c r="R110" i="1" s="1"/>
  <c r="FR110" i="1"/>
  <c r="GL110" i="1"/>
  <c r="GN110" i="1"/>
  <c r="GP110" i="1"/>
  <c r="GV110" i="1"/>
  <c r="GX110" i="1" s="1"/>
  <c r="AC111" i="1"/>
  <c r="CQ111" i="1" s="1"/>
  <c r="AE111" i="1"/>
  <c r="CS111" i="1" s="1"/>
  <c r="AF111" i="1"/>
  <c r="AG111" i="1"/>
  <c r="CU111" i="1" s="1"/>
  <c r="AH111" i="1"/>
  <c r="AI111" i="1"/>
  <c r="CW111" i="1" s="1"/>
  <c r="AJ111" i="1"/>
  <c r="CX111" i="1" s="1"/>
  <c r="CV111" i="1"/>
  <c r="FR111" i="1"/>
  <c r="GL111" i="1"/>
  <c r="GN111" i="1"/>
  <c r="GP111" i="1"/>
  <c r="GV111" i="1"/>
  <c r="C112" i="1"/>
  <c r="D112" i="1"/>
  <c r="AC112" i="1"/>
  <c r="AE112" i="1"/>
  <c r="AD112" i="1" s="1"/>
  <c r="AF112" i="1"/>
  <c r="AG112" i="1"/>
  <c r="CU112" i="1" s="1"/>
  <c r="T112" i="1" s="1"/>
  <c r="AH112" i="1"/>
  <c r="CV112" i="1" s="1"/>
  <c r="U112" i="1" s="1"/>
  <c r="AI112" i="1"/>
  <c r="CW112" i="1" s="1"/>
  <c r="V112" i="1" s="1"/>
  <c r="AJ112" i="1"/>
  <c r="CS112" i="1"/>
  <c r="R112" i="1" s="1"/>
  <c r="GK112" i="1" s="1"/>
  <c r="CT112" i="1"/>
  <c r="S112" i="1" s="1"/>
  <c r="K416" i="5" s="1"/>
  <c r="CX112" i="1"/>
  <c r="W112" i="1" s="1"/>
  <c r="FR112" i="1"/>
  <c r="GL112" i="1"/>
  <c r="GN112" i="1"/>
  <c r="GP112" i="1"/>
  <c r="GV112" i="1"/>
  <c r="GX112" i="1" s="1"/>
  <c r="I113" i="1"/>
  <c r="E422" i="5" s="1"/>
  <c r="AC113" i="1"/>
  <c r="AD113" i="1"/>
  <c r="AE113" i="1"/>
  <c r="AF113" i="1"/>
  <c r="AG113" i="1"/>
  <c r="CU113" i="1" s="1"/>
  <c r="AH113" i="1"/>
  <c r="CV113" i="1" s="1"/>
  <c r="U113" i="1" s="1"/>
  <c r="AI113" i="1"/>
  <c r="AJ113" i="1"/>
  <c r="CX113" i="1" s="1"/>
  <c r="CQ113" i="1"/>
  <c r="CR113" i="1"/>
  <c r="Q113" i="1" s="1"/>
  <c r="CS113" i="1"/>
  <c r="R113" i="1" s="1"/>
  <c r="GK113" i="1" s="1"/>
  <c r="CW113" i="1"/>
  <c r="FR113" i="1"/>
  <c r="GL113" i="1"/>
  <c r="GN113" i="1"/>
  <c r="GP113" i="1"/>
  <c r="GV113" i="1"/>
  <c r="C114" i="1"/>
  <c r="D114" i="1"/>
  <c r="I114" i="1"/>
  <c r="AC114" i="1"/>
  <c r="AE114" i="1"/>
  <c r="AF114" i="1"/>
  <c r="AG114" i="1"/>
  <c r="AH114" i="1"/>
  <c r="CV114" i="1" s="1"/>
  <c r="AI114" i="1"/>
  <c r="CW114" i="1" s="1"/>
  <c r="AJ114" i="1"/>
  <c r="CX114" i="1" s="1"/>
  <c r="W114" i="1" s="1"/>
  <c r="CQ114" i="1"/>
  <c r="CU114" i="1"/>
  <c r="FR114" i="1"/>
  <c r="GL114" i="1"/>
  <c r="GO114" i="1"/>
  <c r="GP114" i="1"/>
  <c r="GV114" i="1"/>
  <c r="AC115" i="1"/>
  <c r="AE115" i="1"/>
  <c r="AF115" i="1"/>
  <c r="AG115" i="1"/>
  <c r="CU115" i="1" s="1"/>
  <c r="AH115" i="1"/>
  <c r="CV115" i="1" s="1"/>
  <c r="AI115" i="1"/>
  <c r="CW115" i="1" s="1"/>
  <c r="AJ115" i="1"/>
  <c r="CX115" i="1" s="1"/>
  <c r="CT115" i="1"/>
  <c r="FR115" i="1"/>
  <c r="GL115" i="1"/>
  <c r="GO115" i="1"/>
  <c r="GP115" i="1"/>
  <c r="GV115" i="1"/>
  <c r="AC116" i="1"/>
  <c r="AE116" i="1"/>
  <c r="AD116" i="1" s="1"/>
  <c r="CR116" i="1" s="1"/>
  <c r="AF116" i="1"/>
  <c r="AG116" i="1"/>
  <c r="CU116" i="1" s="1"/>
  <c r="AH116" i="1"/>
  <c r="CV116" i="1" s="1"/>
  <c r="AI116" i="1"/>
  <c r="CW116" i="1" s="1"/>
  <c r="AJ116" i="1"/>
  <c r="CX116" i="1" s="1"/>
  <c r="FR116" i="1"/>
  <c r="GL116" i="1"/>
  <c r="GO116" i="1"/>
  <c r="GP116" i="1"/>
  <c r="GV116" i="1"/>
  <c r="O117" i="1"/>
  <c r="P117" i="1"/>
  <c r="Q117" i="1"/>
  <c r="R117" i="1"/>
  <c r="GK117" i="1" s="1"/>
  <c r="S117" i="1"/>
  <c r="T117" i="1"/>
  <c r="U117" i="1"/>
  <c r="L437" i="5" s="1"/>
  <c r="Q437" i="5" s="1"/>
  <c r="V117" i="1"/>
  <c r="W117" i="1"/>
  <c r="X117" i="1"/>
  <c r="T436" i="5" s="1"/>
  <c r="Y117" i="1"/>
  <c r="V436" i="5" s="1"/>
  <c r="AB117" i="1"/>
  <c r="AC117" i="1"/>
  <c r="AD117" i="1"/>
  <c r="AE117" i="1"/>
  <c r="AF117" i="1"/>
  <c r="AG117" i="1"/>
  <c r="AH117" i="1"/>
  <c r="AI117" i="1"/>
  <c r="AJ117" i="1"/>
  <c r="FR117" i="1"/>
  <c r="GL117" i="1"/>
  <c r="GO117" i="1"/>
  <c r="GP117" i="1"/>
  <c r="GV117" i="1"/>
  <c r="GX117" i="1" s="1"/>
  <c r="O118" i="1"/>
  <c r="P118" i="1"/>
  <c r="Q118" i="1"/>
  <c r="R118" i="1"/>
  <c r="S118" i="1"/>
  <c r="T118" i="1"/>
  <c r="U118" i="1"/>
  <c r="L439" i="5" s="1"/>
  <c r="Q439" i="5" s="1"/>
  <c r="V118" i="1"/>
  <c r="W118" i="1"/>
  <c r="X118" i="1"/>
  <c r="T438" i="5" s="1"/>
  <c r="Y118" i="1"/>
  <c r="V438" i="5" s="1"/>
  <c r="AB118" i="1"/>
  <c r="AC118" i="1"/>
  <c r="AD118" i="1"/>
  <c r="AE118" i="1"/>
  <c r="AF118" i="1"/>
  <c r="AG118" i="1"/>
  <c r="AH118" i="1"/>
  <c r="AI118" i="1"/>
  <c r="AJ118" i="1"/>
  <c r="FR118" i="1"/>
  <c r="GK118" i="1"/>
  <c r="GL118" i="1"/>
  <c r="GO118" i="1"/>
  <c r="GP118" i="1"/>
  <c r="GV118" i="1"/>
  <c r="GX118" i="1"/>
  <c r="B120" i="1"/>
  <c r="B22" i="1" s="1"/>
  <c r="C120" i="1"/>
  <c r="C22" i="1" s="1"/>
  <c r="D120" i="1"/>
  <c r="D22" i="1" s="1"/>
  <c r="F120" i="1"/>
  <c r="F22" i="1" s="1"/>
  <c r="G120" i="1"/>
  <c r="BX120" i="1"/>
  <c r="BX22" i="1" s="1"/>
  <c r="BY120" i="1"/>
  <c r="CK120" i="1"/>
  <c r="CK22" i="1" s="1"/>
  <c r="CL120" i="1"/>
  <c r="B152" i="1"/>
  <c r="B18" i="1" s="1"/>
  <c r="C152" i="1"/>
  <c r="C18" i="1" s="1"/>
  <c r="D152" i="1"/>
  <c r="D18" i="1" s="1"/>
  <c r="F152" i="1"/>
  <c r="F18" i="1" s="1"/>
  <c r="G152" i="1"/>
  <c r="G18" i="1" s="1"/>
  <c r="GK110" i="1" l="1"/>
  <c r="K408" i="5"/>
  <c r="CR106" i="1"/>
  <c r="Q106" i="1" s="1"/>
  <c r="K388" i="5" s="1"/>
  <c r="H388" i="5"/>
  <c r="GX115" i="1"/>
  <c r="I115" i="1"/>
  <c r="E433" i="5" s="1"/>
  <c r="C425" i="5"/>
  <c r="E424" i="5"/>
  <c r="CQ109" i="1"/>
  <c r="P109" i="1" s="1"/>
  <c r="CT108" i="1"/>
  <c r="S108" i="1" s="1"/>
  <c r="U396" i="5"/>
  <c r="S396" i="5"/>
  <c r="H397" i="5"/>
  <c r="K387" i="5"/>
  <c r="AD104" i="1"/>
  <c r="CS104" i="1"/>
  <c r="R104" i="1" s="1"/>
  <c r="GK104" i="1" s="1"/>
  <c r="L355" i="5"/>
  <c r="Q355" i="5" s="1"/>
  <c r="L353" i="5"/>
  <c r="I97" i="1"/>
  <c r="E334" i="5" s="1"/>
  <c r="C326" i="5"/>
  <c r="E325" i="5"/>
  <c r="CT79" i="1"/>
  <c r="L236" i="5"/>
  <c r="Q236" i="5" s="1"/>
  <c r="L233" i="5"/>
  <c r="E224" i="5"/>
  <c r="GX63" i="1"/>
  <c r="CT57" i="1"/>
  <c r="S57" i="1" s="1"/>
  <c r="S210" i="5"/>
  <c r="H212" i="5"/>
  <c r="R212" i="5" s="1"/>
  <c r="U210" i="5"/>
  <c r="S162" i="5"/>
  <c r="U162" i="5"/>
  <c r="CT45" i="1"/>
  <c r="S45" i="1" s="1"/>
  <c r="CQ44" i="1"/>
  <c r="P44" i="1" s="1"/>
  <c r="L98" i="5"/>
  <c r="Q98" i="5" s="1"/>
  <c r="L97" i="5"/>
  <c r="S115" i="1"/>
  <c r="T115" i="1"/>
  <c r="GX114" i="1"/>
  <c r="V114" i="1"/>
  <c r="CS114" i="1"/>
  <c r="R114" i="1" s="1"/>
  <c r="H428" i="5"/>
  <c r="R428" i="5" s="1"/>
  <c r="V113" i="1"/>
  <c r="P113" i="1"/>
  <c r="T113" i="1"/>
  <c r="CY109" i="1"/>
  <c r="X109" i="1" s="1"/>
  <c r="T402" i="5" s="1"/>
  <c r="L395" i="5"/>
  <c r="Q395" i="5" s="1"/>
  <c r="L393" i="5"/>
  <c r="H377" i="5"/>
  <c r="U375" i="5"/>
  <c r="H382" i="5" s="1"/>
  <c r="S375" i="5"/>
  <c r="H381" i="5" s="1"/>
  <c r="CT105" i="1"/>
  <c r="S105" i="1" s="1"/>
  <c r="T105" i="1"/>
  <c r="E375" i="5"/>
  <c r="C376" i="5"/>
  <c r="AD102" i="1"/>
  <c r="H360" i="5"/>
  <c r="R360" i="5" s="1"/>
  <c r="GX96" i="1"/>
  <c r="S325" i="5"/>
  <c r="H327" i="5"/>
  <c r="U325" i="5"/>
  <c r="CT96" i="1"/>
  <c r="S96" i="1" s="1"/>
  <c r="K327" i="5" s="1"/>
  <c r="CT93" i="1"/>
  <c r="S313" i="5"/>
  <c r="U313" i="5"/>
  <c r="P93" i="1"/>
  <c r="E313" i="5"/>
  <c r="S91" i="1"/>
  <c r="CS89" i="1"/>
  <c r="CT87" i="1"/>
  <c r="GK81" i="1"/>
  <c r="K288" i="5"/>
  <c r="CY76" i="1"/>
  <c r="X76" i="1" s="1"/>
  <c r="T272" i="5" s="1"/>
  <c r="T74" i="1"/>
  <c r="H259" i="5"/>
  <c r="W259" i="5" s="1"/>
  <c r="CQ72" i="1"/>
  <c r="P72" i="1" s="1"/>
  <c r="GX69" i="1"/>
  <c r="AB66" i="1"/>
  <c r="S235" i="5"/>
  <c r="U235" i="5"/>
  <c r="GK64" i="1"/>
  <c r="K229" i="5"/>
  <c r="V63" i="1"/>
  <c r="L199" i="5"/>
  <c r="Q199" i="5" s="1"/>
  <c r="L196" i="5"/>
  <c r="H193" i="5"/>
  <c r="CQ53" i="1"/>
  <c r="P53" i="1" s="1"/>
  <c r="K193" i="5" s="1"/>
  <c r="L187" i="5"/>
  <c r="Q187" i="5" s="1"/>
  <c r="L186" i="5"/>
  <c r="U150" i="5"/>
  <c r="CT42" i="1"/>
  <c r="L140" i="5"/>
  <c r="Q140" i="5" s="1"/>
  <c r="L137" i="5"/>
  <c r="I39" i="1"/>
  <c r="E138" i="5" s="1"/>
  <c r="C131" i="5"/>
  <c r="E130" i="5"/>
  <c r="GX38" i="1"/>
  <c r="CP117" i="1"/>
  <c r="H436" i="5"/>
  <c r="L403" i="5"/>
  <c r="Q403" i="5" s="1"/>
  <c r="L401" i="5"/>
  <c r="CS106" i="1"/>
  <c r="R106" i="1" s="1"/>
  <c r="CY106" i="1" s="1"/>
  <c r="X106" i="1" s="1"/>
  <c r="T385" i="5" s="1"/>
  <c r="H389" i="5"/>
  <c r="R389" i="5" s="1"/>
  <c r="H365" i="5"/>
  <c r="X365" i="5" s="1"/>
  <c r="CQ100" i="1"/>
  <c r="P100" i="1" s="1"/>
  <c r="K350" i="5" s="1"/>
  <c r="H350" i="5"/>
  <c r="CT95" i="1"/>
  <c r="U316" i="5"/>
  <c r="H322" i="5" s="1"/>
  <c r="S316" i="5"/>
  <c r="H321" i="5" s="1"/>
  <c r="H318" i="5"/>
  <c r="CS94" i="1"/>
  <c r="AD94" i="1"/>
  <c r="CR94" i="1" s="1"/>
  <c r="Q94" i="1" s="1"/>
  <c r="AB89" i="1"/>
  <c r="CR89" i="1"/>
  <c r="CQ81" i="1"/>
  <c r="H289" i="5"/>
  <c r="H230" i="5"/>
  <c r="CQ64" i="1"/>
  <c r="P64" i="1" s="1"/>
  <c r="L209" i="5"/>
  <c r="Q209" i="5" s="1"/>
  <c r="L208" i="5"/>
  <c r="CR47" i="1"/>
  <c r="Q47" i="1" s="1"/>
  <c r="K168" i="5" s="1"/>
  <c r="H168" i="5"/>
  <c r="GK35" i="1"/>
  <c r="K122" i="5"/>
  <c r="GK30" i="1"/>
  <c r="K76" i="5"/>
  <c r="E72" i="5"/>
  <c r="C73" i="5"/>
  <c r="GX30" i="1"/>
  <c r="CG120" i="1"/>
  <c r="CG22" i="1" s="1"/>
  <c r="AO120" i="1"/>
  <c r="F124" i="1" s="1"/>
  <c r="CQ116" i="1"/>
  <c r="P116" i="1" s="1"/>
  <c r="W115" i="1"/>
  <c r="S433" i="5"/>
  <c r="U433" i="5"/>
  <c r="T114" i="1"/>
  <c r="U114" i="1"/>
  <c r="AD114" i="1"/>
  <c r="CT111" i="1"/>
  <c r="P110" i="1"/>
  <c r="K409" i="5" s="1"/>
  <c r="C405" i="5"/>
  <c r="E404" i="5"/>
  <c r="L374" i="5"/>
  <c r="Q374" i="5" s="1"/>
  <c r="L373" i="5"/>
  <c r="CT103" i="1"/>
  <c r="S103" i="1" s="1"/>
  <c r="L366" i="5"/>
  <c r="Q366" i="5" s="1"/>
  <c r="L364" i="5"/>
  <c r="CQ102" i="1"/>
  <c r="H361" i="5"/>
  <c r="L344" i="5"/>
  <c r="Q344" i="5" s="1"/>
  <c r="L342" i="5"/>
  <c r="CQ98" i="1"/>
  <c r="P98" i="1" s="1"/>
  <c r="K339" i="5" s="1"/>
  <c r="H339" i="5"/>
  <c r="GX97" i="1"/>
  <c r="CT97" i="1"/>
  <c r="U334" i="5"/>
  <c r="S334" i="5"/>
  <c r="W96" i="1"/>
  <c r="GK95" i="1"/>
  <c r="K320" i="5"/>
  <c r="S312" i="5"/>
  <c r="U312" i="5"/>
  <c r="CT92" i="1"/>
  <c r="S92" i="1" s="1"/>
  <c r="T91" i="1"/>
  <c r="E311" i="5"/>
  <c r="AB90" i="1"/>
  <c r="L315" i="5"/>
  <c r="Q315" i="5" s="1"/>
  <c r="L308" i="5"/>
  <c r="CQ85" i="1"/>
  <c r="AB85" i="1"/>
  <c r="CT83" i="1"/>
  <c r="CY78" i="1"/>
  <c r="X78" i="1" s="1"/>
  <c r="T275" i="5" s="1"/>
  <c r="K277" i="5"/>
  <c r="AB76" i="1"/>
  <c r="H272" i="5"/>
  <c r="W272" i="5" s="1"/>
  <c r="L274" i="5"/>
  <c r="Q274" i="5" s="1"/>
  <c r="L269" i="5"/>
  <c r="U249" i="5"/>
  <c r="S249" i="5"/>
  <c r="H251" i="5"/>
  <c r="CT70" i="1"/>
  <c r="S70" i="1" s="1"/>
  <c r="K251" i="5" s="1"/>
  <c r="AB69" i="1"/>
  <c r="R63" i="1"/>
  <c r="GK63" i="1" s="1"/>
  <c r="U63" i="1"/>
  <c r="Q63" i="1"/>
  <c r="CS62" i="1"/>
  <c r="AD62" i="1"/>
  <c r="CR62" i="1" s="1"/>
  <c r="CQ59" i="1"/>
  <c r="P59" i="1" s="1"/>
  <c r="H220" i="5"/>
  <c r="W220" i="5" s="1"/>
  <c r="U200" i="5"/>
  <c r="H207" i="5" s="1"/>
  <c r="S200" i="5"/>
  <c r="H206" i="5" s="1"/>
  <c r="H202" i="5"/>
  <c r="CT56" i="1"/>
  <c r="S56" i="1" s="1"/>
  <c r="K202" i="5" s="1"/>
  <c r="AD55" i="1"/>
  <c r="CR55" i="1" s="1"/>
  <c r="CS55" i="1"/>
  <c r="GK53" i="1"/>
  <c r="K192" i="5"/>
  <c r="CS51" i="1"/>
  <c r="R51" i="1" s="1"/>
  <c r="GK51" i="1" s="1"/>
  <c r="AD51" i="1"/>
  <c r="CR51" i="1" s="1"/>
  <c r="CQ46" i="1"/>
  <c r="P46" i="1" s="1"/>
  <c r="H163" i="5"/>
  <c r="W163" i="5" s="1"/>
  <c r="H24" i="5"/>
  <c r="S22" i="5"/>
  <c r="H27" i="5" s="1"/>
  <c r="U22" i="5"/>
  <c r="H28" i="5" s="1"/>
  <c r="CT24" i="1"/>
  <c r="S24" i="1" s="1"/>
  <c r="K24" i="5" s="1"/>
  <c r="CT116" i="1"/>
  <c r="CQ115" i="1"/>
  <c r="P115" i="1" s="1"/>
  <c r="CT114" i="1"/>
  <c r="S114" i="1" s="1"/>
  <c r="K426" i="5" s="1"/>
  <c r="U424" i="5"/>
  <c r="S424" i="5"/>
  <c r="H426" i="5"/>
  <c r="R426" i="5" s="1"/>
  <c r="CQ107" i="1"/>
  <c r="H394" i="5"/>
  <c r="X394" i="5" s="1"/>
  <c r="K380" i="5"/>
  <c r="GK100" i="1"/>
  <c r="K349" i="5"/>
  <c r="GK96" i="1"/>
  <c r="K329" i="5"/>
  <c r="H297" i="5"/>
  <c r="W297" i="5" s="1"/>
  <c r="L299" i="5"/>
  <c r="Q299" i="5" s="1"/>
  <c r="L292" i="5"/>
  <c r="CT74" i="1"/>
  <c r="S74" i="1" s="1"/>
  <c r="U237" i="5"/>
  <c r="S237" i="5"/>
  <c r="H239" i="5"/>
  <c r="CT67" i="1"/>
  <c r="S67" i="1" s="1"/>
  <c r="K239" i="5" s="1"/>
  <c r="L177" i="5"/>
  <c r="Q177" i="5" s="1"/>
  <c r="L172" i="5"/>
  <c r="CT33" i="1"/>
  <c r="S33" i="1" s="1"/>
  <c r="K101" i="5" s="1"/>
  <c r="U99" i="5"/>
  <c r="H105" i="5" s="1"/>
  <c r="S99" i="5"/>
  <c r="H104" i="5" s="1"/>
  <c r="H101" i="5"/>
  <c r="L71" i="5"/>
  <c r="Q71" i="5" s="1"/>
  <c r="L70" i="5"/>
  <c r="G22" i="1"/>
  <c r="A440" i="5"/>
  <c r="CP118" i="1"/>
  <c r="H438" i="5"/>
  <c r="CS116" i="1"/>
  <c r="R116" i="1" s="1"/>
  <c r="GK116" i="1" s="1"/>
  <c r="I116" i="1"/>
  <c r="W116" i="1" s="1"/>
  <c r="V115" i="1"/>
  <c r="CS115" i="1"/>
  <c r="R115" i="1" s="1"/>
  <c r="GK115" i="1" s="1"/>
  <c r="AD115" i="1"/>
  <c r="CR115" i="1" s="1"/>
  <c r="Q115" i="1" s="1"/>
  <c r="L423" i="5"/>
  <c r="Q423" i="5" s="1"/>
  <c r="L421" i="5"/>
  <c r="CQ112" i="1"/>
  <c r="P112" i="1" s="1"/>
  <c r="K418" i="5" s="1"/>
  <c r="H418" i="5"/>
  <c r="U110" i="1"/>
  <c r="AD110" i="1"/>
  <c r="CQ108" i="1"/>
  <c r="P108" i="1" s="1"/>
  <c r="K398" i="5" s="1"/>
  <c r="H380" i="5"/>
  <c r="U367" i="5"/>
  <c r="H372" i="5" s="1"/>
  <c r="S367" i="5"/>
  <c r="H371" i="5" s="1"/>
  <c r="H369" i="5"/>
  <c r="CT104" i="1"/>
  <c r="S104" i="1" s="1"/>
  <c r="K369" i="5" s="1"/>
  <c r="AB103" i="1"/>
  <c r="CR103" i="1"/>
  <c r="CS102" i="1"/>
  <c r="R102" i="1" s="1"/>
  <c r="P101" i="1"/>
  <c r="E354" i="5"/>
  <c r="CQ99" i="1"/>
  <c r="CS98" i="1"/>
  <c r="R98" i="1" s="1"/>
  <c r="GK98" i="1" s="1"/>
  <c r="T97" i="1"/>
  <c r="CT94" i="1"/>
  <c r="V92" i="1"/>
  <c r="R91" i="1"/>
  <c r="GK91" i="1" s="1"/>
  <c r="CT89" i="1"/>
  <c r="CT88" i="1"/>
  <c r="U300" i="5"/>
  <c r="S300" i="5"/>
  <c r="H302" i="5"/>
  <c r="R302" i="5" s="1"/>
  <c r="C301" i="5"/>
  <c r="E300" i="5"/>
  <c r="I89" i="1"/>
  <c r="H309" i="5" s="1"/>
  <c r="W309" i="5" s="1"/>
  <c r="AD77" i="1"/>
  <c r="CR77" i="1" s="1"/>
  <c r="Q77" i="1" s="1"/>
  <c r="CS77" i="1"/>
  <c r="R77" i="1" s="1"/>
  <c r="GK77" i="1" s="1"/>
  <c r="GK73" i="1"/>
  <c r="K265" i="5"/>
  <c r="CZ73" i="1"/>
  <c r="Y73" i="1" s="1"/>
  <c r="V261" i="5" s="1"/>
  <c r="K263" i="5"/>
  <c r="Q69" i="1"/>
  <c r="E237" i="5"/>
  <c r="C238" i="5"/>
  <c r="U67" i="1"/>
  <c r="I68" i="1"/>
  <c r="U68" i="1" s="1"/>
  <c r="I69" i="1"/>
  <c r="T63" i="1"/>
  <c r="CT61" i="1"/>
  <c r="U222" i="5"/>
  <c r="S222" i="5"/>
  <c r="AD60" i="1"/>
  <c r="CR60" i="1" s="1"/>
  <c r="Q60" i="1" s="1"/>
  <c r="CS60" i="1"/>
  <c r="R60" i="1" s="1"/>
  <c r="GK60" i="1" s="1"/>
  <c r="GK57" i="1"/>
  <c r="K214" i="5"/>
  <c r="S178" i="5"/>
  <c r="H184" i="5" s="1"/>
  <c r="H180" i="5"/>
  <c r="U178" i="5"/>
  <c r="H185" i="5" s="1"/>
  <c r="CT52" i="1"/>
  <c r="S52" i="1" s="1"/>
  <c r="L164" i="5"/>
  <c r="Q164" i="5" s="1"/>
  <c r="L161" i="5"/>
  <c r="CY43" i="1"/>
  <c r="X43" i="1" s="1"/>
  <c r="T151" i="5" s="1"/>
  <c r="C48" i="5"/>
  <c r="E47" i="5"/>
  <c r="GX27" i="1"/>
  <c r="H422" i="5"/>
  <c r="X422" i="5" s="1"/>
  <c r="H416" i="5"/>
  <c r="U415" i="5"/>
  <c r="S415" i="5"/>
  <c r="H409" i="5"/>
  <c r="W109" i="1"/>
  <c r="U402" i="5"/>
  <c r="S402" i="5"/>
  <c r="AB107" i="1"/>
  <c r="C386" i="5"/>
  <c r="E385" i="5"/>
  <c r="H379" i="5"/>
  <c r="R379" i="5" s="1"/>
  <c r="I103" i="1"/>
  <c r="E365" i="5" s="1"/>
  <c r="C357" i="5"/>
  <c r="E356" i="5"/>
  <c r="H354" i="5"/>
  <c r="X354" i="5" s="1"/>
  <c r="S345" i="5"/>
  <c r="H347" i="5"/>
  <c r="R347" i="5" s="1"/>
  <c r="U345" i="5"/>
  <c r="C346" i="5"/>
  <c r="E345" i="5"/>
  <c r="C337" i="5"/>
  <c r="E336" i="5"/>
  <c r="U96" i="1"/>
  <c r="V96" i="1"/>
  <c r="AD96" i="1"/>
  <c r="H329" i="5"/>
  <c r="R329" i="5" s="1"/>
  <c r="V93" i="1"/>
  <c r="GX92" i="1"/>
  <c r="W91" i="1"/>
  <c r="CQ91" i="1"/>
  <c r="P91" i="1" s="1"/>
  <c r="H311" i="5"/>
  <c r="W311" i="5" s="1"/>
  <c r="U310" i="5"/>
  <c r="V88" i="1"/>
  <c r="AD88" i="1"/>
  <c r="H304" i="5"/>
  <c r="R304" i="5" s="1"/>
  <c r="CT86" i="1"/>
  <c r="S297" i="5"/>
  <c r="CS85" i="1"/>
  <c r="CT82" i="1"/>
  <c r="I84" i="1"/>
  <c r="E295" i="5" s="1"/>
  <c r="C285" i="5"/>
  <c r="E284" i="5"/>
  <c r="CT80" i="1"/>
  <c r="U282" i="5"/>
  <c r="S282" i="5"/>
  <c r="U275" i="5"/>
  <c r="S275" i="5"/>
  <c r="H277" i="5"/>
  <c r="CQ77" i="1"/>
  <c r="H273" i="5"/>
  <c r="W273" i="5" s="1"/>
  <c r="S272" i="5"/>
  <c r="U272" i="5"/>
  <c r="H263" i="5"/>
  <c r="R263" i="5" s="1"/>
  <c r="U261" i="5"/>
  <c r="S261" i="5"/>
  <c r="E261" i="5"/>
  <c r="C262" i="5"/>
  <c r="H258" i="5"/>
  <c r="W258" i="5" s="1"/>
  <c r="V70" i="1"/>
  <c r="C250" i="5"/>
  <c r="E249" i="5"/>
  <c r="R69" i="1"/>
  <c r="GK69" i="1" s="1"/>
  <c r="W68" i="1"/>
  <c r="AB68" i="1"/>
  <c r="H246" i="5"/>
  <c r="W246" i="5" s="1"/>
  <c r="V67" i="1"/>
  <c r="H241" i="5"/>
  <c r="R241" i="5" s="1"/>
  <c r="T65" i="1"/>
  <c r="CQ65" i="1"/>
  <c r="P65" i="1" s="1"/>
  <c r="H234" i="5"/>
  <c r="W234" i="5" s="1"/>
  <c r="P63" i="1"/>
  <c r="H224" i="5"/>
  <c r="W224" i="5" s="1"/>
  <c r="V61" i="1"/>
  <c r="CQ60" i="1"/>
  <c r="U220" i="5"/>
  <c r="S220" i="5"/>
  <c r="U219" i="5"/>
  <c r="CS56" i="1"/>
  <c r="R56" i="1" s="1"/>
  <c r="H204" i="5"/>
  <c r="R204" i="5" s="1"/>
  <c r="U197" i="5"/>
  <c r="CS52" i="1"/>
  <c r="R52" i="1" s="1"/>
  <c r="H182" i="5"/>
  <c r="R182" i="5" s="1"/>
  <c r="C179" i="5"/>
  <c r="E178" i="5"/>
  <c r="CQ50" i="1"/>
  <c r="CT49" i="1"/>
  <c r="S49" i="1" s="1"/>
  <c r="W48" i="1"/>
  <c r="CT48" i="1"/>
  <c r="S48" i="1" s="1"/>
  <c r="CZ48" i="1" s="1"/>
  <c r="Y48" i="1" s="1"/>
  <c r="V173" i="5" s="1"/>
  <c r="U173" i="5"/>
  <c r="S173" i="5"/>
  <c r="CS47" i="1"/>
  <c r="R47" i="1" s="1"/>
  <c r="T47" i="1"/>
  <c r="CS46" i="1"/>
  <c r="R46" i="1" s="1"/>
  <c r="GK46" i="1" s="1"/>
  <c r="V45" i="1"/>
  <c r="E153" i="5"/>
  <c r="C154" i="5"/>
  <c r="CT41" i="1"/>
  <c r="S41" i="1" s="1"/>
  <c r="S141" i="5"/>
  <c r="H143" i="5"/>
  <c r="U141" i="5"/>
  <c r="V39" i="1"/>
  <c r="AB39" i="1"/>
  <c r="CR39" i="1"/>
  <c r="Q39" i="1" s="1"/>
  <c r="W38" i="1"/>
  <c r="U130" i="5"/>
  <c r="S130" i="5"/>
  <c r="H132" i="5"/>
  <c r="CT38" i="1"/>
  <c r="S38" i="1" s="1"/>
  <c r="K132" i="5" s="1"/>
  <c r="L117" i="5"/>
  <c r="Q117" i="5" s="1"/>
  <c r="L116" i="5"/>
  <c r="W30" i="1"/>
  <c r="GK29" i="1"/>
  <c r="K67" i="5"/>
  <c r="L62" i="5"/>
  <c r="Q62" i="5" s="1"/>
  <c r="L61" i="5"/>
  <c r="W27" i="1"/>
  <c r="S47" i="5"/>
  <c r="H52" i="5" s="1"/>
  <c r="U47" i="5"/>
  <c r="H53" i="5" s="1"/>
  <c r="H49" i="5"/>
  <c r="CT27" i="1"/>
  <c r="S27" i="1" s="1"/>
  <c r="K49" i="5" s="1"/>
  <c r="CX6" i="3"/>
  <c r="E31" i="5"/>
  <c r="C32" i="5"/>
  <c r="U115" i="1"/>
  <c r="P114" i="1"/>
  <c r="K429" i="5" s="1"/>
  <c r="H429" i="5"/>
  <c r="GX113" i="1"/>
  <c r="W113" i="1"/>
  <c r="CT113" i="1"/>
  <c r="S113" i="1" s="1"/>
  <c r="U422" i="5"/>
  <c r="S422" i="5"/>
  <c r="AB112" i="1"/>
  <c r="H417" i="5"/>
  <c r="AD111" i="1"/>
  <c r="CR111" i="1" s="1"/>
  <c r="CT110" i="1"/>
  <c r="S110" i="1" s="1"/>
  <c r="K406" i="5" s="1"/>
  <c r="U404" i="5"/>
  <c r="S404" i="5"/>
  <c r="H406" i="5"/>
  <c r="R406" i="5" s="1"/>
  <c r="V109" i="1"/>
  <c r="R109" i="1"/>
  <c r="GK109" i="1" s="1"/>
  <c r="I107" i="1"/>
  <c r="S385" i="5"/>
  <c r="H387" i="5"/>
  <c r="U385" i="5"/>
  <c r="CS105" i="1"/>
  <c r="R105" i="1" s="1"/>
  <c r="U105" i="1"/>
  <c r="AD105" i="1"/>
  <c r="E367" i="5"/>
  <c r="C368" i="5"/>
  <c r="W102" i="1"/>
  <c r="AB102" i="1"/>
  <c r="U356" i="5"/>
  <c r="S356" i="5"/>
  <c r="H358" i="5"/>
  <c r="CT101" i="1"/>
  <c r="U354" i="5"/>
  <c r="S354" i="5"/>
  <c r="CT100" i="1"/>
  <c r="S100" i="1" s="1"/>
  <c r="K347" i="5" s="1"/>
  <c r="AD100" i="1"/>
  <c r="AB100" i="1" s="1"/>
  <c r="H349" i="5"/>
  <c r="R349" i="5" s="1"/>
  <c r="CT99" i="1"/>
  <c r="U343" i="5"/>
  <c r="S343" i="5"/>
  <c r="I99" i="1"/>
  <c r="H343" i="5" s="1"/>
  <c r="X343" i="5" s="1"/>
  <c r="U336" i="5"/>
  <c r="S336" i="5"/>
  <c r="H338" i="5"/>
  <c r="H334" i="5"/>
  <c r="X334" i="5" s="1"/>
  <c r="CQ96" i="1"/>
  <c r="H330" i="5"/>
  <c r="L324" i="5"/>
  <c r="Q324" i="5" s="1"/>
  <c r="L323" i="5"/>
  <c r="AD95" i="1"/>
  <c r="P95" i="1"/>
  <c r="E316" i="5"/>
  <c r="C317" i="5"/>
  <c r="CS93" i="1"/>
  <c r="R93" i="1" s="1"/>
  <c r="GK93" i="1" s="1"/>
  <c r="H313" i="5"/>
  <c r="W313" i="5" s="1"/>
  <c r="CS92" i="1"/>
  <c r="R92" i="1" s="1"/>
  <c r="GK92" i="1" s="1"/>
  <c r="CQ92" i="1"/>
  <c r="P92" i="1" s="1"/>
  <c r="H312" i="5"/>
  <c r="W312" i="5" s="1"/>
  <c r="AB91" i="1"/>
  <c r="S311" i="5"/>
  <c r="U311" i="5"/>
  <c r="CS88" i="1"/>
  <c r="R88" i="1" s="1"/>
  <c r="H305" i="5"/>
  <c r="S296" i="5"/>
  <c r="CT84" i="1"/>
  <c r="AD83" i="1"/>
  <c r="CR83" i="1" s="1"/>
  <c r="W81" i="1"/>
  <c r="S284" i="5"/>
  <c r="H286" i="5"/>
  <c r="U284" i="5"/>
  <c r="V80" i="1"/>
  <c r="CS79" i="1"/>
  <c r="CQ79" i="1"/>
  <c r="GX78" i="1"/>
  <c r="E275" i="5"/>
  <c r="C276" i="5"/>
  <c r="I74" i="1"/>
  <c r="V73" i="1"/>
  <c r="AD73" i="1"/>
  <c r="H265" i="5"/>
  <c r="R265" i="5" s="1"/>
  <c r="CT72" i="1"/>
  <c r="U259" i="5"/>
  <c r="S259" i="5"/>
  <c r="Q72" i="1"/>
  <c r="E259" i="5"/>
  <c r="AD70" i="1"/>
  <c r="AB70" i="1" s="1"/>
  <c r="CQ69" i="1"/>
  <c r="P69" i="1" s="1"/>
  <c r="H247" i="5"/>
  <c r="W247" i="5" s="1"/>
  <c r="U246" i="5"/>
  <c r="S246" i="5"/>
  <c r="H242" i="5"/>
  <c r="GX65" i="1"/>
  <c r="CT64" i="1"/>
  <c r="S64" i="1" s="1"/>
  <c r="H227" i="5"/>
  <c r="U226" i="5"/>
  <c r="S226" i="5"/>
  <c r="W63" i="1"/>
  <c r="AB63" i="1"/>
  <c r="S224" i="5"/>
  <c r="U224" i="5"/>
  <c r="CS61" i="1"/>
  <c r="R61" i="1" s="1"/>
  <c r="GK61" i="1" s="1"/>
  <c r="H222" i="5"/>
  <c r="W222" i="5" s="1"/>
  <c r="L225" i="5"/>
  <c r="Q225" i="5" s="1"/>
  <c r="L218" i="5"/>
  <c r="AD57" i="1"/>
  <c r="C211" i="5"/>
  <c r="E210" i="5"/>
  <c r="AD56" i="1"/>
  <c r="C201" i="5"/>
  <c r="E200" i="5"/>
  <c r="CT53" i="1"/>
  <c r="U188" i="5"/>
  <c r="S188" i="5"/>
  <c r="H190" i="5"/>
  <c r="I55" i="1"/>
  <c r="E198" i="5" s="1"/>
  <c r="E188" i="5"/>
  <c r="C189" i="5"/>
  <c r="CQ52" i="1"/>
  <c r="P52" i="1" s="1"/>
  <c r="K183" i="5" s="1"/>
  <c r="H183" i="5"/>
  <c r="AB51" i="1"/>
  <c r="H176" i="5"/>
  <c r="W176" i="5" s="1"/>
  <c r="U165" i="5"/>
  <c r="S165" i="5"/>
  <c r="H167" i="5"/>
  <c r="R167" i="5" s="1"/>
  <c r="I49" i="1"/>
  <c r="E174" i="5" s="1"/>
  <c r="C166" i="5"/>
  <c r="E165" i="5"/>
  <c r="CT46" i="1"/>
  <c r="S46" i="1" s="1"/>
  <c r="S163" i="5"/>
  <c r="U163" i="5"/>
  <c r="U45" i="1"/>
  <c r="Q45" i="1"/>
  <c r="CS40" i="1"/>
  <c r="AD40" i="1"/>
  <c r="CR40" i="1" s="1"/>
  <c r="H138" i="5"/>
  <c r="W138" i="5" s="1"/>
  <c r="V38" i="1"/>
  <c r="AB34" i="1"/>
  <c r="U108" i="5"/>
  <c r="H115" i="5" s="1"/>
  <c r="S108" i="5"/>
  <c r="H114" i="5" s="1"/>
  <c r="H110" i="5"/>
  <c r="CT34" i="1"/>
  <c r="S34" i="1" s="1"/>
  <c r="K110" i="5" s="1"/>
  <c r="H92" i="5"/>
  <c r="U90" i="5"/>
  <c r="H96" i="5" s="1"/>
  <c r="S90" i="5"/>
  <c r="H95" i="5" s="1"/>
  <c r="CT32" i="1"/>
  <c r="S32" i="1" s="1"/>
  <c r="K92" i="5" s="1"/>
  <c r="V27" i="1"/>
  <c r="L46" i="5"/>
  <c r="Q46" i="5" s="1"/>
  <c r="L45" i="5"/>
  <c r="AB86" i="1"/>
  <c r="AD81" i="1"/>
  <c r="H288" i="5"/>
  <c r="R288" i="5" s="1"/>
  <c r="S273" i="5"/>
  <c r="U273" i="5"/>
  <c r="GX76" i="1"/>
  <c r="E272" i="5"/>
  <c r="CQ75" i="1"/>
  <c r="V74" i="1"/>
  <c r="H270" i="5"/>
  <c r="W270" i="5" s="1"/>
  <c r="CQ73" i="1"/>
  <c r="P73" i="1" s="1"/>
  <c r="K266" i="5" s="1"/>
  <c r="H266" i="5"/>
  <c r="U258" i="5"/>
  <c r="S258" i="5"/>
  <c r="CQ70" i="1"/>
  <c r="P70" i="1" s="1"/>
  <c r="K254" i="5" s="1"/>
  <c r="H254" i="5"/>
  <c r="U69" i="1"/>
  <c r="T69" i="1"/>
  <c r="T68" i="1"/>
  <c r="T67" i="1"/>
  <c r="CQ66" i="1"/>
  <c r="P66" i="1" s="1"/>
  <c r="H235" i="5"/>
  <c r="W235" i="5" s="1"/>
  <c r="S234" i="5"/>
  <c r="U234" i="5"/>
  <c r="AD64" i="1"/>
  <c r="H229" i="5"/>
  <c r="R229" i="5" s="1"/>
  <c r="S63" i="1"/>
  <c r="GX61" i="1"/>
  <c r="P61" i="1"/>
  <c r="U221" i="5"/>
  <c r="S221" i="5"/>
  <c r="GX59" i="1"/>
  <c r="E220" i="5"/>
  <c r="CQ58" i="1"/>
  <c r="S198" i="5"/>
  <c r="AD53" i="1"/>
  <c r="H191" i="5" s="1"/>
  <c r="H192" i="5"/>
  <c r="R192" i="5" s="1"/>
  <c r="U176" i="5"/>
  <c r="S176" i="5"/>
  <c r="H174" i="5"/>
  <c r="W174" i="5" s="1"/>
  <c r="CQ48" i="1"/>
  <c r="P48" i="1" s="1"/>
  <c r="H173" i="5"/>
  <c r="W173" i="5" s="1"/>
  <c r="R45" i="1"/>
  <c r="GK45" i="1" s="1"/>
  <c r="T45" i="1"/>
  <c r="AB45" i="1"/>
  <c r="H162" i="5"/>
  <c r="W162" i="5" s="1"/>
  <c r="K155" i="5"/>
  <c r="CR44" i="1"/>
  <c r="Q44" i="1" s="1"/>
  <c r="K156" i="5" s="1"/>
  <c r="H156" i="5"/>
  <c r="GK41" i="1"/>
  <c r="K145" i="5"/>
  <c r="P39" i="1"/>
  <c r="CT36" i="1"/>
  <c r="CQ35" i="1"/>
  <c r="P35" i="1" s="1"/>
  <c r="K123" i="5" s="1"/>
  <c r="H123" i="5"/>
  <c r="H85" i="5"/>
  <c r="R85" i="5" s="1"/>
  <c r="CS31" i="1"/>
  <c r="R31" i="1" s="1"/>
  <c r="CZ31" i="1" s="1"/>
  <c r="Y31" i="1" s="1"/>
  <c r="V81" i="5" s="1"/>
  <c r="K87" i="5" s="1"/>
  <c r="AD31" i="1"/>
  <c r="T27" i="1"/>
  <c r="E22" i="5"/>
  <c r="C23" i="5"/>
  <c r="CT39" i="1"/>
  <c r="U138" i="5"/>
  <c r="S138" i="5"/>
  <c r="AD38" i="1"/>
  <c r="H134" i="5"/>
  <c r="R134" i="5" s="1"/>
  <c r="CT37" i="1"/>
  <c r="S37" i="1" s="1"/>
  <c r="CY37" i="1" s="1"/>
  <c r="X37" i="1" s="1"/>
  <c r="T128" i="5" s="1"/>
  <c r="U128" i="5"/>
  <c r="S128" i="5"/>
  <c r="H120" i="5"/>
  <c r="U118" i="5"/>
  <c r="S118" i="5"/>
  <c r="AD34" i="1"/>
  <c r="H112" i="5"/>
  <c r="R112" i="5" s="1"/>
  <c r="AD33" i="1"/>
  <c r="H102" i="5" s="1"/>
  <c r="H103" i="5"/>
  <c r="R103" i="5" s="1"/>
  <c r="CS32" i="1"/>
  <c r="R32" i="1" s="1"/>
  <c r="H94" i="5"/>
  <c r="R94" i="5" s="1"/>
  <c r="E90" i="5"/>
  <c r="C91" i="5"/>
  <c r="L89" i="5"/>
  <c r="Q89" i="5" s="1"/>
  <c r="L88" i="5"/>
  <c r="V30" i="1"/>
  <c r="U72" i="5"/>
  <c r="H78" i="5" s="1"/>
  <c r="H74" i="5"/>
  <c r="S72" i="5"/>
  <c r="H77" i="5" s="1"/>
  <c r="C64" i="5"/>
  <c r="E63" i="5"/>
  <c r="CX21" i="3"/>
  <c r="C57" i="5"/>
  <c r="E56" i="5"/>
  <c r="H51" i="5"/>
  <c r="R51" i="5" s="1"/>
  <c r="GK26" i="1"/>
  <c r="K42" i="5"/>
  <c r="E38" i="5"/>
  <c r="C39" i="5"/>
  <c r="W25" i="1"/>
  <c r="CT25" i="1"/>
  <c r="S25" i="1" s="1"/>
  <c r="K33" i="5" s="1"/>
  <c r="H33" i="5"/>
  <c r="S31" i="5"/>
  <c r="H34" i="5" s="1"/>
  <c r="U31" i="5"/>
  <c r="H35" i="5" s="1"/>
  <c r="T24" i="1"/>
  <c r="V24" i="1"/>
  <c r="CS24" i="1"/>
  <c r="R24" i="1" s="1"/>
  <c r="H26" i="5"/>
  <c r="R26" i="5" s="1"/>
  <c r="H155" i="5"/>
  <c r="U153" i="5"/>
  <c r="S153" i="5"/>
  <c r="H159" i="5" s="1"/>
  <c r="CP43" i="1"/>
  <c r="O43" i="1" s="1"/>
  <c r="K151" i="5" s="1"/>
  <c r="AB43" i="1"/>
  <c r="H151" i="5"/>
  <c r="W151" i="5" s="1"/>
  <c r="GX43" i="1"/>
  <c r="E151" i="5"/>
  <c r="CQ42" i="1"/>
  <c r="AD41" i="1"/>
  <c r="AB40" i="1"/>
  <c r="CS38" i="1"/>
  <c r="R38" i="1" s="1"/>
  <c r="CQ36" i="1"/>
  <c r="P36" i="1" s="1"/>
  <c r="V35" i="1"/>
  <c r="E118" i="5"/>
  <c r="C119" i="5"/>
  <c r="CS34" i="1"/>
  <c r="R34" i="1" s="1"/>
  <c r="CQ34" i="1"/>
  <c r="H113" i="5"/>
  <c r="CS33" i="1"/>
  <c r="R33" i="1" s="1"/>
  <c r="K103" i="5" s="1"/>
  <c r="GX32" i="1"/>
  <c r="P32" i="1"/>
  <c r="AB31" i="1"/>
  <c r="U30" i="1"/>
  <c r="AD30" i="1"/>
  <c r="H76" i="5"/>
  <c r="R76" i="5" s="1"/>
  <c r="W29" i="1"/>
  <c r="CT29" i="1"/>
  <c r="S29" i="1" s="1"/>
  <c r="K65" i="5" s="1"/>
  <c r="S63" i="5"/>
  <c r="H68" i="5" s="1"/>
  <c r="U63" i="5"/>
  <c r="H69" i="5" s="1"/>
  <c r="H65" i="5"/>
  <c r="S56" i="5"/>
  <c r="H59" i="5" s="1"/>
  <c r="H58" i="5"/>
  <c r="U56" i="5"/>
  <c r="H60" i="5" s="1"/>
  <c r="CS27" i="1"/>
  <c r="R27" i="1" s="1"/>
  <c r="U27" i="1"/>
  <c r="AD27" i="1"/>
  <c r="V26" i="1"/>
  <c r="H40" i="5"/>
  <c r="U38" i="5"/>
  <c r="H44" i="5" s="1"/>
  <c r="S38" i="5"/>
  <c r="H43" i="5" s="1"/>
  <c r="U25" i="1"/>
  <c r="V25" i="1"/>
  <c r="U24" i="1"/>
  <c r="AD24" i="1"/>
  <c r="V44" i="1"/>
  <c r="CS44" i="1"/>
  <c r="R44" i="1" s="1"/>
  <c r="H157" i="5"/>
  <c r="R157" i="5" s="1"/>
  <c r="U151" i="5"/>
  <c r="S151" i="5"/>
  <c r="L152" i="5"/>
  <c r="Q152" i="5" s="1"/>
  <c r="L149" i="5"/>
  <c r="K146" i="5"/>
  <c r="C142" i="5"/>
  <c r="E141" i="5"/>
  <c r="GX39" i="1"/>
  <c r="U39" i="1"/>
  <c r="T38" i="1"/>
  <c r="H128" i="5"/>
  <c r="W128" i="5" s="1"/>
  <c r="CS36" i="1"/>
  <c r="R36" i="1" s="1"/>
  <c r="GK36" i="1" s="1"/>
  <c r="CT35" i="1"/>
  <c r="S35" i="1" s="1"/>
  <c r="K120" i="5" s="1"/>
  <c r="AD35" i="1"/>
  <c r="C109" i="5"/>
  <c r="E108" i="5"/>
  <c r="P33" i="1"/>
  <c r="E99" i="5"/>
  <c r="C100" i="5"/>
  <c r="U81" i="5"/>
  <c r="H87" i="5" s="1"/>
  <c r="H83" i="5"/>
  <c r="S81" i="5"/>
  <c r="H86" i="5" s="1"/>
  <c r="E81" i="5"/>
  <c r="C82" i="5"/>
  <c r="CT30" i="1"/>
  <c r="S30" i="1" s="1"/>
  <c r="K74" i="5" s="1"/>
  <c r="AB30" i="1"/>
  <c r="AD29" i="1"/>
  <c r="H66" i="5" s="1"/>
  <c r="H67" i="5"/>
  <c r="R67" i="5" s="1"/>
  <c r="V28" i="1"/>
  <c r="Q28" i="1"/>
  <c r="P27" i="1"/>
  <c r="AB27" i="1"/>
  <c r="AD26" i="1"/>
  <c r="H42" i="5"/>
  <c r="R42" i="5" s="1"/>
  <c r="GX24" i="1"/>
  <c r="P24" i="1"/>
  <c r="AB24" i="1"/>
  <c r="AX120" i="1"/>
  <c r="BB120" i="1"/>
  <c r="CY100" i="1"/>
  <c r="X100" i="1" s="1"/>
  <c r="T345" i="5" s="1"/>
  <c r="CZ100" i="1"/>
  <c r="Y100" i="1" s="1"/>
  <c r="V345" i="5" s="1"/>
  <c r="CY96" i="1"/>
  <c r="X96" i="1" s="1"/>
  <c r="T325" i="5" s="1"/>
  <c r="CZ96" i="1"/>
  <c r="Y96" i="1" s="1"/>
  <c r="V325" i="5" s="1"/>
  <c r="CP92" i="1"/>
  <c r="O92" i="1" s="1"/>
  <c r="K312" i="5" s="1"/>
  <c r="CY91" i="1"/>
  <c r="X91" i="1" s="1"/>
  <c r="T311" i="5" s="1"/>
  <c r="BZ22" i="1"/>
  <c r="AQ120" i="1"/>
  <c r="GM118" i="1"/>
  <c r="K438" i="5" s="1"/>
  <c r="J439" i="5" s="1"/>
  <c r="P439" i="5" s="1"/>
  <c r="GN118" i="1"/>
  <c r="CP115" i="1"/>
  <c r="O115" i="1" s="1"/>
  <c r="K433" i="5" s="1"/>
  <c r="CY114" i="1"/>
  <c r="X114" i="1" s="1"/>
  <c r="T424" i="5" s="1"/>
  <c r="CZ114" i="1"/>
  <c r="Y114" i="1" s="1"/>
  <c r="V424" i="5" s="1"/>
  <c r="CY112" i="1"/>
  <c r="X112" i="1" s="1"/>
  <c r="T415" i="5" s="1"/>
  <c r="CZ112" i="1"/>
  <c r="Y112" i="1" s="1"/>
  <c r="V415" i="5" s="1"/>
  <c r="U103" i="1"/>
  <c r="P103" i="1"/>
  <c r="CY102" i="1"/>
  <c r="X102" i="1" s="1"/>
  <c r="T356" i="5" s="1"/>
  <c r="CZ102" i="1"/>
  <c r="Y102" i="1" s="1"/>
  <c r="V356" i="5" s="1"/>
  <c r="AB99" i="1"/>
  <c r="CR99" i="1"/>
  <c r="Q99" i="1" s="1"/>
  <c r="CZ98" i="1"/>
  <c r="Y98" i="1" s="1"/>
  <c r="V336" i="5" s="1"/>
  <c r="P97" i="1"/>
  <c r="U97" i="1"/>
  <c r="Q97" i="1"/>
  <c r="V97" i="1"/>
  <c r="R97" i="1"/>
  <c r="GK97" i="1" s="1"/>
  <c r="GM117" i="1"/>
  <c r="K436" i="5" s="1"/>
  <c r="J437" i="5" s="1"/>
  <c r="P437" i="5" s="1"/>
  <c r="GN117" i="1"/>
  <c r="CP98" i="1"/>
  <c r="O98" i="1" s="1"/>
  <c r="CD22" i="1"/>
  <c r="AU120" i="1"/>
  <c r="AO22" i="1"/>
  <c r="AO152" i="1"/>
  <c r="CP106" i="1"/>
  <c r="O106" i="1" s="1"/>
  <c r="CY104" i="1"/>
  <c r="X104" i="1" s="1"/>
  <c r="T367" i="5" s="1"/>
  <c r="K371" i="5" s="1"/>
  <c r="CZ104" i="1"/>
  <c r="Y104" i="1" s="1"/>
  <c r="V367" i="5" s="1"/>
  <c r="K372" i="5" s="1"/>
  <c r="Q103" i="1"/>
  <c r="V103" i="1"/>
  <c r="R103" i="1"/>
  <c r="GK103" i="1" s="1"/>
  <c r="T103" i="1"/>
  <c r="AB93" i="1"/>
  <c r="CR93" i="1"/>
  <c r="Q93" i="1" s="1"/>
  <c r="CY92" i="1"/>
  <c r="X92" i="1" s="1"/>
  <c r="T312" i="5" s="1"/>
  <c r="CZ92" i="1"/>
  <c r="Y92" i="1" s="1"/>
  <c r="V312" i="5" s="1"/>
  <c r="BY22" i="1"/>
  <c r="CI120" i="1"/>
  <c r="AP120" i="1"/>
  <c r="CL22" i="1"/>
  <c r="BC120" i="1"/>
  <c r="AB116" i="1"/>
  <c r="CP113" i="1"/>
  <c r="O113" i="1" s="1"/>
  <c r="K422" i="5" s="1"/>
  <c r="AB108" i="1"/>
  <c r="AB115" i="1"/>
  <c r="CR112" i="1"/>
  <c r="Q112" i="1" s="1"/>
  <c r="AB111" i="1"/>
  <c r="AD109" i="1"/>
  <c r="CR109" i="1" s="1"/>
  <c r="Q109" i="1" s="1"/>
  <c r="U107" i="1"/>
  <c r="Q107" i="1"/>
  <c r="CZ106" i="1"/>
  <c r="Y106" i="1" s="1"/>
  <c r="V385" i="5" s="1"/>
  <c r="AB106" i="1"/>
  <c r="CR104" i="1"/>
  <c r="Q104" i="1" s="1"/>
  <c r="K370" i="5" s="1"/>
  <c r="P104" i="1"/>
  <c r="W103" i="1"/>
  <c r="CX220" i="3"/>
  <c r="CX224" i="3"/>
  <c r="CX217" i="3"/>
  <c r="CX221" i="3"/>
  <c r="CX225" i="3"/>
  <c r="CX218" i="3"/>
  <c r="CX222" i="3"/>
  <c r="CX226" i="3"/>
  <c r="CX219" i="3"/>
  <c r="CX223" i="3"/>
  <c r="CX227" i="3"/>
  <c r="T98" i="1"/>
  <c r="AB98" i="1"/>
  <c r="P96" i="1"/>
  <c r="T92" i="1"/>
  <c r="AB92" i="1"/>
  <c r="U91" i="1"/>
  <c r="Q91" i="1"/>
  <c r="CP91" i="1" s="1"/>
  <c r="O91" i="1" s="1"/>
  <c r="K311" i="5" s="1"/>
  <c r="P88" i="1"/>
  <c r="K305" i="5" s="1"/>
  <c r="CS87" i="1"/>
  <c r="AD87" i="1"/>
  <c r="CR87" i="1" s="1"/>
  <c r="V84" i="1"/>
  <c r="CY81" i="1"/>
  <c r="X81" i="1" s="1"/>
  <c r="T284" i="5" s="1"/>
  <c r="CZ81" i="1"/>
  <c r="Y81" i="1" s="1"/>
  <c r="V284" i="5" s="1"/>
  <c r="AB114" i="1"/>
  <c r="CX287" i="3"/>
  <c r="CX291" i="3"/>
  <c r="CX290" i="3"/>
  <c r="CX292" i="3"/>
  <c r="CX288" i="3"/>
  <c r="CX293" i="3"/>
  <c r="CX289" i="3"/>
  <c r="W110" i="1"/>
  <c r="CZ109" i="1"/>
  <c r="Y109" i="1" s="1"/>
  <c r="V402" i="5" s="1"/>
  <c r="V107" i="1"/>
  <c r="GX105" i="1"/>
  <c r="AB105" i="1"/>
  <c r="T104" i="1"/>
  <c r="P102" i="1"/>
  <c r="W101" i="1"/>
  <c r="S101" i="1"/>
  <c r="CP101" i="1" s="1"/>
  <c r="O101" i="1" s="1"/>
  <c r="K354" i="5" s="1"/>
  <c r="CX216" i="3"/>
  <c r="CX213" i="3"/>
  <c r="CX214" i="3"/>
  <c r="CX215" i="3"/>
  <c r="T96" i="1"/>
  <c r="W95" i="1"/>
  <c r="S95" i="1"/>
  <c r="K318" i="5" s="1"/>
  <c r="V91" i="1"/>
  <c r="W88" i="1"/>
  <c r="S88" i="1"/>
  <c r="K302" i="5" s="1"/>
  <c r="CQ87" i="1"/>
  <c r="CY77" i="1"/>
  <c r="X77" i="1" s="1"/>
  <c r="T273" i="5" s="1"/>
  <c r="CZ77" i="1"/>
  <c r="Y77" i="1" s="1"/>
  <c r="V273" i="5" s="1"/>
  <c r="CX262" i="3"/>
  <c r="CX263" i="3"/>
  <c r="CX267" i="3"/>
  <c r="CX271" i="3"/>
  <c r="CX268" i="3"/>
  <c r="CX264" i="3"/>
  <c r="CX269" i="3"/>
  <c r="CX265" i="3"/>
  <c r="CX270" i="3"/>
  <c r="CX266" i="3"/>
  <c r="I111" i="1"/>
  <c r="GX107" i="1"/>
  <c r="CZ105" i="1"/>
  <c r="Y105" i="1" s="1"/>
  <c r="CX244" i="3"/>
  <c r="CX245" i="3"/>
  <c r="CX242" i="3"/>
  <c r="CX246" i="3"/>
  <c r="CX243" i="3"/>
  <c r="CX240" i="3"/>
  <c r="CX241" i="3"/>
  <c r="CX239" i="3"/>
  <c r="T102" i="1"/>
  <c r="W99" i="1"/>
  <c r="S99" i="1"/>
  <c r="U99" i="1"/>
  <c r="CX208" i="3"/>
  <c r="CX212" i="3"/>
  <c r="CX209" i="3"/>
  <c r="CX206" i="3"/>
  <c r="CX210" i="3"/>
  <c r="CX207" i="3"/>
  <c r="CX211" i="3"/>
  <c r="CX204" i="3"/>
  <c r="CX205" i="3"/>
  <c r="CX203" i="3"/>
  <c r="W93" i="1"/>
  <c r="S93" i="1"/>
  <c r="U93" i="1"/>
  <c r="GX91" i="1"/>
  <c r="CQ90" i="1"/>
  <c r="CX192" i="3"/>
  <c r="CX196" i="3"/>
  <c r="CX200" i="3"/>
  <c r="CX189" i="3"/>
  <c r="CX193" i="3"/>
  <c r="CX197" i="3"/>
  <c r="CX201" i="3"/>
  <c r="CX190" i="3"/>
  <c r="CX194" i="3"/>
  <c r="CX198" i="3"/>
  <c r="CX202" i="3"/>
  <c r="CX191" i="3"/>
  <c r="CX195" i="3"/>
  <c r="CX199" i="3"/>
  <c r="I90" i="1"/>
  <c r="S310" i="5" s="1"/>
  <c r="I94" i="1"/>
  <c r="E314" i="5" s="1"/>
  <c r="GX84" i="1"/>
  <c r="AB113" i="1"/>
  <c r="CP108" i="1"/>
  <c r="O108" i="1" s="1"/>
  <c r="CX228" i="3"/>
  <c r="CX232" i="3"/>
  <c r="CX236" i="3"/>
  <c r="CX229" i="3"/>
  <c r="CX233" i="3"/>
  <c r="CX237" i="3"/>
  <c r="CX230" i="3"/>
  <c r="CX234" i="3"/>
  <c r="CX238" i="3"/>
  <c r="CX231" i="3"/>
  <c r="CX235" i="3"/>
  <c r="W97" i="1"/>
  <c r="S97" i="1"/>
  <c r="AB97" i="1"/>
  <c r="CZ91" i="1"/>
  <c r="Y91" i="1" s="1"/>
  <c r="V311" i="5" s="1"/>
  <c r="CR84" i="1"/>
  <c r="Q84" i="1" s="1"/>
  <c r="AB84" i="1"/>
  <c r="AB82" i="1"/>
  <c r="CR82" i="1"/>
  <c r="Q82" i="1" s="1"/>
  <c r="CR80" i="1"/>
  <c r="Q80" i="1" s="1"/>
  <c r="AB80" i="1"/>
  <c r="CX248" i="3"/>
  <c r="CX252" i="3"/>
  <c r="CX249" i="3"/>
  <c r="CX253" i="3"/>
  <c r="CX250" i="3"/>
  <c r="CX254" i="3"/>
  <c r="CX247" i="3"/>
  <c r="CX251" i="3"/>
  <c r="CX255" i="3"/>
  <c r="I86" i="1"/>
  <c r="U297" i="5" s="1"/>
  <c r="AB83" i="1"/>
  <c r="T81" i="1"/>
  <c r="AB81" i="1"/>
  <c r="W80" i="1"/>
  <c r="S80" i="1"/>
  <c r="AB78" i="1"/>
  <c r="T77" i="1"/>
  <c r="AB77" i="1"/>
  <c r="CQ76" i="1"/>
  <c r="P76" i="1" s="1"/>
  <c r="U76" i="1"/>
  <c r="Q76" i="1"/>
  <c r="U71" i="1"/>
  <c r="CQ68" i="1"/>
  <c r="P68" i="1" s="1"/>
  <c r="CT66" i="1"/>
  <c r="S66" i="1" s="1"/>
  <c r="AD65" i="1"/>
  <c r="CR65" i="1" s="1"/>
  <c r="Q65" i="1" s="1"/>
  <c r="CP65" i="1" s="1"/>
  <c r="O65" i="1" s="1"/>
  <c r="K234" i="5" s="1"/>
  <c r="P58" i="1"/>
  <c r="AB53" i="1"/>
  <c r="CR53" i="1"/>
  <c r="Q53" i="1" s="1"/>
  <c r="K191" i="5" s="1"/>
  <c r="CX176" i="3"/>
  <c r="CX180" i="3"/>
  <c r="CX184" i="3"/>
  <c r="CX188" i="3"/>
  <c r="CX177" i="3"/>
  <c r="CX181" i="3"/>
  <c r="CX185" i="3"/>
  <c r="CX174" i="3"/>
  <c r="CX178" i="3"/>
  <c r="CX182" i="3"/>
  <c r="CX186" i="3"/>
  <c r="CX175" i="3"/>
  <c r="CX179" i="3"/>
  <c r="CX183" i="3"/>
  <c r="CX187" i="3"/>
  <c r="I83" i="1"/>
  <c r="U294" i="5" s="1"/>
  <c r="I87" i="1"/>
  <c r="U298" i="5" s="1"/>
  <c r="CZ78" i="1"/>
  <c r="Y78" i="1" s="1"/>
  <c r="V275" i="5" s="1"/>
  <c r="CX172" i="3"/>
  <c r="CX173" i="3"/>
  <c r="CX171" i="3"/>
  <c r="AB74" i="1"/>
  <c r="CS67" i="1"/>
  <c r="R67" i="1" s="1"/>
  <c r="AD67" i="1"/>
  <c r="AB65" i="1"/>
  <c r="CY65" i="1"/>
  <c r="X65" i="1" s="1"/>
  <c r="T234" i="5" s="1"/>
  <c r="CZ64" i="1"/>
  <c r="Y64" i="1" s="1"/>
  <c r="CY60" i="1"/>
  <c r="X60" i="1" s="1"/>
  <c r="T221" i="5" s="1"/>
  <c r="CZ60" i="1"/>
  <c r="Y60" i="1" s="1"/>
  <c r="V221" i="5" s="1"/>
  <c r="GX87" i="1"/>
  <c r="I85" i="1"/>
  <c r="V83" i="1"/>
  <c r="T79" i="1"/>
  <c r="AB79" i="1"/>
  <c r="U78" i="1"/>
  <c r="Q78" i="1"/>
  <c r="CP78" i="1" s="1"/>
  <c r="O78" i="1" s="1"/>
  <c r="AD75" i="1"/>
  <c r="CR75" i="1" s="1"/>
  <c r="CR73" i="1"/>
  <c r="Q73" i="1" s="1"/>
  <c r="CX160" i="3"/>
  <c r="CX164" i="3"/>
  <c r="CX168" i="3"/>
  <c r="CX161" i="3"/>
  <c r="CX165" i="3"/>
  <c r="CX169" i="3"/>
  <c r="CX162" i="3"/>
  <c r="CX166" i="3"/>
  <c r="CX170" i="3"/>
  <c r="CX163" i="3"/>
  <c r="CX167" i="3"/>
  <c r="I75" i="1"/>
  <c r="E271" i="5" s="1"/>
  <c r="AB72" i="1"/>
  <c r="T72" i="1"/>
  <c r="GX71" i="1"/>
  <c r="CS71" i="1"/>
  <c r="R71" i="1" s="1"/>
  <c r="GK71" i="1" s="1"/>
  <c r="CQ71" i="1"/>
  <c r="P71" i="1" s="1"/>
  <c r="CP71" i="1" s="1"/>
  <c r="O71" i="1" s="1"/>
  <c r="K258" i="5" s="1"/>
  <c r="AB71" i="1"/>
  <c r="GX70" i="1"/>
  <c r="W70" i="1"/>
  <c r="R70" i="1"/>
  <c r="AB67" i="1"/>
  <c r="CQ67" i="1"/>
  <c r="P67" i="1" s="1"/>
  <c r="CZ65" i="1"/>
  <c r="Y65" i="1" s="1"/>
  <c r="V234" i="5" s="1"/>
  <c r="AB64" i="1"/>
  <c r="CR61" i="1"/>
  <c r="Q61" i="1" s="1"/>
  <c r="AB61" i="1"/>
  <c r="W58" i="1"/>
  <c r="W86" i="1"/>
  <c r="S86" i="1"/>
  <c r="I82" i="1"/>
  <c r="P81" i="1"/>
  <c r="I79" i="1"/>
  <c r="S281" i="5" s="1"/>
  <c r="V78" i="1"/>
  <c r="P77" i="1"/>
  <c r="CP77" i="1" s="1"/>
  <c r="O77" i="1" s="1"/>
  <c r="K273" i="5" s="1"/>
  <c r="CZ76" i="1"/>
  <c r="Y76" i="1" s="1"/>
  <c r="V272" i="5" s="1"/>
  <c r="CY73" i="1"/>
  <c r="X73" i="1" s="1"/>
  <c r="T261" i="5" s="1"/>
  <c r="W72" i="1"/>
  <c r="S72" i="1"/>
  <c r="CP72" i="1" s="1"/>
  <c r="O72" i="1" s="1"/>
  <c r="K259" i="5" s="1"/>
  <c r="CX152" i="3"/>
  <c r="CX156" i="3"/>
  <c r="CX149" i="3"/>
  <c r="CX153" i="3"/>
  <c r="CX157" i="3"/>
  <c r="CX150" i="3"/>
  <c r="CX154" i="3"/>
  <c r="CX158" i="3"/>
  <c r="CX151" i="3"/>
  <c r="CX155" i="3"/>
  <c r="CX159" i="3"/>
  <c r="CY56" i="1"/>
  <c r="X56" i="1" s="1"/>
  <c r="T200" i="5" s="1"/>
  <c r="K206" i="5" s="1"/>
  <c r="CZ56" i="1"/>
  <c r="Y56" i="1" s="1"/>
  <c r="V200" i="5" s="1"/>
  <c r="K207" i="5" s="1"/>
  <c r="R55" i="1"/>
  <c r="GK55" i="1" s="1"/>
  <c r="T71" i="1"/>
  <c r="U70" i="1"/>
  <c r="U66" i="1"/>
  <c r="Q66" i="1"/>
  <c r="CP66" i="1" s="1"/>
  <c r="O66" i="1" s="1"/>
  <c r="K235" i="5" s="1"/>
  <c r="W61" i="1"/>
  <c r="S61" i="1"/>
  <c r="AB59" i="1"/>
  <c r="AD58" i="1"/>
  <c r="CR58" i="1" s="1"/>
  <c r="CX116" i="3"/>
  <c r="CX120" i="3"/>
  <c r="CX124" i="3"/>
  <c r="CX117" i="3"/>
  <c r="CX121" i="3"/>
  <c r="CX125" i="3"/>
  <c r="CX118" i="3"/>
  <c r="CX122" i="3"/>
  <c r="CX126" i="3"/>
  <c r="CX119" i="3"/>
  <c r="CX123" i="3"/>
  <c r="I58" i="1"/>
  <c r="E219" i="5" s="1"/>
  <c r="I62" i="1"/>
  <c r="E223" i="5" s="1"/>
  <c r="AB54" i="1"/>
  <c r="AD52" i="1"/>
  <c r="CQ51" i="1"/>
  <c r="P51" i="1" s="1"/>
  <c r="U51" i="1"/>
  <c r="Q51" i="1"/>
  <c r="CR46" i="1"/>
  <c r="Q46" i="1" s="1"/>
  <c r="CP46" i="1" s="1"/>
  <c r="O46" i="1" s="1"/>
  <c r="K163" i="5" s="1"/>
  <c r="AB46" i="1"/>
  <c r="R39" i="1"/>
  <c r="GK39" i="1" s="1"/>
  <c r="T39" i="1"/>
  <c r="P60" i="1"/>
  <c r="CP60" i="1" s="1"/>
  <c r="O60" i="1" s="1"/>
  <c r="K221" i="5" s="1"/>
  <c r="CZ59" i="1"/>
  <c r="Y59" i="1" s="1"/>
  <c r="V220" i="5" s="1"/>
  <c r="AB58" i="1"/>
  <c r="Q55" i="1"/>
  <c r="AB47" i="1"/>
  <c r="CQ47" i="1"/>
  <c r="P47" i="1" s="1"/>
  <c r="CP47" i="1" s="1"/>
  <c r="O47" i="1" s="1"/>
  <c r="CY38" i="1"/>
  <c r="X38" i="1" s="1"/>
  <c r="T130" i="5" s="1"/>
  <c r="AB33" i="1"/>
  <c r="CR33" i="1"/>
  <c r="Q33" i="1" s="1"/>
  <c r="K102" i="5" s="1"/>
  <c r="AB62" i="1"/>
  <c r="T60" i="1"/>
  <c r="U59" i="1"/>
  <c r="Q59" i="1"/>
  <c r="CP59" i="1" s="1"/>
  <c r="O59" i="1" s="1"/>
  <c r="K220" i="5" s="1"/>
  <c r="AB56" i="1"/>
  <c r="W53" i="1"/>
  <c r="S53" i="1"/>
  <c r="K190" i="5" s="1"/>
  <c r="AD50" i="1"/>
  <c r="CR50" i="1" s="1"/>
  <c r="AD49" i="1"/>
  <c r="AB48" i="1"/>
  <c r="AB37" i="1"/>
  <c r="CR37" i="1"/>
  <c r="Q37" i="1" s="1"/>
  <c r="CP37" i="1" s="1"/>
  <c r="O37" i="1" s="1"/>
  <c r="K128" i="5" s="1"/>
  <c r="CZ33" i="1"/>
  <c r="Y33" i="1" s="1"/>
  <c r="V99" i="5" s="1"/>
  <c r="K105" i="5" s="1"/>
  <c r="V58" i="1"/>
  <c r="R58" i="1"/>
  <c r="GK58" i="1" s="1"/>
  <c r="AB55" i="1"/>
  <c r="CX100" i="3"/>
  <c r="CX104" i="3"/>
  <c r="CX101" i="3"/>
  <c r="CX98" i="3"/>
  <c r="CX102" i="3"/>
  <c r="CX99" i="3"/>
  <c r="CX103" i="3"/>
  <c r="I54" i="1"/>
  <c r="CZ51" i="1"/>
  <c r="Y51" i="1" s="1"/>
  <c r="V176" i="5" s="1"/>
  <c r="AB50" i="1"/>
  <c r="CY48" i="1"/>
  <c r="X48" i="1" s="1"/>
  <c r="T173" i="5" s="1"/>
  <c r="CY47" i="1"/>
  <c r="X47" i="1" s="1"/>
  <c r="T165" i="5" s="1"/>
  <c r="CZ47" i="1"/>
  <c r="Y47" i="1" s="1"/>
  <c r="V165" i="5" s="1"/>
  <c r="CZ46" i="1"/>
  <c r="Y46" i="1" s="1"/>
  <c r="V163" i="5" s="1"/>
  <c r="CY46" i="1"/>
  <c r="X46" i="1" s="1"/>
  <c r="T163" i="5" s="1"/>
  <c r="CY45" i="1"/>
  <c r="X45" i="1" s="1"/>
  <c r="T162" i="5" s="1"/>
  <c r="CZ45" i="1"/>
  <c r="Y45" i="1" s="1"/>
  <c r="V162" i="5" s="1"/>
  <c r="GK37" i="1"/>
  <c r="CZ37" i="1"/>
  <c r="Y37" i="1" s="1"/>
  <c r="V128" i="5" s="1"/>
  <c r="CZ35" i="1"/>
  <c r="Y35" i="1" s="1"/>
  <c r="V118" i="5" s="1"/>
  <c r="CY35" i="1"/>
  <c r="X35" i="1" s="1"/>
  <c r="T118" i="5" s="1"/>
  <c r="CP33" i="1"/>
  <c r="O33" i="1" s="1"/>
  <c r="CZ32" i="1"/>
  <c r="Y32" i="1" s="1"/>
  <c r="V90" i="5" s="1"/>
  <c r="K96" i="5" s="1"/>
  <c r="CX140" i="3"/>
  <c r="CX144" i="3"/>
  <c r="CX148" i="3"/>
  <c r="CX137" i="3"/>
  <c r="CX141" i="3"/>
  <c r="CX145" i="3"/>
  <c r="CX138" i="3"/>
  <c r="CX142" i="3"/>
  <c r="CX146" i="3"/>
  <c r="CX139" i="3"/>
  <c r="CX143" i="3"/>
  <c r="CX147" i="3"/>
  <c r="CX108" i="3"/>
  <c r="CX112" i="3"/>
  <c r="CX105" i="3"/>
  <c r="CX109" i="3"/>
  <c r="CX113" i="3"/>
  <c r="CX106" i="3"/>
  <c r="CX110" i="3"/>
  <c r="CX114" i="3"/>
  <c r="CX107" i="3"/>
  <c r="CX111" i="3"/>
  <c r="CX115" i="3"/>
  <c r="CX96" i="3"/>
  <c r="CX93" i="3"/>
  <c r="CX97" i="3"/>
  <c r="CX94" i="3"/>
  <c r="CX95" i="3"/>
  <c r="I50" i="1"/>
  <c r="E175" i="5" s="1"/>
  <c r="AD42" i="1"/>
  <c r="CR42" i="1" s="1"/>
  <c r="CX68" i="3"/>
  <c r="CX72" i="3"/>
  <c r="CX65" i="3"/>
  <c r="CX69" i="3"/>
  <c r="CX66" i="3"/>
  <c r="CX70" i="3"/>
  <c r="CX67" i="3"/>
  <c r="CX71" i="3"/>
  <c r="I42" i="1"/>
  <c r="W39" i="1"/>
  <c r="S39" i="1"/>
  <c r="AB36" i="1"/>
  <c r="U35" i="1"/>
  <c r="AD32" i="1"/>
  <c r="CQ31" i="1"/>
  <c r="P31" i="1" s="1"/>
  <c r="CZ28" i="1"/>
  <c r="Y28" i="1" s="1"/>
  <c r="V56" i="5" s="1"/>
  <c r="K60" i="5" s="1"/>
  <c r="AB28" i="1"/>
  <c r="CZ26" i="1"/>
  <c r="Y26" i="1" s="1"/>
  <c r="V38" i="5" s="1"/>
  <c r="K44" i="5" s="1"/>
  <c r="CY26" i="1"/>
  <c r="X26" i="1" s="1"/>
  <c r="T38" i="5" s="1"/>
  <c r="K43" i="5" s="1"/>
  <c r="AB26" i="1"/>
  <c r="CQ45" i="1"/>
  <c r="P45" i="1" s="1"/>
  <c r="CP45" i="1" s="1"/>
  <c r="O45" i="1" s="1"/>
  <c r="K162" i="5" s="1"/>
  <c r="CZ43" i="1"/>
  <c r="Y43" i="1" s="1"/>
  <c r="AB42" i="1"/>
  <c r="CQ40" i="1"/>
  <c r="P38" i="1"/>
  <c r="I36" i="1"/>
  <c r="U127" i="5" s="1"/>
  <c r="P34" i="1"/>
  <c r="AB32" i="1"/>
  <c r="CP28" i="1"/>
  <c r="O28" i="1" s="1"/>
  <c r="CY27" i="1"/>
  <c r="X27" i="1" s="1"/>
  <c r="CZ27" i="1"/>
  <c r="Y27" i="1" s="1"/>
  <c r="V47" i="5" s="1"/>
  <c r="K53" i="5" s="1"/>
  <c r="CZ25" i="1"/>
  <c r="Y25" i="1" s="1"/>
  <c r="V31" i="5" s="1"/>
  <c r="K35" i="5" s="1"/>
  <c r="U33" i="1"/>
  <c r="CZ30" i="1"/>
  <c r="Y30" i="1" s="1"/>
  <c r="V72" i="5" s="1"/>
  <c r="K78" i="5" s="1"/>
  <c r="CY30" i="1"/>
  <c r="X30" i="1" s="1"/>
  <c r="T72" i="5" s="1"/>
  <c r="K77" i="5" s="1"/>
  <c r="CR25" i="1"/>
  <c r="Q25" i="1" s="1"/>
  <c r="CP25" i="1" s="1"/>
  <c r="O25" i="1" s="1"/>
  <c r="AB25" i="1"/>
  <c r="CX88" i="3"/>
  <c r="CX92" i="3"/>
  <c r="CX85" i="3"/>
  <c r="CX89" i="3"/>
  <c r="CX86" i="3"/>
  <c r="CX90" i="3"/>
  <c r="CX87" i="3"/>
  <c r="CX91" i="3"/>
  <c r="AB44" i="1"/>
  <c r="V42" i="1"/>
  <c r="GX40" i="1"/>
  <c r="CX60" i="3"/>
  <c r="CX64" i="3"/>
  <c r="CX61" i="3"/>
  <c r="CX62" i="3"/>
  <c r="CX59" i="3"/>
  <c r="CX63" i="3"/>
  <c r="I40" i="1"/>
  <c r="E139" i="5" s="1"/>
  <c r="CX52" i="3"/>
  <c r="CX56" i="3"/>
  <c r="CX53" i="3"/>
  <c r="CX57" i="3"/>
  <c r="CX54" i="3"/>
  <c r="CX58" i="3"/>
  <c r="CX55" i="3"/>
  <c r="CX44" i="3"/>
  <c r="CX48" i="3"/>
  <c r="CX45" i="3"/>
  <c r="CX49" i="3"/>
  <c r="CX46" i="3"/>
  <c r="CX50" i="3"/>
  <c r="CX47" i="3"/>
  <c r="CX51" i="3"/>
  <c r="CX41" i="3"/>
  <c r="CX42" i="3"/>
  <c r="CX43" i="3"/>
  <c r="CR29" i="1"/>
  <c r="Q29" i="1" s="1"/>
  <c r="AB29" i="1"/>
  <c r="CX76" i="3"/>
  <c r="CX80" i="3"/>
  <c r="CX84" i="3"/>
  <c r="CX73" i="3"/>
  <c r="CX77" i="3"/>
  <c r="CX81" i="3"/>
  <c r="CX74" i="3"/>
  <c r="CX78" i="3"/>
  <c r="CX82" i="3"/>
  <c r="CX75" i="3"/>
  <c r="CX79" i="3"/>
  <c r="CX83" i="3"/>
  <c r="CX36" i="3"/>
  <c r="CX40" i="3"/>
  <c r="CX37" i="3"/>
  <c r="CX34" i="3"/>
  <c r="CX38" i="3"/>
  <c r="CX35" i="3"/>
  <c r="CX39" i="3"/>
  <c r="CQ30" i="1"/>
  <c r="P30" i="1" s="1"/>
  <c r="CS28" i="1"/>
  <c r="R28" i="1" s="1"/>
  <c r="GK28" i="1" s="1"/>
  <c r="CQ26" i="1"/>
  <c r="P26" i="1" s="1"/>
  <c r="CX4" i="3"/>
  <c r="CX1" i="3"/>
  <c r="CX5" i="3"/>
  <c r="CX2" i="3"/>
  <c r="CX3" i="3"/>
  <c r="CX24" i="3"/>
  <c r="CX22" i="3"/>
  <c r="CX23" i="3"/>
  <c r="CS25" i="1"/>
  <c r="R25" i="1" s="1"/>
  <c r="CY25" i="1" s="1"/>
  <c r="X25" i="1" s="1"/>
  <c r="T31" i="5" s="1"/>
  <c r="K34" i="5" s="1"/>
  <c r="CX28" i="3"/>
  <c r="CX25" i="3"/>
  <c r="CX29" i="3"/>
  <c r="CX26" i="3"/>
  <c r="CX27" i="3"/>
  <c r="CX8" i="3"/>
  <c r="CX9" i="3"/>
  <c r="CX7" i="3"/>
  <c r="CX32" i="3"/>
  <c r="CX33" i="3"/>
  <c r="CX30" i="3"/>
  <c r="CX31" i="3"/>
  <c r="CX12" i="3"/>
  <c r="CX16" i="3"/>
  <c r="CX20" i="3"/>
  <c r="CX13" i="3"/>
  <c r="CX17" i="3"/>
  <c r="CX10" i="3"/>
  <c r="CX14" i="3"/>
  <c r="CX18" i="3"/>
  <c r="CX11" i="3"/>
  <c r="CX15" i="3"/>
  <c r="CX19" i="3"/>
  <c r="H160" i="5" l="1"/>
  <c r="H399" i="5"/>
  <c r="H148" i="5"/>
  <c r="H332" i="5"/>
  <c r="U111" i="1"/>
  <c r="E413" i="5"/>
  <c r="L29" i="5"/>
  <c r="L30" i="5"/>
  <c r="Q30" i="5" s="1"/>
  <c r="H133" i="5"/>
  <c r="CR38" i="1"/>
  <c r="Q38" i="1" s="1"/>
  <c r="K133" i="5" s="1"/>
  <c r="H294" i="5"/>
  <c r="W294" i="5" s="1"/>
  <c r="GK88" i="1"/>
  <c r="K304" i="5"/>
  <c r="R338" i="5"/>
  <c r="R277" i="5"/>
  <c r="AB96" i="1"/>
  <c r="H328" i="5"/>
  <c r="U309" i="5"/>
  <c r="AB110" i="1"/>
  <c r="H407" i="5"/>
  <c r="CR110" i="1"/>
  <c r="Q110" i="1" s="1"/>
  <c r="K407" i="5" s="1"/>
  <c r="CZ74" i="1"/>
  <c r="Y74" i="1" s="1"/>
  <c r="V270" i="5" s="1"/>
  <c r="R89" i="1"/>
  <c r="GK89" i="1" s="1"/>
  <c r="R377" i="5"/>
  <c r="L129" i="5"/>
  <c r="Q129" i="5" s="1"/>
  <c r="L126" i="5"/>
  <c r="R42" i="1"/>
  <c r="GK42" i="1" s="1"/>
  <c r="E150" i="5"/>
  <c r="CY32" i="1"/>
  <c r="X32" i="1" s="1"/>
  <c r="T90" i="5" s="1"/>
  <c r="K95" i="5" s="1"/>
  <c r="CY33" i="1"/>
  <c r="X33" i="1" s="1"/>
  <c r="T99" i="5" s="1"/>
  <c r="K104" i="5" s="1"/>
  <c r="CY31" i="1"/>
  <c r="X31" i="1" s="1"/>
  <c r="T81" i="5" s="1"/>
  <c r="K86" i="5" s="1"/>
  <c r="CZ34" i="1"/>
  <c r="Y34" i="1" s="1"/>
  <c r="V108" i="5" s="1"/>
  <c r="K115" i="5" s="1"/>
  <c r="U55" i="1"/>
  <c r="GX55" i="1"/>
  <c r="T82" i="1"/>
  <c r="E293" i="5"/>
  <c r="K242" i="5"/>
  <c r="Q75" i="1"/>
  <c r="GX85" i="1"/>
  <c r="E296" i="5"/>
  <c r="R75" i="1"/>
  <c r="GK75" i="1" s="1"/>
  <c r="T58" i="1"/>
  <c r="CZ71" i="1"/>
  <c r="Y71" i="1" s="1"/>
  <c r="V258" i="5" s="1"/>
  <c r="T84" i="1"/>
  <c r="P82" i="1"/>
  <c r="AB94" i="1"/>
  <c r="CP109" i="1"/>
  <c r="O109" i="1" s="1"/>
  <c r="K402" i="5" s="1"/>
  <c r="CY98" i="1"/>
  <c r="X98" i="1" s="1"/>
  <c r="T336" i="5" s="1"/>
  <c r="CZ115" i="1"/>
  <c r="Y115" i="1" s="1"/>
  <c r="V433" i="5" s="1"/>
  <c r="CP27" i="1"/>
  <c r="O27" i="1" s="1"/>
  <c r="GN27" i="1" s="1"/>
  <c r="K157" i="5"/>
  <c r="CZ44" i="1"/>
  <c r="Y44" i="1" s="1"/>
  <c r="V153" i="5" s="1"/>
  <c r="K160" i="5" s="1"/>
  <c r="GK44" i="1"/>
  <c r="R40" i="5"/>
  <c r="GK27" i="1"/>
  <c r="K51" i="5"/>
  <c r="G71" i="5"/>
  <c r="O71" i="5" s="1"/>
  <c r="R65" i="5"/>
  <c r="W71" i="5"/>
  <c r="GK38" i="1"/>
  <c r="K134" i="5"/>
  <c r="H150" i="5"/>
  <c r="W150" i="5" s="1"/>
  <c r="R33" i="5"/>
  <c r="W37" i="5"/>
  <c r="G37" i="5"/>
  <c r="O37" i="5" s="1"/>
  <c r="H125" i="5"/>
  <c r="S127" i="5"/>
  <c r="CY44" i="1"/>
  <c r="X44" i="1" s="1"/>
  <c r="T153" i="5" s="1"/>
  <c r="K159" i="5" s="1"/>
  <c r="U49" i="1"/>
  <c r="U198" i="5"/>
  <c r="U84" i="1"/>
  <c r="R110" i="5"/>
  <c r="V49" i="1"/>
  <c r="R190" i="5"/>
  <c r="H198" i="5"/>
  <c r="W198" i="5" s="1"/>
  <c r="CR56" i="1"/>
  <c r="Q56" i="1" s="1"/>
  <c r="H203" i="5"/>
  <c r="H223" i="5"/>
  <c r="W223" i="5" s="1"/>
  <c r="CY64" i="1"/>
  <c r="X64" i="1" s="1"/>
  <c r="T226" i="5" s="1"/>
  <c r="K227" i="5"/>
  <c r="E270" i="5"/>
  <c r="R74" i="1"/>
  <c r="GK74" i="1" s="1"/>
  <c r="GX74" i="1"/>
  <c r="U296" i="5"/>
  <c r="H340" i="5"/>
  <c r="R358" i="5"/>
  <c r="L384" i="5"/>
  <c r="Q384" i="5" s="1"/>
  <c r="L383" i="5"/>
  <c r="R132" i="5"/>
  <c r="R143" i="5"/>
  <c r="K169" i="5"/>
  <c r="GK47" i="1"/>
  <c r="H175" i="5"/>
  <c r="W175" i="5" s="1"/>
  <c r="H278" i="5"/>
  <c r="S293" i="5"/>
  <c r="U295" i="5"/>
  <c r="H351" i="5"/>
  <c r="H419" i="5"/>
  <c r="R180" i="5"/>
  <c r="E247" i="5"/>
  <c r="V69" i="1"/>
  <c r="P74" i="1"/>
  <c r="CP74" i="1" s="1"/>
  <c r="O74" i="1" s="1"/>
  <c r="K270" i="5" s="1"/>
  <c r="U314" i="5"/>
  <c r="H307" i="5" s="1"/>
  <c r="J374" i="5"/>
  <c r="P374" i="5" s="1"/>
  <c r="L414" i="5"/>
  <c r="Q414" i="5" s="1"/>
  <c r="L412" i="5"/>
  <c r="G439" i="5"/>
  <c r="O439" i="5" s="1"/>
  <c r="W439" i="5"/>
  <c r="W74" i="1"/>
  <c r="P107" i="1"/>
  <c r="U434" i="5"/>
  <c r="H431" i="5" s="1"/>
  <c r="S247" i="5"/>
  <c r="R251" i="5"/>
  <c r="H295" i="5"/>
  <c r="W295" i="5" s="1"/>
  <c r="V99" i="1"/>
  <c r="CR114" i="1"/>
  <c r="Q114" i="1" s="1"/>
  <c r="H427" i="5"/>
  <c r="U116" i="1"/>
  <c r="CY51" i="1"/>
  <c r="X51" i="1" s="1"/>
  <c r="T176" i="5" s="1"/>
  <c r="T49" i="1"/>
  <c r="R327" i="5"/>
  <c r="H359" i="5"/>
  <c r="CR102" i="1"/>
  <c r="Q102" i="1" s="1"/>
  <c r="K359" i="5" s="1"/>
  <c r="CY105" i="1"/>
  <c r="X105" i="1" s="1"/>
  <c r="T375" i="5" s="1"/>
  <c r="K381" i="5" s="1"/>
  <c r="K377" i="5"/>
  <c r="GK114" i="1"/>
  <c r="K428" i="5"/>
  <c r="CP44" i="1"/>
  <c r="O44" i="1" s="1"/>
  <c r="K158" i="5"/>
  <c r="H400" i="5"/>
  <c r="X403" i="5" s="1"/>
  <c r="K289" i="5"/>
  <c r="V226" i="5"/>
  <c r="L55" i="5"/>
  <c r="Q55" i="5" s="1"/>
  <c r="L54" i="5"/>
  <c r="L80" i="5"/>
  <c r="Q80" i="5" s="1"/>
  <c r="L79" i="5"/>
  <c r="GK24" i="1"/>
  <c r="K26" i="5"/>
  <c r="H124" i="5"/>
  <c r="CZ63" i="1"/>
  <c r="Y63" i="1" s="1"/>
  <c r="V224" i="5" s="1"/>
  <c r="CY63" i="1"/>
  <c r="X63" i="1" s="1"/>
  <c r="T224" i="5" s="1"/>
  <c r="R49" i="1"/>
  <c r="GK49" i="1" s="1"/>
  <c r="R227" i="5"/>
  <c r="H348" i="5"/>
  <c r="CR100" i="1"/>
  <c r="Q100" i="1" s="1"/>
  <c r="CR105" i="1"/>
  <c r="Q105" i="1" s="1"/>
  <c r="H378" i="5"/>
  <c r="G384" i="5" s="1"/>
  <c r="O384" i="5" s="1"/>
  <c r="R49" i="5"/>
  <c r="S295" i="5"/>
  <c r="CR88" i="1"/>
  <c r="Q88" i="1" s="1"/>
  <c r="K303" i="5" s="1"/>
  <c r="H303" i="5"/>
  <c r="P89" i="1"/>
  <c r="E309" i="5"/>
  <c r="V55" i="1"/>
  <c r="S413" i="5"/>
  <c r="H410" i="5" s="1"/>
  <c r="CZ24" i="1"/>
  <c r="Y24" i="1" s="1"/>
  <c r="V22" i="5" s="1"/>
  <c r="K28" i="5" s="1"/>
  <c r="CZ29" i="1"/>
  <c r="Y29" i="1" s="1"/>
  <c r="V63" i="5" s="1"/>
  <c r="K69" i="5" s="1"/>
  <c r="L107" i="5"/>
  <c r="Q107" i="5" s="1"/>
  <c r="L106" i="5"/>
  <c r="K113" i="5"/>
  <c r="GK33" i="1"/>
  <c r="AB60" i="1"/>
  <c r="CY34" i="1"/>
  <c r="X34" i="1" s="1"/>
  <c r="T108" i="5" s="1"/>
  <c r="K114" i="5" s="1"/>
  <c r="CP48" i="1"/>
  <c r="O48" i="1" s="1"/>
  <c r="K173" i="5" s="1"/>
  <c r="W49" i="1"/>
  <c r="V62" i="1"/>
  <c r="L260" i="5"/>
  <c r="Q260" i="5" s="1"/>
  <c r="L257" i="5"/>
  <c r="T55" i="1"/>
  <c r="CP61" i="1"/>
  <c r="O61" i="1" s="1"/>
  <c r="K222" i="5" s="1"/>
  <c r="S82" i="1"/>
  <c r="V75" i="1"/>
  <c r="W55" i="1"/>
  <c r="CP76" i="1"/>
  <c r="O76" i="1" s="1"/>
  <c r="K272" i="5" s="1"/>
  <c r="V82" i="1"/>
  <c r="U82" i="1"/>
  <c r="Q90" i="1"/>
  <c r="E310" i="5"/>
  <c r="R94" i="1"/>
  <c r="GK94" i="1" s="1"/>
  <c r="V375" i="5"/>
  <c r="K382" i="5" s="1"/>
  <c r="S89" i="1"/>
  <c r="CP102" i="1"/>
  <c r="O102" i="1" s="1"/>
  <c r="GM102" i="1" s="1"/>
  <c r="K361" i="5"/>
  <c r="R82" i="1"/>
  <c r="GK82" i="1" s="1"/>
  <c r="K330" i="5"/>
  <c r="U94" i="1"/>
  <c r="CY115" i="1"/>
  <c r="X115" i="1" s="1"/>
  <c r="T433" i="5" s="1"/>
  <c r="P94" i="1"/>
  <c r="CR35" i="1"/>
  <c r="Q35" i="1" s="1"/>
  <c r="H121" i="5"/>
  <c r="AB38" i="1"/>
  <c r="S139" i="5"/>
  <c r="L37" i="5"/>
  <c r="Q37" i="5" s="1"/>
  <c r="L36" i="5"/>
  <c r="H139" i="5"/>
  <c r="W139" i="5" s="1"/>
  <c r="R155" i="5"/>
  <c r="W164" i="5"/>
  <c r="G164" i="5"/>
  <c r="O164" i="5" s="1"/>
  <c r="J37" i="5"/>
  <c r="P37" i="5" s="1"/>
  <c r="R120" i="5"/>
  <c r="S175" i="5"/>
  <c r="H219" i="5"/>
  <c r="W219" i="5" s="1"/>
  <c r="S223" i="5"/>
  <c r="CR64" i="1"/>
  <c r="Q64" i="1" s="1"/>
  <c r="K228" i="5" s="1"/>
  <c r="H228" i="5"/>
  <c r="H287" i="5"/>
  <c r="CR81" i="1"/>
  <c r="Q81" i="1" s="1"/>
  <c r="K287" i="5" s="1"/>
  <c r="P55" i="1"/>
  <c r="H231" i="5"/>
  <c r="U74" i="1"/>
  <c r="H281" i="5"/>
  <c r="W281" i="5" s="1"/>
  <c r="H298" i="5"/>
  <c r="W298" i="5" s="1"/>
  <c r="H314" i="5"/>
  <c r="W314" i="5" s="1"/>
  <c r="AB95" i="1"/>
  <c r="H319" i="5"/>
  <c r="CR95" i="1"/>
  <c r="Q95" i="1" s="1"/>
  <c r="K319" i="5" s="1"/>
  <c r="H341" i="5"/>
  <c r="G344" i="5" s="1"/>
  <c r="O344" i="5" s="1"/>
  <c r="K379" i="5"/>
  <c r="GK105" i="1"/>
  <c r="T107" i="1"/>
  <c r="E394" i="5"/>
  <c r="CY113" i="1"/>
  <c r="X113" i="1" s="1"/>
  <c r="T422" i="5" s="1"/>
  <c r="K419" i="5" s="1"/>
  <c r="CZ113" i="1"/>
  <c r="Y113" i="1" s="1"/>
  <c r="V422" i="5" s="1"/>
  <c r="K420" i="5" s="1"/>
  <c r="H135" i="5"/>
  <c r="S174" i="5"/>
  <c r="H170" i="5" s="1"/>
  <c r="K182" i="5"/>
  <c r="GK52" i="1"/>
  <c r="K204" i="5"/>
  <c r="GK56" i="1"/>
  <c r="U271" i="5"/>
  <c r="U293" i="5"/>
  <c r="H291" i="5" s="1"/>
  <c r="W84" i="1"/>
  <c r="U89" i="1"/>
  <c r="L335" i="5"/>
  <c r="Q335" i="5" s="1"/>
  <c r="L333" i="5"/>
  <c r="GX103" i="1"/>
  <c r="S394" i="5"/>
  <c r="H391" i="5" s="1"/>
  <c r="H420" i="5"/>
  <c r="GX68" i="1"/>
  <c r="E246" i="5"/>
  <c r="R68" i="1"/>
  <c r="GK68" i="1" s="1"/>
  <c r="S314" i="5"/>
  <c r="GK102" i="1"/>
  <c r="K360" i="5"/>
  <c r="R369" i="5"/>
  <c r="S107" i="1"/>
  <c r="E434" i="5"/>
  <c r="GX116" i="1"/>
  <c r="J107" i="5"/>
  <c r="P107" i="5" s="1"/>
  <c r="R239" i="5"/>
  <c r="U270" i="5"/>
  <c r="H268" i="5" s="1"/>
  <c r="H413" i="5"/>
  <c r="X413" i="5" s="1"/>
  <c r="S434" i="5"/>
  <c r="R202" i="5"/>
  <c r="G209" i="5"/>
  <c r="O209" i="5" s="1"/>
  <c r="W209" i="5"/>
  <c r="U247" i="5"/>
  <c r="H255" i="5"/>
  <c r="U365" i="5"/>
  <c r="L435" i="5"/>
  <c r="Q435" i="5" s="1"/>
  <c r="L432" i="5"/>
  <c r="Q68" i="1"/>
  <c r="CP68" i="1" s="1"/>
  <c r="O68" i="1" s="1"/>
  <c r="Q89" i="1"/>
  <c r="R318" i="5"/>
  <c r="G324" i="5"/>
  <c r="O324" i="5" s="1"/>
  <c r="W324" i="5"/>
  <c r="K389" i="5"/>
  <c r="GK106" i="1"/>
  <c r="GM106" i="1" s="1"/>
  <c r="G437" i="5"/>
  <c r="O437" i="5" s="1"/>
  <c r="W437" i="5"/>
  <c r="P49" i="1"/>
  <c r="H331" i="5"/>
  <c r="G335" i="5" s="1"/>
  <c r="O335" i="5" s="1"/>
  <c r="Q116" i="1"/>
  <c r="CP116" i="1" s="1"/>
  <c r="O116" i="1" s="1"/>
  <c r="R107" i="1"/>
  <c r="GK107" i="1" s="1"/>
  <c r="CY108" i="1"/>
  <c r="X108" i="1" s="1"/>
  <c r="T396" i="5" s="1"/>
  <c r="K399" i="5" s="1"/>
  <c r="K397" i="5"/>
  <c r="CZ108" i="1"/>
  <c r="Y108" i="1" s="1"/>
  <c r="V396" i="5" s="1"/>
  <c r="K400" i="5" s="1"/>
  <c r="T89" i="1"/>
  <c r="CP55" i="1"/>
  <c r="O55" i="1" s="1"/>
  <c r="K198" i="5" s="1"/>
  <c r="CP73" i="1"/>
  <c r="O73" i="1" s="1"/>
  <c r="K264" i="5"/>
  <c r="GK67" i="1"/>
  <c r="K241" i="5"/>
  <c r="U83" i="1"/>
  <c r="E294" i="5"/>
  <c r="H144" i="5"/>
  <c r="CR41" i="1"/>
  <c r="Q41" i="1" s="1"/>
  <c r="GK31" i="1"/>
  <c r="K85" i="5"/>
  <c r="AB57" i="1"/>
  <c r="H213" i="5"/>
  <c r="CR57" i="1"/>
  <c r="Q57" i="1" s="1"/>
  <c r="CR70" i="1"/>
  <c r="Q70" i="1" s="1"/>
  <c r="H252" i="5"/>
  <c r="R387" i="5"/>
  <c r="S55" i="1"/>
  <c r="H244" i="5"/>
  <c r="H430" i="5"/>
  <c r="CP64" i="1"/>
  <c r="O64" i="1" s="1"/>
  <c r="GN64" i="1" s="1"/>
  <c r="K230" i="5"/>
  <c r="R84" i="1"/>
  <c r="GK84" i="1" s="1"/>
  <c r="CY57" i="1"/>
  <c r="X57" i="1" s="1"/>
  <c r="T210" i="5" s="1"/>
  <c r="K212" i="5"/>
  <c r="CZ57" i="1"/>
  <c r="Y57" i="1" s="1"/>
  <c r="V210" i="5" s="1"/>
  <c r="V89" i="1"/>
  <c r="CP29" i="1"/>
  <c r="O29" i="1" s="1"/>
  <c r="K66" i="5"/>
  <c r="AB41" i="1"/>
  <c r="CY24" i="1"/>
  <c r="X24" i="1" s="1"/>
  <c r="T22" i="5" s="1"/>
  <c r="K27" i="5" s="1"/>
  <c r="CY29" i="1"/>
  <c r="X29" i="1" s="1"/>
  <c r="T63" i="5" s="1"/>
  <c r="K68" i="5" s="1"/>
  <c r="GX42" i="1"/>
  <c r="T47" i="5"/>
  <c r="K52" i="5" s="1"/>
  <c r="U36" i="1"/>
  <c r="E127" i="5"/>
  <c r="GN43" i="1"/>
  <c r="V151" i="5"/>
  <c r="CR32" i="1"/>
  <c r="Q32" i="1" s="1"/>
  <c r="H93" i="5"/>
  <c r="W98" i="5" s="1"/>
  <c r="GX54" i="1"/>
  <c r="E197" i="5"/>
  <c r="GX58" i="1"/>
  <c r="CZ38" i="1"/>
  <c r="Y38" i="1" s="1"/>
  <c r="V130" i="5" s="1"/>
  <c r="R50" i="1"/>
  <c r="GK50" i="1" s="1"/>
  <c r="GX49" i="1"/>
  <c r="CR52" i="1"/>
  <c r="Q52" i="1" s="1"/>
  <c r="H181" i="5"/>
  <c r="G187" i="5" s="1"/>
  <c r="O187" i="5" s="1"/>
  <c r="V79" i="1"/>
  <c r="E281" i="5"/>
  <c r="GK70" i="1"/>
  <c r="K253" i="5"/>
  <c r="L283" i="5"/>
  <c r="Q283" i="5" s="1"/>
  <c r="L280" i="5"/>
  <c r="W82" i="1"/>
  <c r="CP63" i="1"/>
  <c r="O63" i="1" s="1"/>
  <c r="K224" i="5" s="1"/>
  <c r="CR67" i="1"/>
  <c r="Q67" i="1" s="1"/>
  <c r="K240" i="5" s="1"/>
  <c r="H240" i="5"/>
  <c r="W87" i="1"/>
  <c r="E298" i="5"/>
  <c r="GX75" i="1"/>
  <c r="U86" i="1"/>
  <c r="E297" i="5"/>
  <c r="W75" i="1"/>
  <c r="V94" i="1"/>
  <c r="AB87" i="1"/>
  <c r="W89" i="1"/>
  <c r="AB109" i="1"/>
  <c r="T75" i="1"/>
  <c r="P84" i="1"/>
  <c r="AB88" i="1"/>
  <c r="CR96" i="1"/>
  <c r="Q96" i="1" s="1"/>
  <c r="K328" i="5" s="1"/>
  <c r="CP107" i="1"/>
  <c r="O107" i="1" s="1"/>
  <c r="K394" i="5" s="1"/>
  <c r="CP112" i="1"/>
  <c r="O112" i="1" s="1"/>
  <c r="K417" i="5"/>
  <c r="CR26" i="1"/>
  <c r="Q26" i="1" s="1"/>
  <c r="K41" i="5" s="1"/>
  <c r="J46" i="5" s="1"/>
  <c r="P46" i="5" s="1"/>
  <c r="H41" i="5"/>
  <c r="W46" i="5" s="1"/>
  <c r="R83" i="5"/>
  <c r="U139" i="5"/>
  <c r="H136" i="5" s="1"/>
  <c r="CR24" i="1"/>
  <c r="Q24" i="1" s="1"/>
  <c r="H25" i="5"/>
  <c r="CR27" i="1"/>
  <c r="Q27" i="1" s="1"/>
  <c r="K50" i="5" s="1"/>
  <c r="J55" i="5" s="1"/>
  <c r="P55" i="5" s="1"/>
  <c r="H50" i="5"/>
  <c r="G55" i="5" s="1"/>
  <c r="O55" i="5" s="1"/>
  <c r="R58" i="5"/>
  <c r="W62" i="5"/>
  <c r="G62" i="5"/>
  <c r="O62" i="5" s="1"/>
  <c r="CR30" i="1"/>
  <c r="Q30" i="1" s="1"/>
  <c r="K75" i="5" s="1"/>
  <c r="J80" i="5" s="1"/>
  <c r="P80" i="5" s="1"/>
  <c r="H75" i="5"/>
  <c r="W80" i="5" s="1"/>
  <c r="GK34" i="1"/>
  <c r="K112" i="5"/>
  <c r="H127" i="5"/>
  <c r="W127" i="5" s="1"/>
  <c r="G80" i="5"/>
  <c r="O80" i="5" s="1"/>
  <c r="R74" i="5"/>
  <c r="K94" i="5"/>
  <c r="GK32" i="1"/>
  <c r="H111" i="5"/>
  <c r="W117" i="5" s="1"/>
  <c r="CR34" i="1"/>
  <c r="Q34" i="1" s="1"/>
  <c r="K111" i="5" s="1"/>
  <c r="J117" i="5" s="1"/>
  <c r="P117" i="5" s="1"/>
  <c r="AB35" i="1"/>
  <c r="CR31" i="1"/>
  <c r="Q31" i="1" s="1"/>
  <c r="K84" i="5" s="1"/>
  <c r="J89" i="5" s="1"/>
  <c r="P89" i="5" s="1"/>
  <c r="H84" i="5"/>
  <c r="G89" i="5" s="1"/>
  <c r="O89" i="5" s="1"/>
  <c r="U175" i="5"/>
  <c r="U223" i="5"/>
  <c r="H217" i="5" s="1"/>
  <c r="H271" i="5"/>
  <c r="W271" i="5" s="1"/>
  <c r="H293" i="5"/>
  <c r="W293" i="5" s="1"/>
  <c r="R92" i="5"/>
  <c r="H195" i="5"/>
  <c r="H232" i="5"/>
  <c r="W236" i="5" s="1"/>
  <c r="AB73" i="1"/>
  <c r="H264" i="5"/>
  <c r="R286" i="5"/>
  <c r="S84" i="1"/>
  <c r="P99" i="1"/>
  <c r="E343" i="5"/>
  <c r="GX99" i="1"/>
  <c r="H363" i="5"/>
  <c r="CY41" i="1"/>
  <c r="X41" i="1" s="1"/>
  <c r="T141" i="5" s="1"/>
  <c r="K143" i="5"/>
  <c r="CZ41" i="1"/>
  <c r="Y41" i="1" s="1"/>
  <c r="V141" i="5" s="1"/>
  <c r="U174" i="5"/>
  <c r="H171" i="5" s="1"/>
  <c r="S197" i="5"/>
  <c r="H194" i="5" s="1"/>
  <c r="S219" i="5"/>
  <c r="H216" i="5" s="1"/>
  <c r="W225" i="5" s="1"/>
  <c r="H221" i="5"/>
  <c r="W221" i="5" s="1"/>
  <c r="S271" i="5"/>
  <c r="GX89" i="1"/>
  <c r="H352" i="5"/>
  <c r="U394" i="5"/>
  <c r="H392" i="5" s="1"/>
  <c r="R416" i="5"/>
  <c r="X423" i="5"/>
  <c r="G423" i="5"/>
  <c r="O423" i="5" s="1"/>
  <c r="CY52" i="1"/>
  <c r="X52" i="1" s="1"/>
  <c r="T178" i="5" s="1"/>
  <c r="K184" i="5" s="1"/>
  <c r="K180" i="5"/>
  <c r="CZ52" i="1"/>
  <c r="Y52" i="1" s="1"/>
  <c r="V178" i="5" s="1"/>
  <c r="K185" i="5" s="1"/>
  <c r="H197" i="5"/>
  <c r="W197" i="5" s="1"/>
  <c r="L248" i="5"/>
  <c r="Q248" i="5" s="1"/>
  <c r="L245" i="5"/>
  <c r="V68" i="1"/>
  <c r="S309" i="5"/>
  <c r="H306" i="5" s="1"/>
  <c r="T99" i="1"/>
  <c r="T116" i="1"/>
  <c r="R101" i="5"/>
  <c r="W107" i="5"/>
  <c r="G107" i="5"/>
  <c r="O107" i="5" s="1"/>
  <c r="H243" i="5"/>
  <c r="S270" i="5"/>
  <c r="H267" i="5" s="1"/>
  <c r="R99" i="1"/>
  <c r="GK99" i="1" s="1"/>
  <c r="H433" i="5"/>
  <c r="W433" i="5" s="1"/>
  <c r="S116" i="1"/>
  <c r="R24" i="5"/>
  <c r="G30" i="5"/>
  <c r="O30" i="5" s="1"/>
  <c r="W30" i="5"/>
  <c r="W69" i="1"/>
  <c r="H256" i="5"/>
  <c r="G260" i="5" s="1"/>
  <c r="O260" i="5" s="1"/>
  <c r="S294" i="5"/>
  <c r="H296" i="5"/>
  <c r="W296" i="5" s="1"/>
  <c r="H310" i="5"/>
  <c r="W310" i="5" s="1"/>
  <c r="S365" i="5"/>
  <c r="H362" i="5" s="1"/>
  <c r="X366" i="5" s="1"/>
  <c r="U413" i="5"/>
  <c r="H411" i="5" s="1"/>
  <c r="H434" i="5"/>
  <c r="W434" i="5" s="1"/>
  <c r="S69" i="1"/>
  <c r="S150" i="5"/>
  <c r="H147" i="5" s="1"/>
  <c r="W152" i="5" s="1"/>
  <c r="S68" i="1"/>
  <c r="Q74" i="1"/>
  <c r="S298" i="5"/>
  <c r="W107" i="1"/>
  <c r="U281" i="5"/>
  <c r="H279" i="5" s="1"/>
  <c r="AB104" i="1"/>
  <c r="H370" i="5"/>
  <c r="W374" i="5" s="1"/>
  <c r="R397" i="5"/>
  <c r="H402" i="5"/>
  <c r="X402" i="5" s="1"/>
  <c r="V116" i="1"/>
  <c r="GM59" i="1"/>
  <c r="GN59" i="1"/>
  <c r="GM25" i="1"/>
  <c r="GM91" i="1"/>
  <c r="GN91" i="1"/>
  <c r="GM109" i="1"/>
  <c r="GO109" i="1"/>
  <c r="GM78" i="1"/>
  <c r="GN78" i="1"/>
  <c r="GN65" i="1"/>
  <c r="GM65" i="1"/>
  <c r="GM29" i="1"/>
  <c r="GN29" i="1"/>
  <c r="GM37" i="1"/>
  <c r="GN37" i="1"/>
  <c r="U40" i="1"/>
  <c r="W40" i="1"/>
  <c r="GN45" i="1"/>
  <c r="GM45" i="1"/>
  <c r="R40" i="1"/>
  <c r="GK40" i="1" s="1"/>
  <c r="U50" i="1"/>
  <c r="S50" i="1"/>
  <c r="GM43" i="1"/>
  <c r="CY53" i="1"/>
  <c r="X53" i="1" s="1"/>
  <c r="T188" i="5" s="1"/>
  <c r="CZ53" i="1"/>
  <c r="Y53" i="1" s="1"/>
  <c r="V188" i="5" s="1"/>
  <c r="W36" i="1"/>
  <c r="T62" i="1"/>
  <c r="W62" i="1"/>
  <c r="GK25" i="1"/>
  <c r="GN25" i="1" s="1"/>
  <c r="P40" i="1"/>
  <c r="T36" i="1"/>
  <c r="V40" i="1"/>
  <c r="S40" i="1"/>
  <c r="Q36" i="1"/>
  <c r="GM48" i="1"/>
  <c r="CP51" i="1"/>
  <c r="O51" i="1" s="1"/>
  <c r="K176" i="5" s="1"/>
  <c r="S58" i="1"/>
  <c r="U58" i="1"/>
  <c r="AH120" i="1" s="1"/>
  <c r="Q58" i="1"/>
  <c r="R62" i="1"/>
  <c r="GK62" i="1" s="1"/>
  <c r="GM77" i="1"/>
  <c r="GN77" i="1"/>
  <c r="T50" i="1"/>
  <c r="U75" i="1"/>
  <c r="S75" i="1"/>
  <c r="GN73" i="1"/>
  <c r="GM73" i="1"/>
  <c r="R83" i="1"/>
  <c r="GK83" i="1" s="1"/>
  <c r="GN63" i="1"/>
  <c r="P79" i="1"/>
  <c r="GX62" i="1"/>
  <c r="CY71" i="1"/>
  <c r="X71" i="1" s="1"/>
  <c r="T258" i="5" s="1"/>
  <c r="Q83" i="1"/>
  <c r="GO108" i="1"/>
  <c r="GM108" i="1"/>
  <c r="S79" i="1"/>
  <c r="W94" i="1"/>
  <c r="S94" i="1"/>
  <c r="T94" i="1"/>
  <c r="P90" i="1"/>
  <c r="W79" i="1"/>
  <c r="GX82" i="1"/>
  <c r="S85" i="1"/>
  <c r="GX94" i="1"/>
  <c r="CY101" i="1"/>
  <c r="X101" i="1" s="1"/>
  <c r="CZ101" i="1"/>
  <c r="Y101" i="1" s="1"/>
  <c r="V354" i="5" s="1"/>
  <c r="K352" i="5" s="1"/>
  <c r="CZ67" i="1"/>
  <c r="Y67" i="1" s="1"/>
  <c r="V237" i="5" s="1"/>
  <c r="P75" i="1"/>
  <c r="CP84" i="1"/>
  <c r="O84" i="1" s="1"/>
  <c r="K295" i="5" s="1"/>
  <c r="Q87" i="1"/>
  <c r="CP88" i="1"/>
  <c r="O88" i="1" s="1"/>
  <c r="CP104" i="1"/>
  <c r="O104" i="1" s="1"/>
  <c r="GX111" i="1"/>
  <c r="GO98" i="1"/>
  <c r="GM98" i="1"/>
  <c r="GN115" i="1"/>
  <c r="Q111" i="1"/>
  <c r="CY39" i="1"/>
  <c r="X39" i="1" s="1"/>
  <c r="T138" i="5" s="1"/>
  <c r="CZ39" i="1"/>
  <c r="Y39" i="1" s="1"/>
  <c r="V138" i="5" s="1"/>
  <c r="T42" i="1"/>
  <c r="U42" i="1"/>
  <c r="W54" i="1"/>
  <c r="T54" i="1"/>
  <c r="S36" i="1"/>
  <c r="P42" i="1"/>
  <c r="AB49" i="1"/>
  <c r="CR49" i="1"/>
  <c r="Q49" i="1" s="1"/>
  <c r="CP49" i="1" s="1"/>
  <c r="O49" i="1" s="1"/>
  <c r="K174" i="5" s="1"/>
  <c r="R54" i="1"/>
  <c r="GK54" i="1" s="1"/>
  <c r="V36" i="1"/>
  <c r="Q40" i="1"/>
  <c r="GM46" i="1"/>
  <c r="GN46" i="1"/>
  <c r="GM60" i="1"/>
  <c r="GN60" i="1"/>
  <c r="GX50" i="1"/>
  <c r="CP53" i="1"/>
  <c r="O53" i="1" s="1"/>
  <c r="P54" i="1"/>
  <c r="U87" i="1"/>
  <c r="S87" i="1"/>
  <c r="Q54" i="1"/>
  <c r="CP58" i="1"/>
  <c r="O58" i="1" s="1"/>
  <c r="K219" i="5" s="1"/>
  <c r="GM76" i="1"/>
  <c r="GN76" i="1"/>
  <c r="CY80" i="1"/>
  <c r="X80" i="1" s="1"/>
  <c r="T282" i="5" s="1"/>
  <c r="CZ80" i="1"/>
  <c r="Y80" i="1" s="1"/>
  <c r="V282" i="5" s="1"/>
  <c r="CY70" i="1"/>
  <c r="X70" i="1" s="1"/>
  <c r="T249" i="5" s="1"/>
  <c r="R79" i="1"/>
  <c r="GK79" i="1" s="1"/>
  <c r="S83" i="1"/>
  <c r="T85" i="1"/>
  <c r="U90" i="1"/>
  <c r="W90" i="1"/>
  <c r="S90" i="1"/>
  <c r="U79" i="1"/>
  <c r="V86" i="1"/>
  <c r="CZ88" i="1"/>
  <c r="Y88" i="1" s="1"/>
  <c r="V300" i="5" s="1"/>
  <c r="CY88" i="1"/>
  <c r="X88" i="1" s="1"/>
  <c r="T300" i="5" s="1"/>
  <c r="R90" i="1"/>
  <c r="GK90" i="1" s="1"/>
  <c r="CY95" i="1"/>
  <c r="X95" i="1" s="1"/>
  <c r="T316" i="5" s="1"/>
  <c r="K321" i="5" s="1"/>
  <c r="CZ95" i="1"/>
  <c r="Y95" i="1" s="1"/>
  <c r="V316" i="5" s="1"/>
  <c r="K322" i="5" s="1"/>
  <c r="CY110" i="1"/>
  <c r="X110" i="1" s="1"/>
  <c r="T404" i="5" s="1"/>
  <c r="CZ110" i="1"/>
  <c r="Y110" i="1" s="1"/>
  <c r="V404" i="5" s="1"/>
  <c r="CY67" i="1"/>
  <c r="X67" i="1" s="1"/>
  <c r="T237" i="5" s="1"/>
  <c r="R87" i="1"/>
  <c r="GK87" i="1" s="1"/>
  <c r="GX90" i="1"/>
  <c r="GM112" i="1"/>
  <c r="GO112" i="1"/>
  <c r="AP22" i="1"/>
  <c r="AP152" i="1"/>
  <c r="F129" i="1"/>
  <c r="GO106" i="1"/>
  <c r="AU22" i="1"/>
  <c r="F139" i="1"/>
  <c r="AU152" i="1"/>
  <c r="CP110" i="1"/>
  <c r="O110" i="1" s="1"/>
  <c r="T90" i="1"/>
  <c r="GM92" i="1"/>
  <c r="GN92" i="1"/>
  <c r="CY28" i="1"/>
  <c r="X28" i="1" s="1"/>
  <c r="Q42" i="1"/>
  <c r="AD120" i="1" s="1"/>
  <c r="GM33" i="1"/>
  <c r="GN33" i="1"/>
  <c r="GX36" i="1"/>
  <c r="Q50" i="1"/>
  <c r="V54" i="1"/>
  <c r="T40" i="1"/>
  <c r="GM47" i="1"/>
  <c r="GN47" i="1"/>
  <c r="V50" i="1"/>
  <c r="CP39" i="1"/>
  <c r="O39" i="1" s="1"/>
  <c r="K138" i="5" s="1"/>
  <c r="CY49" i="1"/>
  <c r="X49" i="1" s="1"/>
  <c r="T174" i="5" s="1"/>
  <c r="CZ49" i="1"/>
  <c r="Y49" i="1" s="1"/>
  <c r="V174" i="5" s="1"/>
  <c r="CY61" i="1"/>
  <c r="X61" i="1" s="1"/>
  <c r="CZ61" i="1"/>
  <c r="Y61" i="1" s="1"/>
  <c r="V222" i="5" s="1"/>
  <c r="U62" i="1"/>
  <c r="AB75" i="1"/>
  <c r="U54" i="1"/>
  <c r="P62" i="1"/>
  <c r="CY82" i="1"/>
  <c r="X82" i="1" s="1"/>
  <c r="T293" i="5" s="1"/>
  <c r="CZ82" i="1"/>
  <c r="Y82" i="1" s="1"/>
  <c r="V293" i="5" s="1"/>
  <c r="W83" i="1"/>
  <c r="T83" i="1"/>
  <c r="W50" i="1"/>
  <c r="S54" i="1"/>
  <c r="CZ66" i="1"/>
  <c r="Y66" i="1" s="1"/>
  <c r="V235" i="5" s="1"/>
  <c r="CY66" i="1"/>
  <c r="X66" i="1" s="1"/>
  <c r="P85" i="1"/>
  <c r="CZ70" i="1"/>
  <c r="Y70" i="1" s="1"/>
  <c r="GX79" i="1"/>
  <c r="GX83" i="1"/>
  <c r="W85" i="1"/>
  <c r="CZ97" i="1"/>
  <c r="Y97" i="1" s="1"/>
  <c r="V334" i="5" s="1"/>
  <c r="K332" i="5" s="1"/>
  <c r="CY97" i="1"/>
  <c r="X97" i="1" s="1"/>
  <c r="T334" i="5" s="1"/>
  <c r="K331" i="5" s="1"/>
  <c r="Q62" i="1"/>
  <c r="R85" i="1"/>
  <c r="GK85" i="1" s="1"/>
  <c r="CY99" i="1"/>
  <c r="X99" i="1" s="1"/>
  <c r="T343" i="5" s="1"/>
  <c r="CZ99" i="1"/>
  <c r="Y99" i="1" s="1"/>
  <c r="V343" i="5" s="1"/>
  <c r="K341" i="5" s="1"/>
  <c r="R111" i="1"/>
  <c r="GK111" i="1" s="1"/>
  <c r="CP80" i="1"/>
  <c r="O80" i="1" s="1"/>
  <c r="K282" i="5" s="1"/>
  <c r="Q85" i="1"/>
  <c r="P87" i="1"/>
  <c r="CP87" i="1" s="1"/>
  <c r="O87" i="1" s="1"/>
  <c r="K298" i="5" s="1"/>
  <c r="V90" i="1"/>
  <c r="Q79" i="1"/>
  <c r="V87" i="1"/>
  <c r="CY103" i="1"/>
  <c r="X103" i="1" s="1"/>
  <c r="T365" i="5" s="1"/>
  <c r="K362" i="5" s="1"/>
  <c r="CZ103" i="1"/>
  <c r="Y103" i="1" s="1"/>
  <c r="V365" i="5" s="1"/>
  <c r="K363" i="5" s="1"/>
  <c r="CP99" i="1"/>
  <c r="O99" i="1" s="1"/>
  <c r="K343" i="5" s="1"/>
  <c r="CI22" i="1"/>
  <c r="AZ120" i="1"/>
  <c r="CP103" i="1"/>
  <c r="O103" i="1" s="1"/>
  <c r="K365" i="5" s="1"/>
  <c r="AQ22" i="1"/>
  <c r="F130" i="1"/>
  <c r="AQ152" i="1"/>
  <c r="CP94" i="1"/>
  <c r="O94" i="1" s="1"/>
  <c r="K314" i="5" s="1"/>
  <c r="BB22" i="1"/>
  <c r="F133" i="1"/>
  <c r="BB152" i="1"/>
  <c r="CP26" i="1"/>
  <c r="O26" i="1" s="1"/>
  <c r="AC120" i="1"/>
  <c r="S42" i="1"/>
  <c r="AB52" i="1"/>
  <c r="W42" i="1"/>
  <c r="CY72" i="1"/>
  <c r="X72" i="1" s="1"/>
  <c r="CZ72" i="1"/>
  <c r="Y72" i="1" s="1"/>
  <c r="V259" i="5" s="1"/>
  <c r="P50" i="1"/>
  <c r="CP50" i="1" s="1"/>
  <c r="O50" i="1" s="1"/>
  <c r="K175" i="5" s="1"/>
  <c r="S62" i="1"/>
  <c r="P86" i="1"/>
  <c r="R86" i="1"/>
  <c r="GK86" i="1" s="1"/>
  <c r="GX86" i="1"/>
  <c r="T87" i="1"/>
  <c r="T86" i="1"/>
  <c r="CY93" i="1"/>
  <c r="X93" i="1" s="1"/>
  <c r="T313" i="5" s="1"/>
  <c r="CZ93" i="1"/>
  <c r="Y93" i="1" s="1"/>
  <c r="V313" i="5" s="1"/>
  <c r="S111" i="1"/>
  <c r="T111" i="1"/>
  <c r="W111" i="1"/>
  <c r="V111" i="1"/>
  <c r="CP82" i="1"/>
  <c r="O82" i="1" s="1"/>
  <c r="K293" i="5" s="1"/>
  <c r="V85" i="1"/>
  <c r="CY89" i="1"/>
  <c r="X89" i="1" s="1"/>
  <c r="CZ89" i="1"/>
  <c r="Y89" i="1" s="1"/>
  <c r="V309" i="5" s="1"/>
  <c r="P83" i="1"/>
  <c r="Q86" i="1"/>
  <c r="BC22" i="1"/>
  <c r="BC152" i="1"/>
  <c r="F136" i="1"/>
  <c r="AO18" i="1"/>
  <c r="F156" i="1"/>
  <c r="CP93" i="1"/>
  <c r="O93" i="1" s="1"/>
  <c r="K313" i="5" s="1"/>
  <c r="GM101" i="1"/>
  <c r="U85" i="1"/>
  <c r="CP97" i="1"/>
  <c r="O97" i="1" s="1"/>
  <c r="K334" i="5" s="1"/>
  <c r="P111" i="1"/>
  <c r="CP95" i="1"/>
  <c r="O95" i="1" s="1"/>
  <c r="AX22" i="1"/>
  <c r="F127" i="1"/>
  <c r="AX152" i="1"/>
  <c r="W89" i="5" l="1"/>
  <c r="X344" i="5"/>
  <c r="G403" i="5"/>
  <c r="O403" i="5" s="1"/>
  <c r="W248" i="5"/>
  <c r="G140" i="5"/>
  <c r="O140" i="5" s="1"/>
  <c r="J324" i="5"/>
  <c r="P324" i="5" s="1"/>
  <c r="G236" i="5"/>
  <c r="O236" i="5" s="1"/>
  <c r="G129" i="5"/>
  <c r="O129" i="5" s="1"/>
  <c r="G366" i="5"/>
  <c r="O366" i="5" s="1"/>
  <c r="W187" i="5"/>
  <c r="J366" i="5"/>
  <c r="P366" i="5" s="1"/>
  <c r="G17" i="5"/>
  <c r="J71" i="5"/>
  <c r="P71" i="5" s="1"/>
  <c r="W129" i="5"/>
  <c r="W435" i="5"/>
  <c r="H290" i="5"/>
  <c r="W299" i="5" s="1"/>
  <c r="G117" i="5"/>
  <c r="O117" i="5" s="1"/>
  <c r="J164" i="5"/>
  <c r="P164" i="5" s="1"/>
  <c r="J335" i="5"/>
  <c r="P335" i="5" s="1"/>
  <c r="W260" i="5"/>
  <c r="K232" i="5"/>
  <c r="W384" i="5"/>
  <c r="G315" i="5"/>
  <c r="O315" i="5" s="1"/>
  <c r="G199" i="5"/>
  <c r="O199" i="5" s="1"/>
  <c r="W199" i="5"/>
  <c r="K434" i="5"/>
  <c r="GM116" i="1"/>
  <c r="X395" i="5"/>
  <c r="G395" i="5"/>
  <c r="O395" i="5" s="1"/>
  <c r="G274" i="5"/>
  <c r="O274" i="5" s="1"/>
  <c r="G299" i="5"/>
  <c r="O299" i="5" s="1"/>
  <c r="G152" i="5"/>
  <c r="O152" i="5" s="1"/>
  <c r="K246" i="5"/>
  <c r="G283" i="5"/>
  <c r="O283" i="5" s="1"/>
  <c r="X414" i="5"/>
  <c r="K378" i="5"/>
  <c r="CP105" i="1"/>
  <c r="O105" i="1" s="1"/>
  <c r="GM61" i="1"/>
  <c r="T222" i="5"/>
  <c r="GN28" i="1"/>
  <c r="T56" i="5"/>
  <c r="K59" i="5" s="1"/>
  <c r="J62" i="5" s="1"/>
  <c r="P62" i="5" s="1"/>
  <c r="G16" i="2"/>
  <c r="G18" i="2" s="1"/>
  <c r="I14" i="5"/>
  <c r="CP54" i="1"/>
  <c r="O54" i="1" s="1"/>
  <c r="K197" i="5" s="1"/>
  <c r="CY86" i="1"/>
  <c r="X86" i="1" s="1"/>
  <c r="T297" i="5" s="1"/>
  <c r="GM115" i="1"/>
  <c r="GM113" i="1"/>
  <c r="GM64" i="1"/>
  <c r="GM63" i="1"/>
  <c r="CP36" i="1"/>
  <c r="O36" i="1" s="1"/>
  <c r="K127" i="5" s="1"/>
  <c r="CY69" i="1"/>
  <c r="X69" i="1" s="1"/>
  <c r="T247" i="5" s="1"/>
  <c r="CZ69" i="1"/>
  <c r="Y69" i="1" s="1"/>
  <c r="CY116" i="1"/>
  <c r="X116" i="1" s="1"/>
  <c r="T434" i="5" s="1"/>
  <c r="K430" i="5" s="1"/>
  <c r="CZ116" i="1"/>
  <c r="Y116" i="1" s="1"/>
  <c r="V434" i="5" s="1"/>
  <c r="K431" i="5" s="1"/>
  <c r="W274" i="5"/>
  <c r="G98" i="5"/>
  <c r="O98" i="5" s="1"/>
  <c r="K93" i="5"/>
  <c r="J98" i="5" s="1"/>
  <c r="P98" i="5" s="1"/>
  <c r="CP32" i="1"/>
  <c r="O32" i="1" s="1"/>
  <c r="G435" i="5"/>
  <c r="O435" i="5" s="1"/>
  <c r="CP70" i="1"/>
  <c r="O70" i="1" s="1"/>
  <c r="GM70" i="1" s="1"/>
  <c r="K252" i="5"/>
  <c r="J403" i="5"/>
  <c r="P403" i="5" s="1"/>
  <c r="G374" i="5"/>
  <c r="O374" i="5" s="1"/>
  <c r="CP35" i="1"/>
  <c r="O35" i="1" s="1"/>
  <c r="K121" i="5"/>
  <c r="CP96" i="1"/>
  <c r="O96" i="1" s="1"/>
  <c r="CP89" i="1"/>
  <c r="O89" i="1" s="1"/>
  <c r="K309" i="5" s="1"/>
  <c r="CP31" i="1"/>
  <c r="O31" i="1" s="1"/>
  <c r="W315" i="5"/>
  <c r="W55" i="5"/>
  <c r="CP100" i="1"/>
  <c r="O100" i="1" s="1"/>
  <c r="K348" i="5"/>
  <c r="K427" i="5"/>
  <c r="CP114" i="1"/>
  <c r="O114" i="1" s="1"/>
  <c r="K340" i="5"/>
  <c r="J344" i="5" s="1"/>
  <c r="P344" i="5" s="1"/>
  <c r="CY74" i="1"/>
  <c r="X74" i="1" s="1"/>
  <c r="T270" i="5" s="1"/>
  <c r="CY107" i="1"/>
  <c r="X107" i="1" s="1"/>
  <c r="T394" i="5" s="1"/>
  <c r="K391" i="5" s="1"/>
  <c r="J395" i="5" s="1"/>
  <c r="P395" i="5" s="1"/>
  <c r="CZ107" i="1"/>
  <c r="Y107" i="1" s="1"/>
  <c r="V394" i="5" s="1"/>
  <c r="K392" i="5" s="1"/>
  <c r="K203" i="5"/>
  <c r="J209" i="5" s="1"/>
  <c r="P209" i="5" s="1"/>
  <c r="CP56" i="1"/>
  <c r="O56" i="1" s="1"/>
  <c r="GM71" i="1"/>
  <c r="CP83" i="1"/>
  <c r="O83" i="1" s="1"/>
  <c r="K294" i="5" s="1"/>
  <c r="GN71" i="1"/>
  <c r="GO102" i="1"/>
  <c r="V249" i="5"/>
  <c r="K256" i="5" s="1"/>
  <c r="CZ86" i="1"/>
  <c r="Y86" i="1" s="1"/>
  <c r="V297" i="5" s="1"/>
  <c r="GO113" i="1"/>
  <c r="GN74" i="1"/>
  <c r="GO107" i="1"/>
  <c r="CY84" i="1"/>
  <c r="X84" i="1" s="1"/>
  <c r="T295" i="5" s="1"/>
  <c r="CZ84" i="1"/>
  <c r="Y84" i="1" s="1"/>
  <c r="V295" i="5" s="1"/>
  <c r="J423" i="5"/>
  <c r="P423" i="5" s="1"/>
  <c r="K213" i="5"/>
  <c r="CP57" i="1"/>
  <c r="O57" i="1" s="1"/>
  <c r="G248" i="5"/>
  <c r="O248" i="5" s="1"/>
  <c r="X355" i="5"/>
  <c r="CP38" i="1"/>
  <c r="O38" i="1" s="1"/>
  <c r="J384" i="5"/>
  <c r="P384" i="5" s="1"/>
  <c r="X335" i="5"/>
  <c r="W140" i="5"/>
  <c r="G46" i="5"/>
  <c r="O46" i="5" s="1"/>
  <c r="GM89" i="1"/>
  <c r="T309" i="5"/>
  <c r="K306" i="5" s="1"/>
  <c r="GM66" i="1"/>
  <c r="T235" i="5"/>
  <c r="K231" i="5" s="1"/>
  <c r="J236" i="5" s="1"/>
  <c r="P236" i="5" s="1"/>
  <c r="K144" i="5"/>
  <c r="CP41" i="1"/>
  <c r="O41" i="1" s="1"/>
  <c r="G177" i="5"/>
  <c r="O177" i="5" s="1"/>
  <c r="W177" i="5"/>
  <c r="GM72" i="1"/>
  <c r="T259" i="5"/>
  <c r="K255" i="5" s="1"/>
  <c r="GO101" i="1"/>
  <c r="T354" i="5"/>
  <c r="K351" i="5" s="1"/>
  <c r="GM74" i="1"/>
  <c r="GN48" i="1"/>
  <c r="GM107" i="1"/>
  <c r="CZ68" i="1"/>
  <c r="Y68" i="1" s="1"/>
  <c r="V246" i="5" s="1"/>
  <c r="CY68" i="1"/>
  <c r="X68" i="1" s="1"/>
  <c r="T246" i="5" s="1"/>
  <c r="G355" i="5"/>
  <c r="O355" i="5" s="1"/>
  <c r="CP69" i="1"/>
  <c r="O69" i="1" s="1"/>
  <c r="K25" i="5"/>
  <c r="J30" i="5" s="1"/>
  <c r="P30" i="5" s="1"/>
  <c r="CP24" i="1"/>
  <c r="O24" i="1" s="1"/>
  <c r="CP52" i="1"/>
  <c r="O52" i="1" s="1"/>
  <c r="K181" i="5"/>
  <c r="J187" i="5" s="1"/>
  <c r="P187" i="5" s="1"/>
  <c r="GM27" i="1"/>
  <c r="CY55" i="1"/>
  <c r="X55" i="1" s="1"/>
  <c r="T198" i="5" s="1"/>
  <c r="CZ55" i="1"/>
  <c r="Y55" i="1" s="1"/>
  <c r="V198" i="5" s="1"/>
  <c r="G225" i="5"/>
  <c r="O225" i="5" s="1"/>
  <c r="CP34" i="1"/>
  <c r="O34" i="1" s="1"/>
  <c r="CP81" i="1"/>
  <c r="O81" i="1" s="1"/>
  <c r="CP30" i="1"/>
  <c r="O30" i="1" s="1"/>
  <c r="GN44" i="1"/>
  <c r="GM44" i="1"/>
  <c r="W283" i="5"/>
  <c r="CP67" i="1"/>
  <c r="O67" i="1" s="1"/>
  <c r="G414" i="5"/>
  <c r="O414" i="5" s="1"/>
  <c r="L440" i="5"/>
  <c r="AD22" i="1"/>
  <c r="Q120" i="1"/>
  <c r="AH22" i="1"/>
  <c r="U120" i="1"/>
  <c r="GM82" i="1"/>
  <c r="GN82" i="1"/>
  <c r="GO103" i="1"/>
  <c r="GM103" i="1"/>
  <c r="AQ18" i="1"/>
  <c r="F162" i="1"/>
  <c r="AZ22" i="1"/>
  <c r="F131" i="1"/>
  <c r="AZ152" i="1"/>
  <c r="CY54" i="1"/>
  <c r="X54" i="1" s="1"/>
  <c r="CZ54" i="1"/>
  <c r="Y54" i="1" s="1"/>
  <c r="V197" i="5" s="1"/>
  <c r="CP111" i="1"/>
  <c r="O111" i="1" s="1"/>
  <c r="K413" i="5" s="1"/>
  <c r="CZ62" i="1"/>
  <c r="Y62" i="1" s="1"/>
  <c r="V223" i="5" s="1"/>
  <c r="CY62" i="1"/>
  <c r="X62" i="1" s="1"/>
  <c r="T223" i="5" s="1"/>
  <c r="GM80" i="1"/>
  <c r="GN80" i="1"/>
  <c r="CP85" i="1"/>
  <c r="O85" i="1" s="1"/>
  <c r="K296" i="5" s="1"/>
  <c r="GM28" i="1"/>
  <c r="AU18" i="1"/>
  <c r="F171" i="1"/>
  <c r="GM53" i="1"/>
  <c r="GN53" i="1"/>
  <c r="GM104" i="1"/>
  <c r="GN104" i="1"/>
  <c r="CP75" i="1"/>
  <c r="O75" i="1" s="1"/>
  <c r="K271" i="5" s="1"/>
  <c r="CP90" i="1"/>
  <c r="O90" i="1" s="1"/>
  <c r="K310" i="5" s="1"/>
  <c r="CY79" i="1"/>
  <c r="X79" i="1" s="1"/>
  <c r="T281" i="5" s="1"/>
  <c r="K278" i="5" s="1"/>
  <c r="CZ79" i="1"/>
  <c r="Y79" i="1" s="1"/>
  <c r="V281" i="5" s="1"/>
  <c r="K279" i="5" s="1"/>
  <c r="AG120" i="1"/>
  <c r="GN72" i="1"/>
  <c r="GN66" i="1"/>
  <c r="GO97" i="1"/>
  <c r="GM97" i="1"/>
  <c r="CP86" i="1"/>
  <c r="O86" i="1" s="1"/>
  <c r="K297" i="5" s="1"/>
  <c r="GO99" i="1"/>
  <c r="GM99" i="1"/>
  <c r="CP62" i="1"/>
  <c r="O62" i="1" s="1"/>
  <c r="K223" i="5" s="1"/>
  <c r="GM39" i="1"/>
  <c r="GN39" i="1"/>
  <c r="GM54" i="1"/>
  <c r="AI120" i="1"/>
  <c r="CP42" i="1"/>
  <c r="O42" i="1" s="1"/>
  <c r="K150" i="5" s="1"/>
  <c r="GN88" i="1"/>
  <c r="GM88" i="1"/>
  <c r="CY85" i="1"/>
  <c r="X85" i="1" s="1"/>
  <c r="T296" i="5" s="1"/>
  <c r="CZ85" i="1"/>
  <c r="Y85" i="1" s="1"/>
  <c r="V296" i="5" s="1"/>
  <c r="CP79" i="1"/>
  <c r="O79" i="1" s="1"/>
  <c r="K281" i="5" s="1"/>
  <c r="CZ75" i="1"/>
  <c r="Y75" i="1" s="1"/>
  <c r="V271" i="5" s="1"/>
  <c r="K268" i="5" s="1"/>
  <c r="CY75" i="1"/>
  <c r="X75" i="1" s="1"/>
  <c r="T271" i="5" s="1"/>
  <c r="CY58" i="1"/>
  <c r="X58" i="1" s="1"/>
  <c r="CZ58" i="1"/>
  <c r="Y58" i="1" s="1"/>
  <c r="V219" i="5" s="1"/>
  <c r="K217" i="5" s="1"/>
  <c r="CP40" i="1"/>
  <c r="O40" i="1" s="1"/>
  <c r="K139" i="5" s="1"/>
  <c r="GM95" i="1"/>
  <c r="GN95" i="1"/>
  <c r="GM93" i="1"/>
  <c r="GN93" i="1"/>
  <c r="BC18" i="1"/>
  <c r="F168" i="1"/>
  <c r="GM26" i="1"/>
  <c r="GN26" i="1"/>
  <c r="CJ120" i="1"/>
  <c r="AP18" i="1"/>
  <c r="F161" i="1"/>
  <c r="CZ90" i="1"/>
  <c r="Y90" i="1" s="1"/>
  <c r="V310" i="5" s="1"/>
  <c r="CY90" i="1"/>
  <c r="X90" i="1" s="1"/>
  <c r="T310" i="5" s="1"/>
  <c r="CY83" i="1"/>
  <c r="X83" i="1" s="1"/>
  <c r="CZ83" i="1"/>
  <c r="Y83" i="1" s="1"/>
  <c r="V294" i="5" s="1"/>
  <c r="CY36" i="1"/>
  <c r="X36" i="1" s="1"/>
  <c r="CZ36" i="1"/>
  <c r="Y36" i="1" s="1"/>
  <c r="V127" i="5" s="1"/>
  <c r="K125" i="5" s="1"/>
  <c r="AF120" i="1"/>
  <c r="CY94" i="1"/>
  <c r="X94" i="1" s="1"/>
  <c r="T314" i="5" s="1"/>
  <c r="CZ94" i="1"/>
  <c r="Y94" i="1" s="1"/>
  <c r="GM51" i="1"/>
  <c r="GN51" i="1"/>
  <c r="CY40" i="1"/>
  <c r="X40" i="1" s="1"/>
  <c r="T139" i="5" s="1"/>
  <c r="K135" i="5" s="1"/>
  <c r="CZ40" i="1"/>
  <c r="Y40" i="1" s="1"/>
  <c r="V139" i="5" s="1"/>
  <c r="K136" i="5" s="1"/>
  <c r="GN61" i="1"/>
  <c r="AC22" i="1"/>
  <c r="CE120" i="1"/>
  <c r="P120" i="1"/>
  <c r="CF120" i="1"/>
  <c r="CH120" i="1"/>
  <c r="AX18" i="1"/>
  <c r="F159" i="1"/>
  <c r="CY111" i="1"/>
  <c r="X111" i="1" s="1"/>
  <c r="T413" i="5" s="1"/>
  <c r="K410" i="5" s="1"/>
  <c r="CZ111" i="1"/>
  <c r="Y111" i="1" s="1"/>
  <c r="V413" i="5" s="1"/>
  <c r="K411" i="5" s="1"/>
  <c r="CY42" i="1"/>
  <c r="X42" i="1" s="1"/>
  <c r="CZ42" i="1"/>
  <c r="Y42" i="1" s="1"/>
  <c r="V150" i="5" s="1"/>
  <c r="K148" i="5" s="1"/>
  <c r="BB18" i="1"/>
  <c r="F165" i="1"/>
  <c r="GO110" i="1"/>
  <c r="GM110" i="1"/>
  <c r="CY87" i="1"/>
  <c r="X87" i="1" s="1"/>
  <c r="CZ87" i="1"/>
  <c r="Y87" i="1" s="1"/>
  <c r="V298" i="5" s="1"/>
  <c r="GN49" i="1"/>
  <c r="GM49" i="1"/>
  <c r="GN84" i="1"/>
  <c r="AE120" i="1"/>
  <c r="AJ120" i="1"/>
  <c r="CZ50" i="1"/>
  <c r="Y50" i="1" s="1"/>
  <c r="V175" i="5" s="1"/>
  <c r="K171" i="5" s="1"/>
  <c r="CY50" i="1"/>
  <c r="X50" i="1" s="1"/>
  <c r="J414" i="5" l="1"/>
  <c r="P414" i="5" s="1"/>
  <c r="K243" i="5"/>
  <c r="G12" i="5"/>
  <c r="J140" i="5"/>
  <c r="P140" i="5" s="1"/>
  <c r="K195" i="5"/>
  <c r="J355" i="5"/>
  <c r="P355" i="5" s="1"/>
  <c r="G11" i="5"/>
  <c r="K291" i="5"/>
  <c r="J435" i="5"/>
  <c r="P435" i="5" s="1"/>
  <c r="GM50" i="1"/>
  <c r="T175" i="5"/>
  <c r="K170" i="5" s="1"/>
  <c r="J177" i="5" s="1"/>
  <c r="P177" i="5" s="1"/>
  <c r="GM52" i="1"/>
  <c r="GN52" i="1"/>
  <c r="GM100" i="1"/>
  <c r="GO100" i="1"/>
  <c r="GN87" i="1"/>
  <c r="T298" i="5"/>
  <c r="GM34" i="1"/>
  <c r="GN34" i="1"/>
  <c r="GM24" i="1"/>
  <c r="GN24" i="1"/>
  <c r="GN38" i="1"/>
  <c r="GM38" i="1"/>
  <c r="GM114" i="1"/>
  <c r="GN114" i="1"/>
  <c r="GO96" i="1"/>
  <c r="GM96" i="1"/>
  <c r="GN55" i="1"/>
  <c r="GN116" i="1"/>
  <c r="AK120" i="1"/>
  <c r="T150" i="5"/>
  <c r="K147" i="5" s="1"/>
  <c r="J152" i="5" s="1"/>
  <c r="P152" i="5" s="1"/>
  <c r="GN94" i="1"/>
  <c r="V314" i="5"/>
  <c r="K307" i="5" s="1"/>
  <c r="J315" i="5" s="1"/>
  <c r="P315" i="5" s="1"/>
  <c r="GM56" i="1"/>
  <c r="GN56" i="1"/>
  <c r="GM68" i="1"/>
  <c r="GM84" i="1"/>
  <c r="GM94" i="1"/>
  <c r="GN70" i="1"/>
  <c r="GN83" i="1"/>
  <c r="T294" i="5"/>
  <c r="K290" i="5" s="1"/>
  <c r="J299" i="5" s="1"/>
  <c r="P299" i="5" s="1"/>
  <c r="GN58" i="1"/>
  <c r="T219" i="5"/>
  <c r="K216" i="5" s="1"/>
  <c r="J225" i="5" s="1"/>
  <c r="P225" i="5" s="1"/>
  <c r="J283" i="5"/>
  <c r="P283" i="5" s="1"/>
  <c r="G440" i="5"/>
  <c r="GN41" i="1"/>
  <c r="GM41" i="1"/>
  <c r="GM55" i="1"/>
  <c r="J260" i="5"/>
  <c r="P260" i="5" s="1"/>
  <c r="K267" i="5"/>
  <c r="J274" i="5" s="1"/>
  <c r="P274" i="5" s="1"/>
  <c r="GM105" i="1"/>
  <c r="GN105" i="1"/>
  <c r="GM36" i="1"/>
  <c r="T127" i="5"/>
  <c r="K124" i="5" s="1"/>
  <c r="J129" i="5" s="1"/>
  <c r="P129" i="5" s="1"/>
  <c r="GN81" i="1"/>
  <c r="GM81" i="1"/>
  <c r="GM57" i="1"/>
  <c r="GN57" i="1"/>
  <c r="GN89" i="1"/>
  <c r="GN54" i="1"/>
  <c r="T197" i="5"/>
  <c r="K194" i="5" s="1"/>
  <c r="J199" i="5" s="1"/>
  <c r="P199" i="5" s="1"/>
  <c r="GN67" i="1"/>
  <c r="GM67" i="1"/>
  <c r="GM30" i="1"/>
  <c r="GN30" i="1"/>
  <c r="K247" i="5"/>
  <c r="GN69" i="1"/>
  <c r="G13" i="5"/>
  <c r="GM31" i="1"/>
  <c r="GN31" i="1"/>
  <c r="GM35" i="1"/>
  <c r="GN35" i="1"/>
  <c r="GM32" i="1"/>
  <c r="GN32" i="1"/>
  <c r="GM69" i="1"/>
  <c r="V247" i="5"/>
  <c r="K244" i="5" s="1"/>
  <c r="J248" i="5" s="1"/>
  <c r="P248" i="5" s="1"/>
  <c r="GN68" i="1"/>
  <c r="AK22" i="1"/>
  <c r="X120" i="1"/>
  <c r="P22" i="1"/>
  <c r="F123" i="1"/>
  <c r="P152" i="1"/>
  <c r="AL120" i="1"/>
  <c r="AJ22" i="1"/>
  <c r="W120" i="1"/>
  <c r="CH22" i="1"/>
  <c r="AY120" i="1"/>
  <c r="GM87" i="1"/>
  <c r="GM83" i="1"/>
  <c r="GN40" i="1"/>
  <c r="GM40" i="1"/>
  <c r="CA120" i="1" s="1"/>
  <c r="AG22" i="1"/>
  <c r="T120" i="1"/>
  <c r="GN75" i="1"/>
  <c r="GM75" i="1"/>
  <c r="GM85" i="1"/>
  <c r="GN85" i="1"/>
  <c r="GN50" i="1"/>
  <c r="AB120" i="1"/>
  <c r="AE22" i="1"/>
  <c r="R120" i="1"/>
  <c r="CF22" i="1"/>
  <c r="AW120" i="1"/>
  <c r="GM79" i="1"/>
  <c r="GN79" i="1"/>
  <c r="AZ18" i="1"/>
  <c r="F163" i="1"/>
  <c r="GN36" i="1"/>
  <c r="AF22" i="1"/>
  <c r="S120" i="1"/>
  <c r="GN42" i="1"/>
  <c r="GM42" i="1"/>
  <c r="GM58" i="1"/>
  <c r="GM86" i="1"/>
  <c r="GN86" i="1"/>
  <c r="GO111" i="1"/>
  <c r="CC120" i="1" s="1"/>
  <c r="GM111" i="1"/>
  <c r="U22" i="1"/>
  <c r="U152" i="1"/>
  <c r="F142" i="1"/>
  <c r="CE22" i="1"/>
  <c r="AV120" i="1"/>
  <c r="AI22" i="1"/>
  <c r="V120" i="1"/>
  <c r="GN62" i="1"/>
  <c r="GM62" i="1"/>
  <c r="GN90" i="1"/>
  <c r="GM90" i="1"/>
  <c r="Q22" i="1"/>
  <c r="F132" i="1"/>
  <c r="Q152" i="1"/>
  <c r="CJ22" i="1"/>
  <c r="BA120" i="1"/>
  <c r="J440" i="5" l="1"/>
  <c r="CB120" i="1"/>
  <c r="AS120" i="1" s="1"/>
  <c r="CC22" i="1"/>
  <c r="AT120" i="1"/>
  <c r="CA22" i="1"/>
  <c r="AR120" i="1"/>
  <c r="CB22" i="1"/>
  <c r="BA22" i="1"/>
  <c r="BA152" i="1"/>
  <c r="F140" i="1"/>
  <c r="R22" i="1"/>
  <c r="R152" i="1"/>
  <c r="F134" i="1"/>
  <c r="T22" i="1"/>
  <c r="F141" i="1"/>
  <c r="T152" i="1"/>
  <c r="W22" i="1"/>
  <c r="F144" i="1"/>
  <c r="W152" i="1"/>
  <c r="AB22" i="1"/>
  <c r="O120" i="1"/>
  <c r="AL22" i="1"/>
  <c r="Y120" i="1"/>
  <c r="AV22" i="1"/>
  <c r="F125" i="1"/>
  <c r="AV152" i="1"/>
  <c r="S22" i="1"/>
  <c r="F135" i="1"/>
  <c r="S152" i="1"/>
  <c r="P18" i="1"/>
  <c r="F155" i="1"/>
  <c r="V22" i="1"/>
  <c r="F143" i="1"/>
  <c r="I16" i="5" s="1"/>
  <c r="G16" i="5" s="1"/>
  <c r="V152" i="1"/>
  <c r="X22" i="1"/>
  <c r="X152" i="1"/>
  <c r="F145" i="1"/>
  <c r="Q18" i="1"/>
  <c r="F164" i="1"/>
  <c r="U18" i="1"/>
  <c r="F174" i="1"/>
  <c r="AW22" i="1"/>
  <c r="F126" i="1"/>
  <c r="AW152" i="1"/>
  <c r="AY22" i="1"/>
  <c r="F128" i="1"/>
  <c r="AY152" i="1"/>
  <c r="H16" i="2" l="1"/>
  <c r="H18" i="2" s="1"/>
  <c r="I15" i="5"/>
  <c r="J16" i="2"/>
  <c r="J18" i="2" s="1"/>
  <c r="I17" i="5"/>
  <c r="AW18" i="1"/>
  <c r="F158" i="1"/>
  <c r="X18" i="1"/>
  <c r="F177" i="1"/>
  <c r="AY18" i="1"/>
  <c r="F160" i="1"/>
  <c r="W18" i="1"/>
  <c r="F176" i="1"/>
  <c r="AT22" i="1"/>
  <c r="F138" i="1"/>
  <c r="AT152" i="1"/>
  <c r="V18" i="1"/>
  <c r="F175" i="1"/>
  <c r="S18" i="1"/>
  <c r="F167" i="1"/>
  <c r="O22" i="1"/>
  <c r="F122" i="1"/>
  <c r="O152" i="1"/>
  <c r="BA18" i="1"/>
  <c r="F172" i="1"/>
  <c r="AR22" i="1"/>
  <c r="F147" i="1"/>
  <c r="F148" i="1" s="1"/>
  <c r="J441" i="5" s="1"/>
  <c r="AR152" i="1"/>
  <c r="R18" i="1"/>
  <c r="F166" i="1"/>
  <c r="T18" i="1"/>
  <c r="F173" i="1"/>
  <c r="Y22" i="1"/>
  <c r="Y152" i="1"/>
  <c r="F146" i="1"/>
  <c r="AS22" i="1"/>
  <c r="AS152" i="1"/>
  <c r="F137" i="1"/>
  <c r="AV18" i="1"/>
  <c r="F157" i="1"/>
  <c r="F16" i="2" l="1"/>
  <c r="F18" i="2" s="1"/>
  <c r="I13" i="5"/>
  <c r="E16" i="2"/>
  <c r="E18" i="2" s="1"/>
  <c r="I12" i="5"/>
  <c r="F149" i="1"/>
  <c r="AS18" i="1"/>
  <c r="F169" i="1"/>
  <c r="AR18" i="1"/>
  <c r="F179" i="1"/>
  <c r="AT18" i="1"/>
  <c r="F170" i="1"/>
  <c r="O18" i="1"/>
  <c r="F154" i="1"/>
  <c r="I16" i="2"/>
  <c r="I18" i="2" s="1"/>
  <c r="Y18" i="1"/>
  <c r="F178" i="1"/>
  <c r="F150" i="1" l="1"/>
  <c r="J442" i="5"/>
  <c r="J443" i="5" l="1"/>
  <c r="I11" i="5"/>
</calcChain>
</file>

<file path=xl/sharedStrings.xml><?xml version="1.0" encoding="utf-8"?>
<sst xmlns="http://schemas.openxmlformats.org/spreadsheetml/2006/main" count="7910" uniqueCount="823">
  <si>
    <t>Smeta.RU  (495) 974-1589</t>
  </si>
  <si>
    <t>_PS_</t>
  </si>
  <si>
    <t>Smeta.RU</t>
  </si>
  <si>
    <t/>
  </si>
  <si>
    <t>Новый объект</t>
  </si>
  <si>
    <t>на капитальный ремонт помещения №23 в осях В-Д/5-8 цокольного этажа здания учебно-лабораторного корпуса№2 Саровского физико-технического  института -филиала НИЯУ МИФИ (СарФТИ НИЯУ МИФИ) по адресу: Нижегородская обл.г.Саров,ул.Духова,д.6А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</si>
  <si>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</si>
  <si>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</si>
  <si>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</si>
  <si>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</si>
  <si>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</si>
  <si>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</si>
  <si>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</si>
  <si>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15-01-047-15</t>
  </si>
  <si>
    <t>Демонтаж:Устройство подвесных потолков типа &lt;Армстронг&gt; по каркасу из оцинкованного профиля</t>
  </si>
  <si>
    <t>100 м2</t>
  </si>
  <si>
    <t>ФЕР-2001, 15-01-047-15,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</si>
  <si>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</si>
  <si>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</t>
  </si>
  <si>
    <t>)*0,8</t>
  </si>
  <si>
    <t>Общестроительные работы</t>
  </si>
  <si>
    <t>Отделочные работы</t>
  </si>
  <si>
    <t>ФЕР-15</t>
  </si>
  <si>
    <t>Поправка: Табл.2, п.2</t>
  </si>
  <si>
    <t>*0,9</t>
  </si>
  <si>
    <t>*0,85</t>
  </si>
  <si>
    <t>2</t>
  </si>
  <si>
    <t>63-5-1</t>
  </si>
  <si>
    <t>Снятие обоев простых и улучшенных</t>
  </si>
  <si>
    <t>ФЕРр-2001, 63-5-1, приказ Минстроя России №1039/пр от 30.12.2016г.</t>
  </si>
  <si>
    <t>Ремонтно-строительные работы</t>
  </si>
  <si>
    <t>Стекольные, обойные, облицовочные работы</t>
  </si>
  <si>
    <t>рФЕР-63</t>
  </si>
  <si>
    <t>3</t>
  </si>
  <si>
    <t>63-10-1</t>
  </si>
  <si>
    <t>Разборка облицовки из гипсокартонных листов стен и перегородок (короб)</t>
  </si>
  <si>
    <t>ФЕРр-2001, 63-10-1, приказ Минстроя России №1039/пр от 30.12.2016г.</t>
  </si>
  <si>
    <t>4</t>
  </si>
  <si>
    <t>15-02-041-03</t>
  </si>
  <si>
    <t>Разборка: Устройство металлического каркаса из направляющих профилей под облицовку различными материалами стен (короб)</t>
  </si>
  <si>
    <t>ФЕР-2001, 15-02-041-03, приказ Минстроя России №886/пр от 15.06.2017</t>
  </si>
  <si>
    <t>5</t>
  </si>
  <si>
    <t>57-3-1</t>
  </si>
  <si>
    <t>Разборка плинтусов деревянных и из пластмассовых материалов</t>
  </si>
  <si>
    <t>100 м</t>
  </si>
  <si>
    <t>ФЕРр-2001, 57-3-1, приказ Минстроя России №1039/пр от 30.12.2016г.</t>
  </si>
  <si>
    <t>Полы</t>
  </si>
  <si>
    <t>рФЕР-57</t>
  </si>
  <si>
    <t>6</t>
  </si>
  <si>
    <t>57-2-3</t>
  </si>
  <si>
    <t>Разборка покрытий полов из керамических плиток</t>
  </si>
  <si>
    <t>ФЕРр-2001, 57-2-3, приказ Минстроя России №1039/пр от 30.12.2016г.</t>
  </si>
  <si>
    <t>7</t>
  </si>
  <si>
    <t>11-01-011-01</t>
  </si>
  <si>
    <t>Разборка:Устройство стяжек цементных толщиной 20 мм</t>
  </si>
  <si>
    <t>ФЕР-2001, 11-01-011-01, приказ Минстроя России №1039/пр от 30.12.2016г.</t>
  </si>
  <si>
    <t>ФЕР-11</t>
  </si>
  <si>
    <t>8</t>
  </si>
  <si>
    <t>11-01-011-02</t>
  </si>
  <si>
    <t>Разборка:Устройство стяжек на каждые 5 мм изменения толщины стяжки добавлять или исключать к расценке 11-01-011-01</t>
  </si>
  <si>
    <t>ФЕР-2001, 11-01-011-02, приказ Минстроя России №1039/пр от 30.12.2016г.</t>
  </si>
  <si>
    <t>)*0,8*2</t>
  </si>
  <si>
    <t>9</t>
  </si>
  <si>
    <t>10-01-015-02</t>
  </si>
  <si>
    <t>Разборка: Устройство барьеров в гардеробных</t>
  </si>
  <si>
    <t>ФЕР-2001, 10-01-015-02, приказ Минстроя России №1039/пр от 30.12.2016г.</t>
  </si>
  <si>
    <t>Деревянные конструкции</t>
  </si>
  <si>
    <t>ФЕР-10</t>
  </si>
  <si>
    <t>10</t>
  </si>
  <si>
    <t>46-04-012-03</t>
  </si>
  <si>
    <t>Разборка деревянных заполнений проемов дверных и воротных</t>
  </si>
  <si>
    <t>ФЕР-2001, 46-04-012-03, приказ Минстроя России №1039/пр от 30.12.2016г.</t>
  </si>
  <si>
    <t>Реконструкция зданий и сооружений</t>
  </si>
  <si>
    <t>ФЕР-46</t>
  </si>
  <si>
    <t>11</t>
  </si>
  <si>
    <t>15-07-003-02</t>
  </si>
  <si>
    <t>Грунтование водно-дисперсионной грунтовкой "Нортекс-Грунт" поверхностей пористых (камень, кирпич, бетон и т д)</t>
  </si>
  <si>
    <t>ФЕР-2001, 15-07-003-02, приказ Минстроя России №1039/пр от 30.12.2016г.</t>
  </si>
  <si>
    <t>)*1,25</t>
  </si>
  <si>
    <t>)*1,15</t>
  </si>
  <si>
    <t>Поправка: МДС 81-35.2004, п.4.7</t>
  </si>
  <si>
    <t>12</t>
  </si>
  <si>
    <t>Устройство стяжек цементных толщиной 20 мм</t>
  </si>
  <si>
    <t>12,1</t>
  </si>
  <si>
    <t>04.3.01.09-0014</t>
  </si>
  <si>
    <t>Раствор готовый кладочный цементный марки 100</t>
  </si>
  <si>
    <t>м3</t>
  </si>
  <si>
    <t>ФССЦ-2001, 04.3.01.09-0014, приказ Минстроя России №1039/пр от 30.12.2016г.</t>
  </si>
  <si>
    <t>12,2</t>
  </si>
  <si>
    <t>04.3.01.09</t>
  </si>
  <si>
    <t>Раствор готовый кладочный тяжелый цементный</t>
  </si>
  <si>
    <t>13</t>
  </si>
  <si>
    <t>Устройство стяжек на каждые 5 мм изменения толщины стяжки добавлять или исключать к расценке 11-01-011-01</t>
  </si>
  <si>
    <t>*2</t>
  </si>
  <si>
    <t>)*1,25*2</t>
  </si>
  <si>
    <t>)*1,15*2</t>
  </si>
  <si>
    <t>13,1</t>
  </si>
  <si>
    <t>13,2</t>
  </si>
  <si>
    <t>14</t>
  </si>
  <si>
    <t>11-01-011-09 прим.</t>
  </si>
  <si>
    <t>Устройство стяжек из выравнивающей смеси типа "Ветонит" 3000, толщиной 3 мм</t>
  </si>
  <si>
    <t>ФЕР-2001, 11-01-011-09, приказ Минстроя России №1039/пр от 30.12.2016г.</t>
  </si>
  <si>
    <t>14,1</t>
  </si>
  <si>
    <t>04.3.02.01-0412</t>
  </si>
  <si>
    <t>Смеси сухие для наливных полов, марка «Ветонит» 3000</t>
  </si>
  <si>
    <t>т</t>
  </si>
  <si>
    <t>ФССЦ-2001, 04.3.02.01-0412, приказ Минстроя России №1039/пр от 30.12.2016г.</t>
  </si>
  <si>
    <t>14,2</t>
  </si>
  <si>
    <t>04.3.02.01-0414</t>
  </si>
  <si>
    <t>Смеси сухие для наливных полов, марка «Ветонит» 4000, универсальный выравниватель</t>
  </si>
  <si>
    <t>ФССЦ-2001, 04.3.02.01-0414, приказ Минстроя России №1039/пр от 30.12.2016г.</t>
  </si>
  <si>
    <t>15</t>
  </si>
  <si>
    <t>11-01-047-02</t>
  </si>
  <si>
    <t>Устройство покрытий из плит керамогранитных размером 60х60 см</t>
  </si>
  <si>
    <t>ФЕР-2001, 11-01-047-02, приказ Минстроя России №1039/пр от 30.12.2016г.</t>
  </si>
  <si>
    <t>15,1</t>
  </si>
  <si>
    <t>14.4.01.02-0113</t>
  </si>
  <si>
    <t>Грунтовка акриловая НОРТЕКС-ГРУНТ</t>
  </si>
  <si>
    <t>кг</t>
  </si>
  <si>
    <t>ФССЦ-2001, 14.4.01.02-0113, приказ Минстроя России №1039/пр от 30.12.2016г.</t>
  </si>
  <si>
    <t>15,2</t>
  </si>
  <si>
    <t>14.4.01.21</t>
  </si>
  <si>
    <t>Грунтовка</t>
  </si>
  <si>
    <t>16</t>
  </si>
  <si>
    <t>11-01-039-04</t>
  </si>
  <si>
    <t>Устройство плинтусов из плиток керамических</t>
  </si>
  <si>
    <t>ФЕР-2001, 11-01-039-04, приказ Минстроя России №1039/пр от 30.12.2016г.</t>
  </si>
  <si>
    <t>16,1</t>
  </si>
  <si>
    <t>16,2</t>
  </si>
  <si>
    <t>06.2.05.03-0031</t>
  </si>
  <si>
    <t>Плитки керамические плинтусные прямые</t>
  </si>
  <si>
    <t>м</t>
  </si>
  <si>
    <t>ФССЦ-2001, 06.2.05.03-0031, приказ Минстроя России №1039/пр от 30.12.2016г.</t>
  </si>
  <si>
    <t>16,3</t>
  </si>
  <si>
    <t>16,4</t>
  </si>
  <si>
    <t>06.2.05.03</t>
  </si>
  <si>
    <t>Плитки керамические плинтусные</t>
  </si>
  <si>
    <t>17</t>
  </si>
  <si>
    <t>Устройство подвесных потолков типа &lt;Армстронг&gt; по каркасу из оцинкованного профиля</t>
  </si>
  <si>
    <t>18</t>
  </si>
  <si>
    <t>15-04-006-04</t>
  </si>
  <si>
    <t>Покрытие поверхностей грунтовкой глубокого проникновения за 2 раза стен</t>
  </si>
  <si>
    <t>ФЕР-2001, 15-04-006-04, приказ Минстроя России №1039/пр от 30.12.2016г.</t>
  </si>
  <si>
    <t>18,1</t>
  </si>
  <si>
    <t>18,2</t>
  </si>
  <si>
    <t>19</t>
  </si>
  <si>
    <t>Устройство металлического каркаса из направляющих профилей под облицовку различными материалами стен</t>
  </si>
  <si>
    <t>20</t>
  </si>
  <si>
    <t>15-02-024-02</t>
  </si>
  <si>
    <t>Облицовка гипсовыми и гипсоволокнистыми листами стен при отделке под оклейку обоями</t>
  </si>
  <si>
    <t>ФЕР-2001, 15-02-024-02, приказ Минстроя России №1039/пр от 30.12.2016г.</t>
  </si>
  <si>
    <t>20,1</t>
  </si>
  <si>
    <t>01.6.01.01-0002</t>
  </si>
  <si>
    <t>Листы гипсоволокнистые влагостойкие ГВЛВ 12,5 мм</t>
  </si>
  <si>
    <t>м2</t>
  </si>
  <si>
    <t>ФССЦ-2001, 01.6.01.01-0002, приказ Минстроя России №1039/пр от 30.12.2016г.</t>
  </si>
  <si>
    <t>20,2</t>
  </si>
  <si>
    <t>01.6.01.02</t>
  </si>
  <si>
    <t>Листы гипсокартонные</t>
  </si>
  <si>
    <t>20,3</t>
  </si>
  <si>
    <t>03.1.01.01-0002</t>
  </si>
  <si>
    <t>Гипсовые вяжущие, марка Г3</t>
  </si>
  <si>
    <t>ФССЦ-2001, 03.1.01.01-0002, приказ Минстроя России №1039/пр от 30.12.2016г.</t>
  </si>
  <si>
    <t>20,4</t>
  </si>
  <si>
    <t>04.3.01.07-0012</t>
  </si>
  <si>
    <t>Раствор готовый отделочный тяжелый, известковый 1:2,5</t>
  </si>
  <si>
    <t>ФССЦ-2001, 04.3.01.07-0012, приказ Минстроя России №1039/пр от 30.12.2016г.</t>
  </si>
  <si>
    <t>20,5</t>
  </si>
  <si>
    <t>01.7.15.06-0064</t>
  </si>
  <si>
    <t>Гвозди отделочные круглые 1,6x25 мм</t>
  </si>
  <si>
    <t>ФССЦ-2001, 01.7.15.06-0064, приказ Минстроя России №1039/пр от 30.12.2016г.</t>
  </si>
  <si>
    <t>20,6</t>
  </si>
  <si>
    <t>14.1.01.01-0001</t>
  </si>
  <si>
    <t>Клей казеиновый</t>
  </si>
  <si>
    <t>ФССЦ-2001, 14.1.01.01-0001, приказ Минстроя России №1039/пр от 30.12.2016г.</t>
  </si>
  <si>
    <t>21</t>
  </si>
  <si>
    <t>20-02-002-02 прим.</t>
  </si>
  <si>
    <t>Установка решеток жалюзийных площадью в свету до 1,0 м2 (радиаторные решётки)</t>
  </si>
  <si>
    <t>ШТ</t>
  </si>
  <si>
    <t>ФЕР-2001, 20-02-002-02, приказ Минстроя России №1039/пр от 30.12.2016г.</t>
  </si>
  <si>
    <t>Вентиляция и кондиционирование</t>
  </si>
  <si>
    <t>ФЕР-20</t>
  </si>
  <si>
    <t>21,1</t>
  </si>
  <si>
    <t>11.3.03.12-0002</t>
  </si>
  <si>
    <t>Решетка радиаторная ПВХ, размером 0,6х0,9 м</t>
  </si>
  <si>
    <t>ФССЦ-2001, 11.3.03.12-0002, приказ Минстроя России №1039/пр от 30.12.2016г.</t>
  </si>
  <si>
    <t>21,2</t>
  </si>
  <si>
    <t>19.2.03.09</t>
  </si>
  <si>
    <t>Решетки жалюзийные</t>
  </si>
  <si>
    <t>шт.</t>
  </si>
  <si>
    <t>22</t>
  </si>
  <si>
    <t>15-06-001-01</t>
  </si>
  <si>
    <t>Оклейка обоями стен по монолитной штукатурке и бетону простыми и средней плотности</t>
  </si>
  <si>
    <t>ФЕР-2001, 15-06-001-01, приказ Минстроя России №1039/пр от 30.12.2016г.</t>
  </si>
  <si>
    <t>22,1</t>
  </si>
  <si>
    <t>01.6.02.02-0011</t>
  </si>
  <si>
    <t>Стеклообои VITRULAN, рогожка крупная</t>
  </si>
  <si>
    <t>10 м2</t>
  </si>
  <si>
    <t>ФССЦ-2001, 01.6.02.02-0011, приказ Минстроя России №1039/пр от 30.12.2016г.</t>
  </si>
  <si>
    <t>22,2</t>
  </si>
  <si>
    <t>01.6.02.01</t>
  </si>
  <si>
    <t>Обои</t>
  </si>
  <si>
    <t>23</t>
  </si>
  <si>
    <t>15-06-001-04</t>
  </si>
  <si>
    <t>Оклейка обоями стен по листовым материалам, гипсобетонным и гипсолитовым поверхностям простыми и средней плотности</t>
  </si>
  <si>
    <t>ФЕР-2001, 15-06-001-04, приказ Минстроя России №1039/пр от 30.12.2016г.</t>
  </si>
  <si>
    <t>23,1</t>
  </si>
  <si>
    <t>23,2</t>
  </si>
  <si>
    <t>24</t>
  </si>
  <si>
    <t>15-04-007-03</t>
  </si>
  <si>
    <t>Окраска водно-дисперсионными акриловыми составами улучшенная по сборным конструкциям стен, подготовленным под окраску (по обоям)</t>
  </si>
  <si>
    <t>ФЕР-2001, 15-04-007-03, приказ Минстроя России №1039/пр от 30.12.2016г.</t>
  </si>
  <si>
    <t>24,1</t>
  </si>
  <si>
    <t>14.3.02.01-0005</t>
  </si>
  <si>
    <t>Краска LUJA, ТИККУРИЛА</t>
  </si>
  <si>
    <t>л</t>
  </si>
  <si>
    <t>ФССЦ-2001, 14.3.02.01-0005, приказ Минстроя России №1039/пр от 30.12.2016г.</t>
  </si>
  <si>
    <t>24,2</t>
  </si>
  <si>
    <t>24,3</t>
  </si>
  <si>
    <t>14.3.02.01</t>
  </si>
  <si>
    <t>Краска акриловая</t>
  </si>
  <si>
    <t>24,4</t>
  </si>
  <si>
    <t>25</t>
  </si>
  <si>
    <t>15-06-004-01</t>
  </si>
  <si>
    <t>Вторая окраска стен, оклееных стеклообоями, красками</t>
  </si>
  <si>
    <t>ФЕР-2001, 15-06-004-01, приказ Минстроя России №1039/пр от 30.12.2016г.</t>
  </si>
  <si>
    <t>25,1</t>
  </si>
  <si>
    <t>25,2</t>
  </si>
  <si>
    <t>14.4.02.09</t>
  </si>
  <si>
    <t>Краска</t>
  </si>
  <si>
    <t>26</t>
  </si>
  <si>
    <t>09-03-046-01</t>
  </si>
  <si>
    <t>Монтаж перегородок из алюминиевых сплавов сборно-разборных с остеклением</t>
  </si>
  <si>
    <t>ФЕР-2001, 09-03-046-01, приказ Минстроя России №1039/пр от 30.12.2016г.</t>
  </si>
  <si>
    <t>Металлические конструкции</t>
  </si>
  <si>
    <t>ФЕР-09</t>
  </si>
  <si>
    <t>26,1</t>
  </si>
  <si>
    <t>09.1.02.02-0104</t>
  </si>
  <si>
    <t>Тамбурные перегородки   размером 3730х3000мм с одной качающейся дверью прим.</t>
  </si>
  <si>
    <t>ФССЦ-2001, 09.1.02.02-0104, приказ Минстроя России №1039/пр от 30.12.2016г.</t>
  </si>
  <si>
    <t>26,2</t>
  </si>
  <si>
    <t>09.1.02.02-0108</t>
  </si>
  <si>
    <t>Тамбурные перегородки 5600х3000мм  с одной качающейся дверью прим.</t>
  </si>
  <si>
    <t>ФССЦ-2001, 09.1.02.02-0108, приказ Минстроя России №1039/пр от 30.12.2016г.</t>
  </si>
  <si>
    <t>26,3</t>
  </si>
  <si>
    <t>01.7.04.04-0012</t>
  </si>
  <si>
    <t>Замок врезной оцинкованный с цилиндровым механизмом из латуни</t>
  </si>
  <si>
    <t>компл.</t>
  </si>
  <si>
    <t>ФССЦ-2001, 01.7.04.04-0012, приказ Минстроя России №1039/пр от 30.12.2016г.</t>
  </si>
  <si>
    <t>26,4</t>
  </si>
  <si>
    <t>01.7.04.07-0002</t>
  </si>
  <si>
    <t>Скобяные изделия для блоков входных дверей в помещение двупольных</t>
  </si>
  <si>
    <t>ФССЦ-2001, 01.7.04.07-0002, приказ Минстроя России №1039/пр от 30.12.2016г.</t>
  </si>
  <si>
    <t>26,5</t>
  </si>
  <si>
    <t>01.8.02.08-0002</t>
  </si>
  <si>
    <t>Стеклопакеты с одним «Триплексом», толщиной 6 мм</t>
  </si>
  <si>
    <t>ФССЦ-2001, 01.8.02.08-0002, приказ Минстроя России №1039/пр от 30.12.2016г.</t>
  </si>
  <si>
    <t>26,6</t>
  </si>
  <si>
    <t>01.7.19.07-0003</t>
  </si>
  <si>
    <t>Резина прессованная</t>
  </si>
  <si>
    <t>ФССЦ-2001, 01.7.19.07-0003, приказ Минстроя России №1039/пр от 30.12.2016г.</t>
  </si>
  <si>
    <t>27</t>
  </si>
  <si>
    <t>10-01-039-01</t>
  </si>
  <si>
    <t>Установка блоков в наружных и внутренних дверных проемах в каменных стенах, площадь проема до 3 м2</t>
  </si>
  <si>
    <t>ФЕР-2001, 10-01-039-01, приказ Минстроя России №1039/пр от 30.12.2016г.</t>
  </si>
  <si>
    <t>27,1</t>
  </si>
  <si>
    <t>27,2</t>
  </si>
  <si>
    <t>01.7.04.07-0003</t>
  </si>
  <si>
    <t>Скобяные изделия для блоков входных дверей в помещение однопольных</t>
  </si>
  <si>
    <t>ФССЦ-2001, 01.7.04.07-0003, приказ Минстроя России №1039/пр от 30.12.2016г.</t>
  </si>
  <si>
    <t>27,3</t>
  </si>
  <si>
    <t>11.2.02.01-0023</t>
  </si>
  <si>
    <t>Блоки дверные внутренние двупольные глухие, фанерованные шпоном дуба</t>
  </si>
  <si>
    <t>ФССЦ-2001, 11.2.02.01-0023, приказ Минстроя России №1039/пр от 30.12.2016г.</t>
  </si>
  <si>
    <t>27,4</t>
  </si>
  <si>
    <t>11.2.02.01-0033</t>
  </si>
  <si>
    <t>Блоки дверные внутренние однопольные глухие, фанерованные шпоном дуба</t>
  </si>
  <si>
    <t>ФССЦ-2001, 11.2.02.01-0033, приказ Минстроя России №1039/пр от 30.12.2016г.</t>
  </si>
  <si>
    <t>27,5</t>
  </si>
  <si>
    <t>27,6</t>
  </si>
  <si>
    <t>11.2.02.01</t>
  </si>
  <si>
    <t>Блоки дверные</t>
  </si>
  <si>
    <t>28</t>
  </si>
  <si>
    <t>67-4-5</t>
  </si>
  <si>
    <t>Демонтаж светильников для люминесцентных ламп</t>
  </si>
  <si>
    <t>100 ШТ</t>
  </si>
  <si>
    <t>ФЕРр-2001, 67-4-5, приказ Минстроя России №1039/пр от 30.12.2016г.</t>
  </si>
  <si>
    <t>Электромонтажные работы</t>
  </si>
  <si>
    <t>рФЕР-67</t>
  </si>
  <si>
    <t>29</t>
  </si>
  <si>
    <t>м08-03-593-19</t>
  </si>
  <si>
    <t>Светильник в подвесных потолках</t>
  </si>
  <si>
    <t>ФЕРм-2001, м08-03-593-19, приказ Минстроя России №1039/пр от 30.12.2016г.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</si>
  <si>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</si>
  <si>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</si>
  <si>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</si>
  <si>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29,1</t>
  </si>
  <si>
    <t>20.3.03.04-0044</t>
  </si>
  <si>
    <t>Светильник со светодиодными лампами "Вартон" прим.</t>
  </si>
  <si>
    <t>ФССЦ-2001, 20.3.03.04-0044, приказ Минстроя России №1039/пр от 30.12.2016г.</t>
  </si>
  <si>
    <t>30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</si>
  <si>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</si>
  <si>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</si>
  <si>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</si>
  <si>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30,1</t>
  </si>
  <si>
    <t>24.3.01.02-0022</t>
  </si>
  <si>
    <t>Трубы гибкие гофрированные легкие из самозатухающего ПВХ (IP55) серии FL, с зондом, диаметром 20 мм</t>
  </si>
  <si>
    <t>10 м</t>
  </si>
  <si>
    <t>ФССЦ-2001, 24.3.01.02-0022, приказ Минстроя России №1039/пр от 30.12.2016г.</t>
  </si>
  <si>
    <t>31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</si>
  <si>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</si>
  <si>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</si>
  <si>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</si>
  <si>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31,1</t>
  </si>
  <si>
    <t>21.1.06.09-0100</t>
  </si>
  <si>
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</si>
  <si>
    <t>1000 м</t>
  </si>
  <si>
    <t>ФССЦ-2001, 21.1.06.09-0100, приказ Минстроя России №1039/пр от 30.12.2016г.</t>
  </si>
  <si>
    <t>1000 М</t>
  </si>
  <si>
    <t>32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</si>
  <si>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</si>
  <si>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</si>
  <si>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</si>
  <si>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32,1</t>
  </si>
  <si>
    <t>21.1.06.09-0099</t>
  </si>
  <si>
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</si>
  <si>
    <t>ФССЦ-2001, 21.1.06.09-0099, приказ Минстроя России №1039/пр от 30.12.2016г.</t>
  </si>
  <si>
    <t>33</t>
  </si>
  <si>
    <t>46-03-011-01</t>
  </si>
  <si>
    <t>Пробивка в кирпичных стенах борозд площадью сечения до 20 см2</t>
  </si>
  <si>
    <t>ФЕР-2001, 46-03-011-01, приказ Минстроя России №1039/пр от 30.12.2016г.</t>
  </si>
  <si>
    <t>34</t>
  </si>
  <si>
    <t>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</si>
  <si>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</si>
  <si>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ФЕРр-2001, 61-2-7, приказ Минстроя России №1039/пр от 30.12.2016г.</t>
  </si>
  <si>
    <t>Штукатрурные работы</t>
  </si>
  <si>
    <t>рФЕР-61</t>
  </si>
  <si>
    <t>35</t>
  </si>
  <si>
    <t>м08-02-403-03</t>
  </si>
  <si>
    <t>Провод групповой в защитной оболочке или кабель трех-пятижильный под штукатурку по стенам или в бороздах</t>
  </si>
  <si>
    <t>ФЕРм-2001, м08-02-403-03, приказ Минстроя России №1039/пр от 30.12.2016г.</t>
  </si>
  <si>
    <t>35,1</t>
  </si>
  <si>
    <t>36</t>
  </si>
  <si>
    <t>м10-08-019-01</t>
  </si>
  <si>
    <t>Коробка ответвительная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</si>
  <si>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</si>
  <si>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</si>
  <si>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</si>
  <si>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36,1</t>
  </si>
  <si>
    <t>20.5.02.06-0044</t>
  </si>
  <si>
    <t>Разветвительная коробка УК-2</t>
  </si>
  <si>
    <t>10 шт.</t>
  </si>
  <si>
    <t>ФССЦ-2001, 20.5.02.06-0044, приказ Минстроя России №1039/пр от 30.12.2016г.</t>
  </si>
  <si>
    <t>37</t>
  </si>
  <si>
    <t>м08-03-591-09</t>
  </si>
  <si>
    <t>Розетка штепсельная утопленного типа при скрытой проводке</t>
  </si>
  <si>
    <t>ФЕРм-2001, м08-03-591-09, приказ Минстроя России №1039/пр от 30.12.2016г.</t>
  </si>
  <si>
    <t>37,1</t>
  </si>
  <si>
    <t>20.4.03.07-0016</t>
  </si>
  <si>
    <t>Розетка штепсельная Mosaic с заземляющим контактом</t>
  </si>
  <si>
    <t>100 шт.</t>
  </si>
  <si>
    <t>ФССЦ-2001, 20.4.03.07-0016, приказ Минстроя России №1039/пр от 30.12.2016г.</t>
  </si>
  <si>
    <t>38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</si>
  <si>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</si>
  <si>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</si>
  <si>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</si>
  <si>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38,1</t>
  </si>
  <si>
    <t>62.1.01.02-0011</t>
  </si>
  <si>
    <t>Выключатели автоматические дифференциального тока двухполюсные АД12 2Р 25А 30мА</t>
  </si>
  <si>
    <t>ФССЦ-2001, 62.1.01.02-0011, приказ Минстроя России №1039/пр от 30.12.2016г.</t>
  </si>
  <si>
    <t>39</t>
  </si>
  <si>
    <t>65-33-1</t>
  </si>
  <si>
    <t>Смена жалюзийных решеток</t>
  </si>
  <si>
    <t>ФЕРр-2001, 65-33-1, приказ Минстроя России №1039/пр от 30.12.2016г.</t>
  </si>
  <si>
    <t>Внтуренниие с/техработы: смена труб</t>
  </si>
  <si>
    <t>рФЕР-65</t>
  </si>
  <si>
    <t>39,1</t>
  </si>
  <si>
    <t>19.2.03.07-0006</t>
  </si>
  <si>
    <t>Решетка вентиляционная пластмассовая размером 300х300 мм</t>
  </si>
  <si>
    <t>ФССЦ-2001, 19.2.03.07-0006, приказ Минстроя России №1039/пр от 30.12.2016г.</t>
  </si>
  <si>
    <t>39,2</t>
  </si>
  <si>
    <t>40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</si>
  <si>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</si>
  <si>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</si>
  <si>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</si>
  <si>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</si>
  <si>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</si>
  <si>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</si>
  <si>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</si>
  <si>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41</t>
  </si>
  <si>
    <t>т03-01-01-020</t>
  </si>
  <si>
    <t>Перевозка грузов I класса автомобилями бортовыми грузоподъемностью до 15 т на расстояние до 20 км</t>
  </si>
  <si>
    <t>ФССЦпг-2001, т03-01-01-020,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</si>
  <si>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</si>
  <si>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</si>
  <si>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</si>
  <si>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</si>
  <si>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</si>
  <si>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</si>
  <si>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</si>
  <si>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</si>
  <si>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</si>
  <si>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</si>
  <si>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</si>
  <si>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</si>
  <si>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</si>
  <si>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</si>
  <si>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</si>
  <si>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</si>
  <si>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</si>
  <si>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</si>
  <si>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</si>
  <si>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</si>
  <si>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</si>
  <si>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</si>
  <si>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</si>
  <si>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</si>
  <si>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</si>
  <si>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</si>
  <si>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</si>
  <si>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</si>
  <si>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</si>
  <si>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</si>
  <si>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</si>
  <si>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</si>
  <si>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</si>
  <si>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</si>
  <si>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</si>
  <si>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</si>
  <si>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</si>
  <si>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</si>
  <si>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</si>
  <si>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</si>
  <si>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</si>
  <si>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</si>
  <si>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</si>
  <si>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</si>
  <si>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</si>
  <si>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</si>
  <si>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</si>
  <si>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</si>
  <si>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</si>
  <si>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</si>
  <si>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</si>
  <si>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</si>
  <si>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</si>
  <si>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</si>
  <si>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</si>
  <si>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</si>
  <si>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</si>
  <si>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</si>
  <si>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</si>
  <si>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</si>
  <si>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</si>
  <si>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</si>
  <si>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</si>
  <si>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</si>
  <si>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</si>
  <si>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</si>
  <si>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</si>
  <si>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</si>
  <si>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</si>
  <si>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</si>
  <si>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</si>
  <si>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</si>
  <si>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</si>
  <si>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</si>
  <si>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</si>
  <si>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</si>
  <si>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</si>
  <si>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</si>
  <si>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</si>
  <si>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</si>
  <si>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</si>
  <si>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</si>
  <si>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</si>
  <si>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</si>
  <si>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</si>
  <si>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</si>
  <si>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</si>
  <si>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</si>
  <si>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</si>
  <si>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</si>
  <si>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</si>
  <si>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</si>
  <si>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</si>
  <si>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</si>
  <si>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</si>
  <si>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</si>
  <si>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</si>
  <si>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</si>
  <si>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</si>
  <si>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</si>
  <si>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</si>
  <si>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</si>
  <si>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</si>
  <si>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</si>
  <si>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</si>
  <si>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</si>
  <si>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</si>
  <si>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</si>
  <si>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</si>
  <si>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</si>
  <si>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</si>
  <si>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</si>
  <si>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</si>
  <si>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</si>
  <si>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</si>
  <si>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</si>
  <si>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</si>
  <si>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</si>
  <si>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</si>
  <si>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</si>
  <si>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</si>
  <si>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</si>
  <si>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</si>
  <si>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</si>
  <si>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1-100-38</t>
  </si>
  <si>
    <t>Рабочий среднего разряда 3.8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</si>
  <si>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</si>
  <si>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</si>
  <si>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</si>
  <si>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</si>
  <si>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</si>
  <si>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</si>
  <si>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</si>
  <si>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</si>
  <si>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</si>
  <si>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</si>
  <si>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</si>
  <si>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</si>
  <si>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</si>
  <si>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1-100-20</t>
  </si>
  <si>
    <t>Рабочий среднего разряда 2</t>
  </si>
  <si>
    <t>1-100-31</t>
  </si>
  <si>
    <t>Рабочий среднего разряда 3.1</t>
  </si>
  <si>
    <t>1-100-30</t>
  </si>
  <si>
    <t>Рабочий среднего разряда 3</t>
  </si>
  <si>
    <t>01.7.15.07-0082</t>
  </si>
  <si>
    <t>ФССЦ-2001, 01.7.15.07-0082, приказ Минстроя России №1039/пр от 30.12.2016г.</t>
  </si>
  <si>
    <t>Дюбель-гвоздь 6/39 мм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</si>
  <si>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</si>
  <si>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</si>
  <si>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</si>
  <si>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01.7.15.14-0042</t>
  </si>
  <si>
    <t>ФССЦ-2001, 01.7.15.14-0042, приказ Минстроя России №1039/пр от 30.12.2016г.</t>
  </si>
  <si>
    <t>Шуруп самонарезающий (LN) 3,5/9,5 мм</t>
  </si>
  <si>
    <t>07.2.06.03-0116</t>
  </si>
  <si>
    <t>ФССЦ-2001, 07.2.06.03-0116, приказ Минстроя России №1039/пр от 30.12.2016г.</t>
  </si>
  <si>
    <t>Профиль направляющий ПН-4 75/40/0,6</t>
  </si>
  <si>
    <t>07.2.06.03-0199</t>
  </si>
  <si>
    <t>ФССЦ-2001, 07.2.06.03-0199, приказ Минстроя России №1039/пр от 30.12.2016г.</t>
  </si>
  <si>
    <t>Профиль стоечный ПС-4 75/50/0,6</t>
  </si>
  <si>
    <t>07.2.06.04-0075</t>
  </si>
  <si>
    <t>ФССЦ-2001, 07.2.06.04-0075, приказ Минстроя России №1039/пр от 30.12.2016г.</t>
  </si>
  <si>
    <t>Подвес прямой для профиля ПП 60х27 мм, толщина 0,9 мм</t>
  </si>
  <si>
    <t>11.1.03.01-0003</t>
  </si>
  <si>
    <t>ФССЦ-2001, 11.1.03.01-0003, приказ Минстроя России №1039/пр от 30.12.2016г.</t>
  </si>
  <si>
    <t>Бруски деревянные 75*50 мм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</si>
  <si>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</si>
  <si>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</si>
  <si>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</si>
  <si>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</si>
  <si>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</si>
  <si>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01.7.03.01-0001</t>
  </si>
  <si>
    <t>ФССЦ-2001, 01.7.03.01-0001, приказ Минстроя России №1039/пр от 30.12.2016г.</t>
  </si>
  <si>
    <t>Вода</t>
  </si>
  <si>
    <t>1-100-28</t>
  </si>
  <si>
    <t>Рабочий среднего разряда 2.8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</si>
  <si>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</si>
  <si>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</si>
  <si>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</si>
  <si>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11.1.03.06-0090</t>
  </si>
  <si>
    <t>ФССЦ-2001, 11.1.03.06-0090, приказ Минстроя России №1039/пр от 30.12.2016г.</t>
  </si>
  <si>
    <t>Доски обрезные хвойных пород длиной 4-6,5 м, шириной 75-150 мм, толщиной 32-40 мм, II сорта</t>
  </si>
  <si>
    <t>11.1.03.06-0094</t>
  </si>
  <si>
    <t>ФССЦ-2001, 11.1.03.06-0094, приказ Минстроя России №1039/пр от 30.12.2016г.</t>
  </si>
  <si>
    <t>Доски обрезные хвойных пород длиной 4-6,5 м, шириной 75-150 мм, толщиной 44 мм и более, II сорта</t>
  </si>
  <si>
    <t>11.2.07.12-0011</t>
  </si>
  <si>
    <t>ФССЦ-2001, 11.2.07.12-0011, приказ Минстроя России №1039/пр от 30.12.2016г.</t>
  </si>
  <si>
    <t>Штапик (раскладка), размер 19х19 мм</t>
  </si>
  <si>
    <t>1-100-24</t>
  </si>
  <si>
    <t>Рабочий среднего разряда 2.4</t>
  </si>
  <si>
    <t>1-100-36</t>
  </si>
  <si>
    <t>Рабочий среднего разряда 3.6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</si>
  <si>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</si>
  <si>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</si>
  <si>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</si>
  <si>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</si>
  <si>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</si>
  <si>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</si>
  <si>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01.7.20.08-0051</t>
  </si>
  <si>
    <t>ФССЦ-2001, 01.7.20.08-0051, приказ Минстроя России №1039/пр от 30.12.2016г.</t>
  </si>
  <si>
    <t>Ветошь</t>
  </si>
  <si>
    <t>1-100-32</t>
  </si>
  <si>
    <t>Рабочий среднего разряда 3.2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</si>
  <si>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</si>
  <si>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</si>
  <si>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</si>
  <si>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</si>
  <si>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</si>
  <si>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</si>
  <si>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</si>
  <si>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</si>
  <si>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</si>
  <si>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</si>
  <si>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</si>
  <si>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</si>
  <si>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06.2.05.03-0002</t>
  </si>
  <si>
    <t>ФССЦ-2001, 06.2.05.03-0002, приказ Минстроя России №1039/пр от 30.12.2016г.</t>
  </si>
  <si>
    <t>Гранит керамический многоцветный неполированный, размером 300х600х10 мм, 600х600х10 мм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</si>
  <si>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</si>
  <si>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</si>
  <si>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</si>
  <si>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1-100-39</t>
  </si>
  <si>
    <t>Рабочий среднего разряда 3.9</t>
  </si>
  <si>
    <t>1-100-40</t>
  </si>
  <si>
    <t>Рабочий среднего разряда 4</t>
  </si>
  <si>
    <t>1-100-34</t>
  </si>
  <si>
    <t>Рабочий среднего разряда 3.4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</si>
  <si>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</si>
  <si>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</si>
  <si>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</si>
  <si>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</si>
  <si>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</si>
  <si>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</si>
  <si>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</si>
  <si>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</si>
  <si>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</si>
  <si>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</si>
  <si>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</si>
  <si>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</si>
  <si>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08.4.03.02-0004</t>
  </si>
  <si>
    <t>ФССЦ-2001, 08.4.03.02-0004, приказ Минстроя России №1039/пр от 30.12.2016г.</t>
  </si>
  <si>
    <t>Горячекатаная арматурная сталь гладкая класса А-I, диаметром 12 мм</t>
  </si>
  <si>
    <t>1-100-33</t>
  </si>
  <si>
    <t>Рабочий среднего разряда 3.3</t>
  </si>
  <si>
    <t>01.7.02.10-0005</t>
  </si>
  <si>
    <t>ФССЦ-2001, 01.7.02.10-0005, приказ Минстроя России №1039/пр от 30.12.2016г.</t>
  </si>
  <si>
    <t>Бумага ролевая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</si>
  <si>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</si>
  <si>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</si>
  <si>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</si>
  <si>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14.1.03.01-0001</t>
  </si>
  <si>
    <t>ФССЦ-2001, 14.1.03.01-0001, приказ Минстроя России №1039/пр от 30.12.2016г.</t>
  </si>
  <si>
    <t>Клей для обоев КМЦ</t>
  </si>
  <si>
    <t>14.5.11.01-0001</t>
  </si>
  <si>
    <t>ФССЦ-2001, 14.5.11.01-0001, приказ Минстроя России №1039/пр от 30.12.2016г.</t>
  </si>
  <si>
    <t>Шпатлевка клеевая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</si>
  <si>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</si>
  <si>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</si>
  <si>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</si>
  <si>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</si>
  <si>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</si>
  <si>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</si>
  <si>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1-100-43</t>
  </si>
  <si>
    <t>Рабочий среднего разряда 4.3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</si>
  <si>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</si>
  <si>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</si>
  <si>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</si>
  <si>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</si>
  <si>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</si>
  <si>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</si>
  <si>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07.2.07.12-0020</t>
  </si>
  <si>
    <t>ФССЦ-2001, 07.2.07.12-0020, приказ Минстроя России №1039/пр от 30.12.2016г.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</si>
  <si>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</si>
  <si>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</si>
  <si>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</si>
  <si>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</si>
  <si>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</si>
  <si>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</si>
  <si>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</si>
  <si>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</si>
  <si>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</si>
  <si>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</si>
  <si>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01.7.15.06-0111</t>
  </si>
  <si>
    <t>ФССЦ-2001, 01.7.15.06-0111, приказ Минстроя России №1039/пр от 30.12.2016г.</t>
  </si>
  <si>
    <t>Гвозди строительные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</si>
  <si>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</si>
  <si>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</si>
  <si>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</si>
  <si>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</si>
  <si>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</si>
  <si>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</si>
  <si>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</si>
  <si>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</si>
  <si>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</si>
  <si>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1-100-23</t>
  </si>
  <si>
    <t>Рабочий среднего разряда 2.3</t>
  </si>
  <si>
    <t>1-100-42</t>
  </si>
  <si>
    <t>Рабочий среднего разряда 4.2</t>
  </si>
  <si>
    <t>20.5.04.10-0011</t>
  </si>
  <si>
    <t>ФССЦ-2001, 20.5.04.10-0011, приказ Минстроя России №1039/пр от 30.12.2016г.</t>
  </si>
  <si>
    <t>Сжимы соединительные</t>
  </si>
  <si>
    <t>999-9950</t>
  </si>
  <si>
    <t>Вспомогательные ненормируемые материалы (2% от ОЗП)</t>
  </si>
  <si>
    <t>РУБ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</si>
  <si>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</si>
  <si>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</si>
  <si>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</si>
  <si>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</si>
  <si>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</si>
  <si>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</si>
  <si>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</si>
  <si>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</si>
  <si>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</si>
  <si>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</si>
  <si>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</si>
  <si>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</si>
  <si>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</si>
  <si>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</si>
  <si>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1000 шт.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</si>
  <si>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</si>
  <si>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</si>
  <si>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</si>
  <si>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</si>
  <si>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</si>
  <si>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</si>
  <si>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</si>
  <si>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</si>
  <si>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</si>
  <si>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</si>
  <si>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</si>
  <si>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</si>
  <si>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</si>
  <si>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</si>
  <si>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</si>
  <si>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24.3.01.01-0001</t>
  </si>
  <si>
    <t>ФССЦ-2001, 24.3.01.01-0001, приказ Минстроя России №1039/пр от 30.12.2016г.</t>
  </si>
  <si>
    <t>Трубка поливинилхлоридная ХВТ</t>
  </si>
  <si>
    <t>1-100-41</t>
  </si>
  <si>
    <t>Рабочий среднего разряда 4.1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</si>
  <si>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</si>
  <si>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</si>
  <si>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</si>
  <si>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</si>
  <si>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</si>
  <si>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</si>
  <si>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01.7.15.03-0042</t>
  </si>
  <si>
    <t>ФССЦ-2001, 01.7.15.03-0042, приказ Минстроя России №1039/пр от 30.12.2016г.</t>
  </si>
  <si>
    <t>20.2.02.01-0019</t>
  </si>
  <si>
    <t>ФССЦ-2001, 20.2.02.01-0019, приказ Минстроя России №1039/пр от 30.12.2016г.</t>
  </si>
  <si>
    <t>Втулки изолирующие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</si>
  <si>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</si>
  <si>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</si>
  <si>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</si>
  <si>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</si>
  <si>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</si>
  <si>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</si>
  <si>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</si>
  <si>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</si>
  <si>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</si>
  <si>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</si>
  <si>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</si>
  <si>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</si>
  <si>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</si>
  <si>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</si>
  <si>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</si>
  <si>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</si>
  <si>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</si>
  <si>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</si>
  <si>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</si>
  <si>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</si>
  <si>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</si>
  <si>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</si>
  <si>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</si>
  <si>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</si>
  <si>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01.7.07.07</t>
  </si>
  <si>
    <t>Строительный мусор</t>
  </si>
  <si>
    <t>01.7.04.11</t>
  </si>
  <si>
    <t>Приборы дверные накладные</t>
  </si>
  <si>
    <t>11.2.13.06</t>
  </si>
  <si>
    <t>Щиты перегородок</t>
  </si>
  <si>
    <t>11.2.04.05</t>
  </si>
  <si>
    <t>Рейки деревянные</t>
  </si>
  <si>
    <t>Раствор цементный</t>
  </si>
  <si>
    <t>01.8.02.02-0001</t>
  </si>
  <si>
    <t>ФССЦ-2001, 01.8.02.02-0001, приказ Минстроя России №1039/пр от 30.12.2016г.</t>
  </si>
  <si>
    <t>Стекло армированное листовое бесцветное толщиной 5,5 мм гладкое</t>
  </si>
  <si>
    <t>01.8.02.06-0111</t>
  </si>
  <si>
    <t>ФССЦ-2001, 01.8.02.06-0111, приказ Минстроя России №1039/пр от 30.12.2016г.</t>
  </si>
  <si>
    <t>Стекло листовое прокатное для витражей бесцветное толщиной 3,5 мм</t>
  </si>
  <si>
    <t>09.3.01.01</t>
  </si>
  <si>
    <t>Алюминиевые конструкции</t>
  </si>
  <si>
    <t>Скобяные изделия</t>
  </si>
  <si>
    <t>08.1.02.25</t>
  </si>
  <si>
    <t>Ерши металлические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</si>
  <si>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</si>
  <si>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</si>
  <si>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</si>
  <si>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</si>
  <si>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</si>
  <si>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</si>
  <si>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</si>
  <si>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</si>
  <si>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</si>
  <si>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</si>
  <si>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</si>
  <si>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</si>
  <si>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</si>
  <si>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</si>
  <si>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</si>
  <si>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</si>
  <si>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</si>
  <si>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</si>
  <si>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</si>
  <si>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</si>
  <si>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</si>
  <si>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</si>
  <si>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</si>
  <si>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</si>
  <si>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</si>
  <si>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</si>
  <si>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</si>
  <si>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</si>
  <si>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</si>
  <si>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</si>
  <si>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</si>
  <si>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</si>
  <si>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</si>
  <si>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к нр *2</t>
  </si>
  <si>
    <t xml:space="preserve"> СМЕТА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</si>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</sst>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7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3" fillId="0" borderId="0" xfId="0" applyFont="1" applyAlignment="1">
      <alignment vertical="center" wrapText="1"/>
    </xf>
    <xf numFmtId="0" fontId="13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0" xfId="0" applyFont="1" applyAlignment="1">
      <alignment wrapText="1"/>
    </xf>
    <xf numFmtId="164" fontId="0" fillId="0" borderId="0" xfId="0" applyNumberFormat="1"/>
    <xf numFmtId="0" fontId="13" fillId="0" borderId="0" xfId="0" applyFont="1"/>
    <xf numFmtId="0" fontId="11" fillId="0" borderId="0" xfId="0" applyFont="1" applyAlignment="1">
      <alignment horizontal="left" wrapText="1"/>
    </xf>
    <xf numFmtId="0" fontId="16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6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4" fillId="0" borderId="2" xfId="0" applyFont="1" applyBorder="1" applyAlignment="1">
      <alignment horizontal="center" wrapText="1"/>
    </xf>
    <xf numFmtId="164" fontId="13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164" fontId="11" fillId="0" borderId="0" xfId="0" applyNumberFormat="1" applyFont="1" applyAlignment="1">
      <alignment horizontal="right"/>
    </xf>
    <xf numFmtId="0" fontId="13" fillId="0" borderId="0" xfId="0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12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43"/>
  <sheetViews>
    <sheetView tabSelected="1" topLeftCell="A430" zoomScaleNormal="100" workbookViewId="0">
      <selection activeCell="C456" sqref="C456"/>
    </sheetView>
  </sheetViews>
  <sheetFormatPr defaultRowHeight="12.75" x14ac:dyDescent="0.2"/>
  <cols>
    <col min="1" max="1" width="5.7109375" customWidth="1"/>
    <col min="2" max="2" width="17.425781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9" t="str">
        <f>Source!B1</f>
        <v>Smeta.RU  (495) 974-1589</v>
      </c>
    </row>
    <row r="2" spans="1:30" ht="14.25" x14ac:dyDescent="0.2">
      <c r="A2" s="10"/>
      <c r="B2" s="10"/>
      <c r="C2" s="10"/>
      <c r="D2" s="10"/>
      <c r="E2" s="10"/>
      <c r="F2" s="10"/>
      <c r="G2" s="10"/>
      <c r="H2" s="10"/>
      <c r="I2" s="10" t="s">
        <v>822</v>
      </c>
      <c r="J2" s="10"/>
      <c r="K2" s="11"/>
      <c r="L2" s="11"/>
    </row>
    <row r="3" spans="1:30" ht="14.25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30" ht="15.75" x14ac:dyDescent="0.25">
      <c r="A4" s="12"/>
      <c r="B4" s="55" t="s">
        <v>821</v>
      </c>
      <c r="C4" s="55"/>
      <c r="D4" s="55"/>
      <c r="E4" s="55"/>
      <c r="F4" s="55"/>
      <c r="G4" s="55"/>
      <c r="H4" s="55"/>
      <c r="I4" s="55"/>
      <c r="J4" s="55"/>
      <c r="K4" s="55"/>
      <c r="L4" s="12"/>
    </row>
    <row r="5" spans="1:30" ht="18" hidden="1" x14ac:dyDescent="0.25">
      <c r="A5" s="12"/>
      <c r="B5" s="56" t="str">
        <f>IF(Source!G20&lt;&gt;"Новая локальная смета", Source!G20, "")</f>
        <v/>
      </c>
      <c r="C5" s="56"/>
      <c r="D5" s="56"/>
      <c r="E5" s="56"/>
      <c r="F5" s="56"/>
      <c r="G5" s="56"/>
      <c r="H5" s="56"/>
      <c r="I5" s="56"/>
      <c r="J5" s="56"/>
      <c r="K5" s="56"/>
      <c r="L5" s="12"/>
    </row>
    <row r="6" spans="1:30" ht="14.25" hidden="1" x14ac:dyDescent="0.2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30" ht="54" x14ac:dyDescent="0.25">
      <c r="A7" s="11"/>
      <c r="B7" s="56" t="str">
        <f>IF(Source!G12&lt;&gt;"Новый объект", Source!G12, "")</f>
        <v>на капитальный ремонт помещения №23 в осях В-Д/5-8 цокольного этажа здания учебно-лабораторного корпуса№2 Саровского физико-технического  института -филиала НИЯУ МИФИ (СарФТИ НИЯУ МИФИ) по адресу: Нижегородская обл.г.Саров,ул.Духова,д.6А</v>
      </c>
      <c r="C7" s="56"/>
      <c r="D7" s="56"/>
      <c r="E7" s="56"/>
      <c r="F7" s="56"/>
      <c r="G7" s="56"/>
      <c r="H7" s="56"/>
      <c r="I7" s="56"/>
      <c r="J7" s="56"/>
      <c r="K7" s="56"/>
      <c r="L7" s="13"/>
      <c r="AD7" s="43" t="str">
        <f>IF(Source!G12&lt;&gt;"Новый объект", Source!G12, "")</f>
        <v>на капитальный ремонт помещения №23 в осях В-Д/5-8 цокольного этажа здания учебно-лабораторного корпуса№2 Саровского физико-технического  института -филиала НИЯУ МИФИ (СарФТИ НИЯУ МИФИ) по адресу: Нижегородская обл.г.Саров,ул.Духова,д.6А</v>
      </c>
    </row>
    <row r="8" spans="1:30" ht="14.25" x14ac:dyDescent="0.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30" ht="14.25" x14ac:dyDescent="0.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1:30" ht="14.25" x14ac:dyDescent="0.2">
      <c r="A10" s="11"/>
      <c r="B10" s="11"/>
      <c r="C10" s="11"/>
      <c r="D10" s="11"/>
      <c r="E10" s="14"/>
      <c r="F10" s="14"/>
      <c r="G10" s="57" t="s">
        <v>788</v>
      </c>
      <c r="H10" s="57"/>
      <c r="I10" s="57" t="s">
        <v>789</v>
      </c>
      <c r="J10" s="57"/>
      <c r="K10" s="11"/>
      <c r="L10" s="11"/>
    </row>
    <row r="11" spans="1:30" ht="15" x14ac:dyDescent="0.25">
      <c r="A11" s="11"/>
      <c r="B11" s="11"/>
      <c r="C11" s="51" t="s">
        <v>790</v>
      </c>
      <c r="D11" s="51"/>
      <c r="E11" s="51"/>
      <c r="F11" s="51"/>
      <c r="G11" s="50">
        <f>SUM(O22:O440)/1000</f>
        <v>138.05474000000007</v>
      </c>
      <c r="H11" s="50"/>
      <c r="I11" s="50">
        <f>(Source!F150/1000)</f>
        <v>1124.33699</v>
      </c>
      <c r="J11" s="50"/>
      <c r="K11" s="52" t="s">
        <v>791</v>
      </c>
      <c r="L11" s="52"/>
    </row>
    <row r="12" spans="1:30" ht="14.25" x14ac:dyDescent="0.2">
      <c r="A12" s="11"/>
      <c r="B12" s="11"/>
      <c r="C12" s="54" t="s">
        <v>792</v>
      </c>
      <c r="D12" s="54"/>
      <c r="E12" s="54"/>
      <c r="F12" s="54"/>
      <c r="G12" s="50">
        <f>SUM(W22:W440)/1000</f>
        <v>123.76872</v>
      </c>
      <c r="H12" s="50"/>
      <c r="I12" s="50">
        <f>(Source!F137)/1000</f>
        <v>854.25447999999994</v>
      </c>
      <c r="J12" s="50"/>
      <c r="K12" s="52" t="s">
        <v>791</v>
      </c>
      <c r="L12" s="52"/>
    </row>
    <row r="13" spans="1:30" ht="14.25" x14ac:dyDescent="0.2">
      <c r="A13" s="11"/>
      <c r="B13" s="11"/>
      <c r="C13" s="54" t="s">
        <v>793</v>
      </c>
      <c r="D13" s="54"/>
      <c r="E13" s="54"/>
      <c r="F13" s="54"/>
      <c r="G13" s="50">
        <f>SUM(X22:X440)/1000</f>
        <v>14.286020000000001</v>
      </c>
      <c r="H13" s="50"/>
      <c r="I13" s="50">
        <f>(Source!F138)/1000</f>
        <v>98.573479999999989</v>
      </c>
      <c r="J13" s="50"/>
      <c r="K13" s="52" t="s">
        <v>791</v>
      </c>
      <c r="L13" s="52"/>
    </row>
    <row r="14" spans="1:30" ht="14.25" x14ac:dyDescent="0.2">
      <c r="A14" s="11"/>
      <c r="B14" s="11"/>
      <c r="C14" s="54" t="s">
        <v>794</v>
      </c>
      <c r="D14" s="54"/>
      <c r="E14" s="54"/>
      <c r="F14" s="54"/>
      <c r="G14" s="50">
        <f>SUM(Y22:Y440)/1000</f>
        <v>0</v>
      </c>
      <c r="H14" s="50"/>
      <c r="I14" s="50">
        <f>(Source!F129)/1000</f>
        <v>0</v>
      </c>
      <c r="J14" s="50"/>
      <c r="K14" s="52" t="s">
        <v>791</v>
      </c>
      <c r="L14" s="52"/>
    </row>
    <row r="15" spans="1:30" ht="14.25" x14ac:dyDescent="0.2">
      <c r="A15" s="11"/>
      <c r="B15" s="11"/>
      <c r="C15" s="54" t="s">
        <v>795</v>
      </c>
      <c r="D15" s="54"/>
      <c r="E15" s="54"/>
      <c r="F15" s="54"/>
      <c r="G15" s="50">
        <f>SUM(Z22:Z440)/1000</f>
        <v>0</v>
      </c>
      <c r="H15" s="50"/>
      <c r="I15" s="50">
        <f>(Source!F139+Source!F140)/1000</f>
        <v>0</v>
      </c>
      <c r="J15" s="50"/>
      <c r="K15" s="52" t="s">
        <v>791</v>
      </c>
      <c r="L15" s="52"/>
    </row>
    <row r="16" spans="1:30" ht="15" x14ac:dyDescent="0.25">
      <c r="A16" s="11"/>
      <c r="B16" s="11"/>
      <c r="C16" s="51" t="s">
        <v>796</v>
      </c>
      <c r="D16" s="51"/>
      <c r="E16" s="51"/>
      <c r="F16" s="51"/>
      <c r="G16" s="50">
        <f>I16</f>
        <v>1056.6717566499999</v>
      </c>
      <c r="H16" s="50"/>
      <c r="I16" s="50">
        <f>(Source!F142+Source!F143)</f>
        <v>1056.6717566499999</v>
      </c>
      <c r="J16" s="50"/>
      <c r="K16" s="52" t="s">
        <v>797</v>
      </c>
      <c r="L16" s="52"/>
    </row>
    <row r="17" spans="1:26" ht="15" x14ac:dyDescent="0.25">
      <c r="A17" s="11"/>
      <c r="B17" s="11"/>
      <c r="C17" s="51" t="s">
        <v>798</v>
      </c>
      <c r="D17" s="51"/>
      <c r="E17" s="51"/>
      <c r="F17" s="51"/>
      <c r="G17" s="50">
        <f>SUM(R22:R440)/1000</f>
        <v>9.4351699999999958</v>
      </c>
      <c r="H17" s="50"/>
      <c r="I17" s="50">
        <f>(Source!F135+ Source!F134)/1000</f>
        <v>65.102599999999995</v>
      </c>
      <c r="J17" s="50"/>
      <c r="K17" s="52" t="s">
        <v>791</v>
      </c>
      <c r="L17" s="52"/>
    </row>
    <row r="18" spans="1:26" ht="14.25" x14ac:dyDescent="0.2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26" ht="14.25" x14ac:dyDescent="0.2">
      <c r="A19" s="53" t="s">
        <v>811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</row>
    <row r="20" spans="1:26" ht="57" x14ac:dyDescent="0.2">
      <c r="A20" s="15" t="s">
        <v>799</v>
      </c>
      <c r="B20" s="15" t="s">
        <v>800</v>
      </c>
      <c r="C20" s="15" t="s">
        <v>801</v>
      </c>
      <c r="D20" s="15" t="s">
        <v>802</v>
      </c>
      <c r="E20" s="15" t="s">
        <v>803</v>
      </c>
      <c r="F20" s="15" t="s">
        <v>804</v>
      </c>
      <c r="G20" s="15" t="s">
        <v>805</v>
      </c>
      <c r="H20" s="15" t="s">
        <v>806</v>
      </c>
      <c r="I20" s="15" t="s">
        <v>807</v>
      </c>
      <c r="J20" s="15" t="s">
        <v>808</v>
      </c>
      <c r="K20" s="15" t="s">
        <v>809</v>
      </c>
      <c r="L20" s="15" t="s">
        <v>810</v>
      </c>
    </row>
    <row r="21" spans="1:26" ht="14.25" x14ac:dyDescent="0.2">
      <c r="A21" s="16">
        <v>1</v>
      </c>
      <c r="B21" s="16">
        <v>2</v>
      </c>
      <c r="C21" s="16">
        <v>3</v>
      </c>
      <c r="D21" s="16">
        <v>4</v>
      </c>
      <c r="E21" s="16">
        <v>5</v>
      </c>
      <c r="F21" s="16">
        <v>6</v>
      </c>
      <c r="G21" s="16">
        <v>7</v>
      </c>
      <c r="H21" s="16">
        <v>8</v>
      </c>
      <c r="I21" s="16">
        <v>9</v>
      </c>
      <c r="J21" s="16">
        <v>10</v>
      </c>
      <c r="K21" s="16">
        <v>11</v>
      </c>
      <c r="L21" s="17">
        <v>12</v>
      </c>
    </row>
    <row r="22" spans="1:26" ht="42.75" x14ac:dyDescent="0.2">
      <c r="A22" s="38" t="str">
        <f>Source!E24</f>
        <v>1</v>
      </c>
      <c r="B22" s="39" t="str">
        <f>Source!F24</f>
        <v>15-01-047-15</v>
      </c>
      <c r="C22" s="39" t="str">
        <f>Source!G24</f>
        <v>Демонтаж:Устройство подвесных потолков типа &lt;Армстронг&gt; по каркасу из оцинкованного профиля</v>
      </c>
      <c r="D22" s="22" t="str">
        <f>Source!H24</f>
        <v>100 м2</v>
      </c>
      <c r="E22" s="10">
        <f>Source!I24</f>
        <v>0.1152</v>
      </c>
      <c r="F22" s="23">
        <f>Source!AL24+Source!AM24+Source!AO24</f>
        <v>6623.23</v>
      </c>
      <c r="G22" s="24"/>
      <c r="H22" s="23"/>
      <c r="I22" s="24" t="str">
        <f>Source!BO24</f>
        <v/>
      </c>
      <c r="J22" s="24"/>
      <c r="K22" s="23"/>
      <c r="L22" s="25"/>
      <c r="S22">
        <f>ROUND((Source!FX24/100)*((ROUND(Source!AF24*Source!I24, 2)+ROUND(Source!AE24*Source!I24, 2))), 2)</f>
        <v>89.4</v>
      </c>
      <c r="T22">
        <f>Source!X24</f>
        <v>620.13</v>
      </c>
      <c r="U22">
        <f>ROUND((Source!FY24/100)*((ROUND(Source!AF24*Source!I24, 2)+ROUND(Source!AE24*Source!I24, 2))), 2)</f>
        <v>44.23</v>
      </c>
      <c r="V22">
        <f>Source!Y24</f>
        <v>306.8</v>
      </c>
    </row>
    <row r="23" spans="1:26" x14ac:dyDescent="0.2">
      <c r="C23" s="18" t="str">
        <f>"Объем: "&amp;Source!I24&amp;"=11,52/"&amp;"100"</f>
        <v>Объем: 0,1152=11,52/100</v>
      </c>
    </row>
    <row r="24" spans="1:26" ht="14.25" x14ac:dyDescent="0.2">
      <c r="A24" s="38"/>
      <c r="B24" s="39"/>
      <c r="C24" s="39" t="s">
        <v>812</v>
      </c>
      <c r="D24" s="22"/>
      <c r="E24" s="10"/>
      <c r="F24" s="23">
        <f>Source!AO24</f>
        <v>963.12</v>
      </c>
      <c r="G24" s="24" t="str">
        <f>Source!DG24</f>
        <v>)*0,8</v>
      </c>
      <c r="H24" s="23">
        <f>ROUND(Source!AF24*Source!I24, 2)</f>
        <v>88.76</v>
      </c>
      <c r="I24" s="24"/>
      <c r="J24" s="24">
        <f>IF(Source!BA24&lt;&gt; 0, Source!BA24, 1)</f>
        <v>6.9</v>
      </c>
      <c r="K24" s="23">
        <f>Source!S24</f>
        <v>612.46</v>
      </c>
      <c r="L24" s="25"/>
      <c r="R24">
        <f>H24</f>
        <v>88.76</v>
      </c>
    </row>
    <row r="25" spans="1:26" ht="14.25" x14ac:dyDescent="0.2">
      <c r="A25" s="38"/>
      <c r="B25" s="39"/>
      <c r="C25" s="39" t="s">
        <v>417</v>
      </c>
      <c r="D25" s="22"/>
      <c r="E25" s="10"/>
      <c r="F25" s="23">
        <f>Source!AM24</f>
        <v>324.70999999999998</v>
      </c>
      <c r="G25" s="24" t="str">
        <f>Source!DE24</f>
        <v>)*0,8</v>
      </c>
      <c r="H25" s="23">
        <f>ROUND(Source!AD24*Source!I24, 2)</f>
        <v>29.93</v>
      </c>
      <c r="I25" s="24"/>
      <c r="J25" s="24">
        <f>IF(Source!BB24&lt;&gt; 0, Source!BB24, 1)</f>
        <v>6.9</v>
      </c>
      <c r="K25" s="23">
        <f>Source!Q24</f>
        <v>206.49</v>
      </c>
      <c r="L25" s="25"/>
    </row>
    <row r="26" spans="1:26" ht="14.25" x14ac:dyDescent="0.2">
      <c r="A26" s="38"/>
      <c r="B26" s="39"/>
      <c r="C26" s="39" t="s">
        <v>813</v>
      </c>
      <c r="D26" s="22"/>
      <c r="E26" s="10"/>
      <c r="F26" s="23">
        <f>Source!AN24</f>
        <v>63.39</v>
      </c>
      <c r="G26" s="24" t="str">
        <f>Source!DF24</f>
        <v>)*0,8</v>
      </c>
      <c r="H26" s="26">
        <f>ROUND(Source!AE24*Source!I24, 2)</f>
        <v>5.84</v>
      </c>
      <c r="I26" s="24"/>
      <c r="J26" s="24">
        <f>IF(Source!BS24&lt;&gt; 0, Source!BS24, 1)</f>
        <v>6.9</v>
      </c>
      <c r="K26" s="26">
        <f>Source!R24</f>
        <v>40.31</v>
      </c>
      <c r="L26" s="25"/>
      <c r="R26">
        <f>H26</f>
        <v>5.84</v>
      </c>
    </row>
    <row r="27" spans="1:26" ht="14.25" x14ac:dyDescent="0.2">
      <c r="A27" s="38"/>
      <c r="B27" s="39"/>
      <c r="C27" s="39" t="s">
        <v>814</v>
      </c>
      <c r="D27" s="22" t="s">
        <v>815</v>
      </c>
      <c r="E27" s="10">
        <f>Source!BZ24</f>
        <v>105</v>
      </c>
      <c r="F27" s="45" t="str">
        <f>CONCATENATE(" )", Source!DL24, Source!FT24, "=", Source!FX24)</f>
        <v xml:space="preserve"> )*0,9=94,5</v>
      </c>
      <c r="G27" s="46"/>
      <c r="H27" s="23">
        <f>SUM(S22:S29)</f>
        <v>89.4</v>
      </c>
      <c r="I27" s="27"/>
      <c r="J27" s="21">
        <f>Source!AT24</f>
        <v>95</v>
      </c>
      <c r="K27" s="23">
        <f>SUM(T22:T29)</f>
        <v>620.13</v>
      </c>
      <c r="L27" s="25"/>
    </row>
    <row r="28" spans="1:26" ht="14.25" x14ac:dyDescent="0.2">
      <c r="A28" s="38"/>
      <c r="B28" s="39"/>
      <c r="C28" s="39" t="s">
        <v>816</v>
      </c>
      <c r="D28" s="22" t="s">
        <v>815</v>
      </c>
      <c r="E28" s="10">
        <f>Source!CA24</f>
        <v>55</v>
      </c>
      <c r="F28" s="45" t="str">
        <f>CONCATENATE(" )", Source!DM24, Source!FU24, "=", Source!FY24)</f>
        <v xml:space="preserve"> )*0,85=46,75</v>
      </c>
      <c r="G28" s="46"/>
      <c r="H28" s="23">
        <f>SUM(U22:U29)</f>
        <v>44.23</v>
      </c>
      <c r="I28" s="27"/>
      <c r="J28" s="21">
        <f>Source!AU24</f>
        <v>47</v>
      </c>
      <c r="K28" s="23">
        <f>SUM(V22:V29)</f>
        <v>306.8</v>
      </c>
      <c r="L28" s="25"/>
    </row>
    <row r="29" spans="1:26" ht="14.25" x14ac:dyDescent="0.2">
      <c r="A29" s="40"/>
      <c r="B29" s="41"/>
      <c r="C29" s="41" t="s">
        <v>817</v>
      </c>
      <c r="D29" s="28" t="s">
        <v>818</v>
      </c>
      <c r="E29" s="29">
        <f>Source!AQ24</f>
        <v>102.46</v>
      </c>
      <c r="F29" s="30"/>
      <c r="G29" s="31" t="str">
        <f>Source!DI24</f>
        <v>)*0,8</v>
      </c>
      <c r="H29" s="30"/>
      <c r="I29" s="31"/>
      <c r="J29" s="31"/>
      <c r="K29" s="30"/>
      <c r="L29" s="32">
        <f>Source!U24</f>
        <v>9.4427135999999994</v>
      </c>
    </row>
    <row r="30" spans="1:26" ht="15" x14ac:dyDescent="0.25">
      <c r="G30" s="44">
        <f>H24+H25+H27+H28</f>
        <v>252.32</v>
      </c>
      <c r="H30" s="44"/>
      <c r="J30" s="44">
        <f>K24+K25+K27+K28</f>
        <v>1745.8799999999999</v>
      </c>
      <c r="K30" s="44"/>
      <c r="L30" s="33">
        <f>Source!U24</f>
        <v>9.4427135999999994</v>
      </c>
      <c r="O30" s="19">
        <f>G30</f>
        <v>252.32</v>
      </c>
      <c r="P30" s="19">
        <f>J30</f>
        <v>1745.8799999999999</v>
      </c>
      <c r="Q30" s="19">
        <f>L30</f>
        <v>9.4427135999999994</v>
      </c>
      <c r="W30">
        <f>IF(Source!BI24&lt;=1,H24+H25+H27+H28, 0)</f>
        <v>252.32</v>
      </c>
      <c r="X30">
        <f>IF(Source!BI24=2,H24+H25+H27+H28, 0)</f>
        <v>0</v>
      </c>
      <c r="Y30">
        <f>IF(Source!BI24=3,H24+H25+H27+H28, 0)</f>
        <v>0</v>
      </c>
      <c r="Z30">
        <f>IF(Source!BI24=4,H24+H25+H27+H28, 0)</f>
        <v>0</v>
      </c>
    </row>
    <row r="31" spans="1:26" ht="14.25" x14ac:dyDescent="0.2">
      <c r="A31" s="38" t="str">
        <f>Source!E25</f>
        <v>2</v>
      </c>
      <c r="B31" s="39" t="str">
        <f>Source!F25</f>
        <v>63-5-1</v>
      </c>
      <c r="C31" s="39" t="str">
        <f>Source!G25</f>
        <v>Снятие обоев простых и улучшенных</v>
      </c>
      <c r="D31" s="22" t="str">
        <f>Source!H25</f>
        <v>100 м2</v>
      </c>
      <c r="E31" s="10">
        <f>Source!I25</f>
        <v>0.92</v>
      </c>
      <c r="F31" s="23">
        <f>Source!AL25+Source!AM25+Source!AO25</f>
        <v>81.12</v>
      </c>
      <c r="G31" s="24"/>
      <c r="H31" s="23"/>
      <c r="I31" s="24" t="str">
        <f>Source!BO25</f>
        <v/>
      </c>
      <c r="J31" s="24"/>
      <c r="K31" s="23"/>
      <c r="L31" s="25"/>
      <c r="S31">
        <f>ROUND((Source!FX25/100)*((ROUND(Source!AF25*Source!I25, 2)+ROUND(Source!AE25*Source!I25, 2))), 2)</f>
        <v>57.47</v>
      </c>
      <c r="T31">
        <f>Source!X25</f>
        <v>396.51</v>
      </c>
      <c r="U31">
        <f>ROUND((Source!FY25/100)*((ROUND(Source!AF25*Source!I25, 2)+ROUND(Source!AE25*Source!I25, 2))), 2)</f>
        <v>37.32</v>
      </c>
      <c r="V31">
        <f>Source!Y25</f>
        <v>257.48</v>
      </c>
    </row>
    <row r="32" spans="1:26" x14ac:dyDescent="0.2">
      <c r="C32" s="18" t="str">
        <f>"Объем: "&amp;Source!I25&amp;"=92/"&amp;"100"</f>
        <v>Объем: 0,92=92/100</v>
      </c>
    </row>
    <row r="33" spans="1:26" ht="14.25" x14ac:dyDescent="0.2">
      <c r="A33" s="38"/>
      <c r="B33" s="39"/>
      <c r="C33" s="39" t="s">
        <v>812</v>
      </c>
      <c r="D33" s="22"/>
      <c r="E33" s="10"/>
      <c r="F33" s="23">
        <f>Source!AO25</f>
        <v>81.12</v>
      </c>
      <c r="G33" s="24" t="str">
        <f>Source!DG25</f>
        <v/>
      </c>
      <c r="H33" s="23">
        <f>ROUND(Source!AF25*Source!I25, 2)</f>
        <v>74.63</v>
      </c>
      <c r="I33" s="24"/>
      <c r="J33" s="24">
        <f>IF(Source!BA25&lt;&gt; 0, Source!BA25, 1)</f>
        <v>6.9</v>
      </c>
      <c r="K33" s="23">
        <f>Source!S25</f>
        <v>514.95000000000005</v>
      </c>
      <c r="L33" s="25"/>
      <c r="R33">
        <f>H33</f>
        <v>74.63</v>
      </c>
    </row>
    <row r="34" spans="1:26" ht="14.25" x14ac:dyDescent="0.2">
      <c r="A34" s="38"/>
      <c r="B34" s="39"/>
      <c r="C34" s="39" t="s">
        <v>814</v>
      </c>
      <c r="D34" s="22" t="s">
        <v>815</v>
      </c>
      <c r="E34" s="10">
        <f>Source!BZ25</f>
        <v>77</v>
      </c>
      <c r="F34" s="42"/>
      <c r="G34" s="24"/>
      <c r="H34" s="23">
        <f>SUM(S31:S36)</f>
        <v>57.47</v>
      </c>
      <c r="I34" s="27"/>
      <c r="J34" s="21">
        <f>Source!AT25</f>
        <v>77</v>
      </c>
      <c r="K34" s="23">
        <f>SUM(T31:T36)</f>
        <v>396.51</v>
      </c>
      <c r="L34" s="25"/>
    </row>
    <row r="35" spans="1:26" ht="14.25" x14ac:dyDescent="0.2">
      <c r="A35" s="38"/>
      <c r="B35" s="39"/>
      <c r="C35" s="39" t="s">
        <v>816</v>
      </c>
      <c r="D35" s="22" t="s">
        <v>815</v>
      </c>
      <c r="E35" s="10">
        <f>Source!CA25</f>
        <v>50</v>
      </c>
      <c r="F35" s="42"/>
      <c r="G35" s="24"/>
      <c r="H35" s="23">
        <f>SUM(U31:U36)</f>
        <v>37.32</v>
      </c>
      <c r="I35" s="27"/>
      <c r="J35" s="21">
        <f>Source!AU25</f>
        <v>50</v>
      </c>
      <c r="K35" s="23">
        <f>SUM(V31:V36)</f>
        <v>257.48</v>
      </c>
      <c r="L35" s="25"/>
    </row>
    <row r="36" spans="1:26" ht="14.25" x14ac:dyDescent="0.2">
      <c r="A36" s="40"/>
      <c r="B36" s="41"/>
      <c r="C36" s="41" t="s">
        <v>817</v>
      </c>
      <c r="D36" s="28" t="s">
        <v>818</v>
      </c>
      <c r="E36" s="29">
        <f>Source!AQ25</f>
        <v>10.4</v>
      </c>
      <c r="F36" s="30"/>
      <c r="G36" s="31" t="str">
        <f>Source!DI25</f>
        <v/>
      </c>
      <c r="H36" s="30"/>
      <c r="I36" s="31"/>
      <c r="J36" s="31"/>
      <c r="K36" s="30"/>
      <c r="L36" s="32">
        <f>Source!U25</f>
        <v>9.5680000000000014</v>
      </c>
    </row>
    <row r="37" spans="1:26" ht="15" x14ac:dyDescent="0.25">
      <c r="G37" s="44">
        <f>H33+H34+H35</f>
        <v>169.42</v>
      </c>
      <c r="H37" s="44"/>
      <c r="J37" s="44">
        <f>K33+K34+K35</f>
        <v>1168.94</v>
      </c>
      <c r="K37" s="44"/>
      <c r="L37" s="33">
        <f>Source!U25</f>
        <v>9.5680000000000014</v>
      </c>
      <c r="O37" s="19">
        <f>G37</f>
        <v>169.42</v>
      </c>
      <c r="P37" s="19">
        <f>J37</f>
        <v>1168.94</v>
      </c>
      <c r="Q37" s="19">
        <f>L37</f>
        <v>9.5680000000000014</v>
      </c>
      <c r="W37">
        <f>IF(Source!BI25&lt;=1,H33+H34+H35, 0)</f>
        <v>169.42</v>
      </c>
      <c r="X37">
        <f>IF(Source!BI25=2,H33+H34+H35, 0)</f>
        <v>0</v>
      </c>
      <c r="Y37">
        <f>IF(Source!BI25=3,H33+H34+H35, 0)</f>
        <v>0</v>
      </c>
      <c r="Z37">
        <f>IF(Source!BI25=4,H33+H34+H35, 0)</f>
        <v>0</v>
      </c>
    </row>
    <row r="38" spans="1:26" ht="42.75" x14ac:dyDescent="0.2">
      <c r="A38" s="38" t="str">
        <f>Source!E26</f>
        <v>3</v>
      </c>
      <c r="B38" s="39" t="str">
        <f>Source!F26</f>
        <v>63-10-1</v>
      </c>
      <c r="C38" s="39" t="str">
        <f>Source!G26</f>
        <v>Разборка облицовки из гипсокартонных листов стен и перегородок (короб)</v>
      </c>
      <c r="D38" s="22" t="str">
        <f>Source!H26</f>
        <v>100 м2</v>
      </c>
      <c r="E38" s="10">
        <f>Source!I26</f>
        <v>5.8000000000000003E-2</v>
      </c>
      <c r="F38" s="23">
        <f>Source!AL26+Source!AM26+Source!AO26</f>
        <v>69.41</v>
      </c>
      <c r="G38" s="24"/>
      <c r="H38" s="23"/>
      <c r="I38" s="24" t="str">
        <f>Source!BO26</f>
        <v/>
      </c>
      <c r="J38" s="24"/>
      <c r="K38" s="23"/>
      <c r="L38" s="25"/>
      <c r="S38">
        <f>ROUND((Source!FX26/100)*((ROUND(Source!AF26*Source!I26, 2)+ROUND(Source!AE26*Source!I26, 2))), 2)</f>
        <v>2.94</v>
      </c>
      <c r="T38">
        <f>Source!X26</f>
        <v>20.3</v>
      </c>
      <c r="U38">
        <f>ROUND((Source!FY26/100)*((ROUND(Source!AF26*Source!I26, 2)+ROUND(Source!AE26*Source!I26, 2))), 2)</f>
        <v>1.91</v>
      </c>
      <c r="V38">
        <f>Source!Y26</f>
        <v>13.18</v>
      </c>
    </row>
    <row r="39" spans="1:26" x14ac:dyDescent="0.2">
      <c r="C39" s="18" t="str">
        <f>"Объем: "&amp;Source!I26&amp;"=5,8/"&amp;"100"</f>
        <v>Объем: 0,058=5,8/100</v>
      </c>
    </row>
    <row r="40" spans="1:26" ht="14.25" x14ac:dyDescent="0.2">
      <c r="A40" s="38"/>
      <c r="B40" s="39"/>
      <c r="C40" s="39" t="s">
        <v>812</v>
      </c>
      <c r="D40" s="22"/>
      <c r="E40" s="10"/>
      <c r="F40" s="23">
        <f>Source!AO26</f>
        <v>63.16</v>
      </c>
      <c r="G40" s="24" t="str">
        <f>Source!DG26</f>
        <v/>
      </c>
      <c r="H40" s="23">
        <f>ROUND(Source!AF26*Source!I26, 2)</f>
        <v>3.66</v>
      </c>
      <c r="I40" s="24"/>
      <c r="J40" s="24">
        <f>IF(Source!BA26&lt;&gt; 0, Source!BA26, 1)</f>
        <v>6.9</v>
      </c>
      <c r="K40" s="23">
        <f>Source!S26</f>
        <v>25.28</v>
      </c>
      <c r="L40" s="25"/>
      <c r="R40">
        <f>H40</f>
        <v>3.66</v>
      </c>
    </row>
    <row r="41" spans="1:26" ht="14.25" x14ac:dyDescent="0.2">
      <c r="A41" s="38"/>
      <c r="B41" s="39"/>
      <c r="C41" s="39" t="s">
        <v>417</v>
      </c>
      <c r="D41" s="22"/>
      <c r="E41" s="10"/>
      <c r="F41" s="23">
        <f>Source!AM26</f>
        <v>6.25</v>
      </c>
      <c r="G41" s="24" t="str">
        <f>Source!DE26</f>
        <v/>
      </c>
      <c r="H41" s="23">
        <f>ROUND(Source!AD26*Source!I26, 2)</f>
        <v>0.36</v>
      </c>
      <c r="I41" s="24"/>
      <c r="J41" s="24">
        <f>IF(Source!BB26&lt;&gt; 0, Source!BB26, 1)</f>
        <v>6.9</v>
      </c>
      <c r="K41" s="23">
        <f>Source!Q26</f>
        <v>2.5</v>
      </c>
      <c r="L41" s="25"/>
    </row>
    <row r="42" spans="1:26" ht="14.25" x14ac:dyDescent="0.2">
      <c r="A42" s="38"/>
      <c r="B42" s="39"/>
      <c r="C42" s="39" t="s">
        <v>813</v>
      </c>
      <c r="D42" s="22"/>
      <c r="E42" s="10"/>
      <c r="F42" s="23">
        <f>Source!AN26</f>
        <v>2.7</v>
      </c>
      <c r="G42" s="24" t="str">
        <f>Source!DF26</f>
        <v/>
      </c>
      <c r="H42" s="26">
        <f>ROUND(Source!AE26*Source!I26, 2)</f>
        <v>0.16</v>
      </c>
      <c r="I42" s="24"/>
      <c r="J42" s="24">
        <f>IF(Source!BS26&lt;&gt; 0, Source!BS26, 1)</f>
        <v>6.9</v>
      </c>
      <c r="K42" s="26">
        <f>Source!R26</f>
        <v>1.08</v>
      </c>
      <c r="L42" s="25"/>
      <c r="R42">
        <f>H42</f>
        <v>0.16</v>
      </c>
    </row>
    <row r="43" spans="1:26" ht="14.25" x14ac:dyDescent="0.2">
      <c r="A43" s="38"/>
      <c r="B43" s="39"/>
      <c r="C43" s="39" t="s">
        <v>814</v>
      </c>
      <c r="D43" s="22" t="s">
        <v>815</v>
      </c>
      <c r="E43" s="10">
        <f>Source!BZ26</f>
        <v>77</v>
      </c>
      <c r="F43" s="42"/>
      <c r="G43" s="24"/>
      <c r="H43" s="23">
        <f>SUM(S38:S45)</f>
        <v>2.94</v>
      </c>
      <c r="I43" s="27"/>
      <c r="J43" s="21">
        <f>Source!AT26</f>
        <v>77</v>
      </c>
      <c r="K43" s="23">
        <f>SUM(T38:T45)</f>
        <v>20.3</v>
      </c>
      <c r="L43" s="25"/>
    </row>
    <row r="44" spans="1:26" ht="14.25" x14ac:dyDescent="0.2">
      <c r="A44" s="38"/>
      <c r="B44" s="39"/>
      <c r="C44" s="39" t="s">
        <v>816</v>
      </c>
      <c r="D44" s="22" t="s">
        <v>815</v>
      </c>
      <c r="E44" s="10">
        <f>Source!CA26</f>
        <v>50</v>
      </c>
      <c r="F44" s="42"/>
      <c r="G44" s="24"/>
      <c r="H44" s="23">
        <f>SUM(U38:U45)</f>
        <v>1.91</v>
      </c>
      <c r="I44" s="27"/>
      <c r="J44" s="21">
        <f>Source!AU26</f>
        <v>50</v>
      </c>
      <c r="K44" s="23">
        <f>SUM(V38:V45)</f>
        <v>13.18</v>
      </c>
      <c r="L44" s="25"/>
    </row>
    <row r="45" spans="1:26" ht="14.25" x14ac:dyDescent="0.2">
      <c r="A45" s="40"/>
      <c r="B45" s="41"/>
      <c r="C45" s="41" t="s">
        <v>817</v>
      </c>
      <c r="D45" s="28" t="s">
        <v>818</v>
      </c>
      <c r="E45" s="29">
        <f>Source!AQ26</f>
        <v>7.31</v>
      </c>
      <c r="F45" s="30"/>
      <c r="G45" s="31" t="str">
        <f>Source!DI26</f>
        <v/>
      </c>
      <c r="H45" s="30"/>
      <c r="I45" s="31"/>
      <c r="J45" s="31"/>
      <c r="K45" s="30"/>
      <c r="L45" s="32">
        <f>Source!U26</f>
        <v>0.42398000000000002</v>
      </c>
    </row>
    <row r="46" spans="1:26" ht="15" x14ac:dyDescent="0.25">
      <c r="G46" s="44">
        <f>H40+H41+H43+H44</f>
        <v>8.870000000000001</v>
      </c>
      <c r="H46" s="44"/>
      <c r="J46" s="44">
        <f>K40+K41+K43+K44</f>
        <v>61.26</v>
      </c>
      <c r="K46" s="44"/>
      <c r="L46" s="33">
        <f>Source!U26</f>
        <v>0.42398000000000002</v>
      </c>
      <c r="O46" s="19">
        <f>G46</f>
        <v>8.870000000000001</v>
      </c>
      <c r="P46" s="19">
        <f>J46</f>
        <v>61.26</v>
      </c>
      <c r="Q46" s="19">
        <f>L46</f>
        <v>0.42398000000000002</v>
      </c>
      <c r="W46">
        <f>IF(Source!BI26&lt;=1,H40+H41+H43+H44, 0)</f>
        <v>8.870000000000001</v>
      </c>
      <c r="X46">
        <f>IF(Source!BI26=2,H40+H41+H43+H44, 0)</f>
        <v>0</v>
      </c>
      <c r="Y46">
        <f>IF(Source!BI26=3,H40+H41+H43+H44, 0)</f>
        <v>0</v>
      </c>
      <c r="Z46">
        <f>IF(Source!BI26=4,H40+H41+H43+H44, 0)</f>
        <v>0</v>
      </c>
    </row>
    <row r="47" spans="1:26" ht="57" x14ac:dyDescent="0.2">
      <c r="A47" s="38" t="str">
        <f>Source!E27</f>
        <v>4</v>
      </c>
      <c r="B47" s="39" t="str">
        <f>Source!F27</f>
        <v>15-02-041-03</v>
      </c>
      <c r="C47" s="39" t="str">
        <f>Source!G27</f>
        <v>Разборка: Устройство металлического каркаса из направляющих профилей под облицовку различными материалами стен (короб)</v>
      </c>
      <c r="D47" s="22" t="str">
        <f>Source!H27</f>
        <v>100 м2</v>
      </c>
      <c r="E47" s="10">
        <f>Source!I27</f>
        <v>5.8000000000000003E-2</v>
      </c>
      <c r="F47" s="23">
        <f>Source!AL27+Source!AM27+Source!AO27</f>
        <v>3623.4500000000003</v>
      </c>
      <c r="G47" s="24"/>
      <c r="H47" s="23"/>
      <c r="I47" s="24" t="str">
        <f>Source!BO27</f>
        <v/>
      </c>
      <c r="J47" s="24"/>
      <c r="K47" s="23"/>
      <c r="L47" s="25"/>
      <c r="S47">
        <f>ROUND((Source!FX27/100)*((ROUND(Source!AF27*Source!I27, 2)+ROUND(Source!AE27*Source!I27, 2))), 2)</f>
        <v>17.27</v>
      </c>
      <c r="T47">
        <f>Source!X27</f>
        <v>119.81</v>
      </c>
      <c r="U47">
        <f>ROUND((Source!FY27/100)*((ROUND(Source!AF27*Source!I27, 2)+ROUND(Source!AE27*Source!I27, 2))), 2)</f>
        <v>8.5500000000000007</v>
      </c>
      <c r="V47">
        <f>Source!Y27</f>
        <v>59.28</v>
      </c>
    </row>
    <row r="48" spans="1:26" x14ac:dyDescent="0.2">
      <c r="C48" s="18" t="str">
        <f>"Объем: "&amp;Source!I27&amp;"=5,8/"&amp;"100"</f>
        <v>Объем: 0,058=5,8/100</v>
      </c>
    </row>
    <row r="49" spans="1:26" ht="14.25" x14ac:dyDescent="0.2">
      <c r="A49" s="38"/>
      <c r="B49" s="39"/>
      <c r="C49" s="39" t="s">
        <v>812</v>
      </c>
      <c r="D49" s="22"/>
      <c r="E49" s="10"/>
      <c r="F49" s="23">
        <f>Source!AO27</f>
        <v>393.32</v>
      </c>
      <c r="G49" s="24" t="str">
        <f>Source!DG27</f>
        <v>)*0,8</v>
      </c>
      <c r="H49" s="23">
        <f>ROUND(Source!AF27*Source!I27, 2)</f>
        <v>18.25</v>
      </c>
      <c r="I49" s="24"/>
      <c r="J49" s="24">
        <f>IF(Source!BA27&lt;&gt; 0, Source!BA27, 1)</f>
        <v>6.9</v>
      </c>
      <c r="K49" s="23">
        <f>Source!S27</f>
        <v>125.93</v>
      </c>
      <c r="L49" s="25"/>
      <c r="R49">
        <f>H49</f>
        <v>18.25</v>
      </c>
    </row>
    <row r="50" spans="1:26" ht="14.25" x14ac:dyDescent="0.2">
      <c r="A50" s="38"/>
      <c r="B50" s="39"/>
      <c r="C50" s="39" t="s">
        <v>417</v>
      </c>
      <c r="D50" s="22"/>
      <c r="E50" s="10"/>
      <c r="F50" s="23">
        <f>Source!AM27</f>
        <v>1.51</v>
      </c>
      <c r="G50" s="24" t="str">
        <f>Source!DE27</f>
        <v>)*0,8</v>
      </c>
      <c r="H50" s="23">
        <f>ROUND(Source!AD27*Source!I27, 2)</f>
        <v>7.0000000000000007E-2</v>
      </c>
      <c r="I50" s="24"/>
      <c r="J50" s="24">
        <f>IF(Source!BB27&lt;&gt; 0, Source!BB27, 1)</f>
        <v>6.9</v>
      </c>
      <c r="K50" s="23">
        <f>Source!Q27</f>
        <v>0.48</v>
      </c>
      <c r="L50" s="25"/>
    </row>
    <row r="51" spans="1:26" ht="14.25" x14ac:dyDescent="0.2">
      <c r="A51" s="38"/>
      <c r="B51" s="39"/>
      <c r="C51" s="39" t="s">
        <v>813</v>
      </c>
      <c r="D51" s="22"/>
      <c r="E51" s="10"/>
      <c r="F51" s="23">
        <f>Source!AN27</f>
        <v>0.59</v>
      </c>
      <c r="G51" s="24" t="str">
        <f>Source!DF27</f>
        <v>)*0,8</v>
      </c>
      <c r="H51" s="26">
        <f>ROUND(Source!AE27*Source!I27, 2)</f>
        <v>0.03</v>
      </c>
      <c r="I51" s="24"/>
      <c r="J51" s="24">
        <f>IF(Source!BS27&lt;&gt; 0, Source!BS27, 1)</f>
        <v>6.9</v>
      </c>
      <c r="K51" s="26">
        <f>Source!R27</f>
        <v>0.19</v>
      </c>
      <c r="L51" s="25"/>
      <c r="R51">
        <f>H51</f>
        <v>0.03</v>
      </c>
    </row>
    <row r="52" spans="1:26" ht="14.25" x14ac:dyDescent="0.2">
      <c r="A52" s="38"/>
      <c r="B52" s="39"/>
      <c r="C52" s="39" t="s">
        <v>814</v>
      </c>
      <c r="D52" s="22" t="s">
        <v>815</v>
      </c>
      <c r="E52" s="10">
        <f>Source!BZ27</f>
        <v>105</v>
      </c>
      <c r="F52" s="45" t="str">
        <f>CONCATENATE(" )", Source!DL27, Source!FT27, "=", Source!FX27)</f>
        <v xml:space="preserve"> )*0,9=94,5</v>
      </c>
      <c r="G52" s="46"/>
      <c r="H52" s="23">
        <f>SUM(S47:S54)</f>
        <v>17.27</v>
      </c>
      <c r="I52" s="27"/>
      <c r="J52" s="21">
        <f>Source!AT27</f>
        <v>95</v>
      </c>
      <c r="K52" s="23">
        <f>SUM(T47:T54)</f>
        <v>119.81</v>
      </c>
      <c r="L52" s="25"/>
    </row>
    <row r="53" spans="1:26" ht="14.25" x14ac:dyDescent="0.2">
      <c r="A53" s="38"/>
      <c r="B53" s="39"/>
      <c r="C53" s="39" t="s">
        <v>816</v>
      </c>
      <c r="D53" s="22" t="s">
        <v>815</v>
      </c>
      <c r="E53" s="10">
        <f>Source!CA27</f>
        <v>55</v>
      </c>
      <c r="F53" s="45" t="str">
        <f>CONCATENATE(" )", Source!DM27, Source!FU27, "=", Source!FY27)</f>
        <v xml:space="preserve"> )*0,85=46,75</v>
      </c>
      <c r="G53" s="46"/>
      <c r="H53" s="23">
        <f>SUM(U47:U54)</f>
        <v>8.5500000000000007</v>
      </c>
      <c r="I53" s="27"/>
      <c r="J53" s="21">
        <f>Source!AU27</f>
        <v>47</v>
      </c>
      <c r="K53" s="23">
        <f>SUM(V47:V54)</f>
        <v>59.28</v>
      </c>
      <c r="L53" s="25"/>
    </row>
    <row r="54" spans="1:26" ht="14.25" x14ac:dyDescent="0.2">
      <c r="A54" s="40"/>
      <c r="B54" s="41"/>
      <c r="C54" s="41" t="s">
        <v>817</v>
      </c>
      <c r="D54" s="28" t="s">
        <v>818</v>
      </c>
      <c r="E54" s="29">
        <f>Source!AQ27</f>
        <v>46.11</v>
      </c>
      <c r="F54" s="30"/>
      <c r="G54" s="31" t="str">
        <f>Source!DI27</f>
        <v>)*0,8</v>
      </c>
      <c r="H54" s="30"/>
      <c r="I54" s="31"/>
      <c r="J54" s="31"/>
      <c r="K54" s="30"/>
      <c r="L54" s="32">
        <f>Source!U27</f>
        <v>2.1395040000000001</v>
      </c>
    </row>
    <row r="55" spans="1:26" ht="15" x14ac:dyDescent="0.25">
      <c r="G55" s="44">
        <f>H49+H50+H52+H53</f>
        <v>44.14</v>
      </c>
      <c r="H55" s="44"/>
      <c r="J55" s="44">
        <f>K49+K50+K52+K53</f>
        <v>305.5</v>
      </c>
      <c r="K55" s="44"/>
      <c r="L55" s="33">
        <f>Source!U27</f>
        <v>2.1395040000000001</v>
      </c>
      <c r="O55" s="19">
        <f>G55</f>
        <v>44.14</v>
      </c>
      <c r="P55" s="19">
        <f>J55</f>
        <v>305.5</v>
      </c>
      <c r="Q55" s="19">
        <f>L55</f>
        <v>2.1395040000000001</v>
      </c>
      <c r="W55">
        <f>IF(Source!BI27&lt;=1,H49+H50+H52+H53, 0)</f>
        <v>44.14</v>
      </c>
      <c r="X55">
        <f>IF(Source!BI27=2,H49+H50+H52+H53, 0)</f>
        <v>0</v>
      </c>
      <c r="Y55">
        <f>IF(Source!BI27=3,H49+H50+H52+H53, 0)</f>
        <v>0</v>
      </c>
      <c r="Z55">
        <f>IF(Source!BI27=4,H49+H50+H52+H53, 0)</f>
        <v>0</v>
      </c>
    </row>
    <row r="56" spans="1:26" ht="28.5" x14ac:dyDescent="0.2">
      <c r="A56" s="38" t="str">
        <f>Source!E28</f>
        <v>5</v>
      </c>
      <c r="B56" s="39" t="str">
        <f>Source!F28</f>
        <v>57-3-1</v>
      </c>
      <c r="C56" s="39" t="str">
        <f>Source!G28</f>
        <v>Разборка плинтусов деревянных и из пластмассовых материалов</v>
      </c>
      <c r="D56" s="22" t="str">
        <f>Source!H28</f>
        <v>100 м</v>
      </c>
      <c r="E56" s="10">
        <f>Source!I28</f>
        <v>0.38</v>
      </c>
      <c r="F56" s="23">
        <f>Source!AL28+Source!AM28+Source!AO28</f>
        <v>29.41</v>
      </c>
      <c r="G56" s="24"/>
      <c r="H56" s="23"/>
      <c r="I56" s="24" t="str">
        <f>Source!BO28</f>
        <v/>
      </c>
      <c r="J56" s="24"/>
      <c r="K56" s="23"/>
      <c r="L56" s="25"/>
      <c r="S56">
        <f>ROUND((Source!FX28/100)*((ROUND(Source!AF28*Source!I28, 2)+ROUND(Source!AE28*Source!I28, 2))), 2)</f>
        <v>8.94</v>
      </c>
      <c r="T56">
        <f>Source!X28</f>
        <v>61.69</v>
      </c>
      <c r="U56">
        <f>ROUND((Source!FY28/100)*((ROUND(Source!AF28*Source!I28, 2)+ROUND(Source!AE28*Source!I28, 2))), 2)</f>
        <v>7.6</v>
      </c>
      <c r="V56">
        <f>Source!Y28</f>
        <v>52.43</v>
      </c>
    </row>
    <row r="57" spans="1:26" x14ac:dyDescent="0.2">
      <c r="C57" s="18" t="str">
        <f>"Объем: "&amp;Source!I28&amp;"=38/"&amp;"100"</f>
        <v>Объем: 0,38=38/100</v>
      </c>
    </row>
    <row r="58" spans="1:26" ht="14.25" x14ac:dyDescent="0.2">
      <c r="A58" s="38"/>
      <c r="B58" s="39"/>
      <c r="C58" s="39" t="s">
        <v>812</v>
      </c>
      <c r="D58" s="22"/>
      <c r="E58" s="10"/>
      <c r="F58" s="23">
        <f>Source!AO28</f>
        <v>29.41</v>
      </c>
      <c r="G58" s="24" t="str">
        <f>Source!DG28</f>
        <v/>
      </c>
      <c r="H58" s="23">
        <f>ROUND(Source!AF28*Source!I28, 2)</f>
        <v>11.18</v>
      </c>
      <c r="I58" s="24"/>
      <c r="J58" s="24">
        <f>IF(Source!BA28&lt;&gt; 0, Source!BA28, 1)</f>
        <v>6.9</v>
      </c>
      <c r="K58" s="23">
        <f>Source!S28</f>
        <v>77.11</v>
      </c>
      <c r="L58" s="25"/>
      <c r="R58">
        <f>H58</f>
        <v>11.18</v>
      </c>
    </row>
    <row r="59" spans="1:26" ht="14.25" x14ac:dyDescent="0.2">
      <c r="A59" s="38"/>
      <c r="B59" s="39"/>
      <c r="C59" s="39" t="s">
        <v>814</v>
      </c>
      <c r="D59" s="22" t="s">
        <v>815</v>
      </c>
      <c r="E59" s="10">
        <f>Source!BZ28</f>
        <v>80</v>
      </c>
      <c r="F59" s="42"/>
      <c r="G59" s="24"/>
      <c r="H59" s="23">
        <f>SUM(S56:S61)</f>
        <v>8.94</v>
      </c>
      <c r="I59" s="27"/>
      <c r="J59" s="21">
        <f>Source!AT28</f>
        <v>80</v>
      </c>
      <c r="K59" s="23">
        <f>SUM(T56:T61)</f>
        <v>61.69</v>
      </c>
      <c r="L59" s="25"/>
    </row>
    <row r="60" spans="1:26" ht="14.25" x14ac:dyDescent="0.2">
      <c r="A60" s="38"/>
      <c r="B60" s="39"/>
      <c r="C60" s="39" t="s">
        <v>816</v>
      </c>
      <c r="D60" s="22" t="s">
        <v>815</v>
      </c>
      <c r="E60" s="10">
        <f>Source!CA28</f>
        <v>68</v>
      </c>
      <c r="F60" s="42"/>
      <c r="G60" s="24"/>
      <c r="H60" s="23">
        <f>SUM(U56:U61)</f>
        <v>7.6</v>
      </c>
      <c r="I60" s="27"/>
      <c r="J60" s="21">
        <f>Source!AU28</f>
        <v>68</v>
      </c>
      <c r="K60" s="23">
        <f>SUM(V56:V61)</f>
        <v>52.43</v>
      </c>
      <c r="L60" s="25"/>
    </row>
    <row r="61" spans="1:26" ht="14.25" x14ac:dyDescent="0.2">
      <c r="A61" s="40"/>
      <c r="B61" s="41"/>
      <c r="C61" s="41" t="s">
        <v>817</v>
      </c>
      <c r="D61" s="28" t="s">
        <v>818</v>
      </c>
      <c r="E61" s="29">
        <f>Source!AQ28</f>
        <v>3.77</v>
      </c>
      <c r="F61" s="30"/>
      <c r="G61" s="31" t="str">
        <f>Source!DI28</f>
        <v/>
      </c>
      <c r="H61" s="30"/>
      <c r="I61" s="31"/>
      <c r="J61" s="31"/>
      <c r="K61" s="30"/>
      <c r="L61" s="32">
        <f>Source!U28</f>
        <v>1.4326000000000001</v>
      </c>
    </row>
    <row r="62" spans="1:26" ht="15" x14ac:dyDescent="0.25">
      <c r="G62" s="44">
        <f>H58+H59+H60</f>
        <v>27.72</v>
      </c>
      <c r="H62" s="44"/>
      <c r="J62" s="44">
        <f>K58+K59+K60</f>
        <v>191.23000000000002</v>
      </c>
      <c r="K62" s="44"/>
      <c r="L62" s="33">
        <f>Source!U28</f>
        <v>1.4326000000000001</v>
      </c>
      <c r="O62" s="19">
        <f>G62</f>
        <v>27.72</v>
      </c>
      <c r="P62" s="19">
        <f>J62</f>
        <v>191.23000000000002</v>
      </c>
      <c r="Q62" s="19">
        <f>L62</f>
        <v>1.4326000000000001</v>
      </c>
      <c r="W62">
        <f>IF(Source!BI28&lt;=1,H58+H59+H60, 0)</f>
        <v>27.72</v>
      </c>
      <c r="X62">
        <f>IF(Source!BI28=2,H58+H59+H60, 0)</f>
        <v>0</v>
      </c>
      <c r="Y62">
        <f>IF(Source!BI28=3,H58+H59+H60, 0)</f>
        <v>0</v>
      </c>
      <c r="Z62">
        <f>IF(Source!BI28=4,H58+H59+H60, 0)</f>
        <v>0</v>
      </c>
    </row>
    <row r="63" spans="1:26" ht="28.5" x14ac:dyDescent="0.2">
      <c r="A63" s="38" t="str">
        <f>Source!E29</f>
        <v>6</v>
      </c>
      <c r="B63" s="39" t="str">
        <f>Source!F29</f>
        <v>57-2-3</v>
      </c>
      <c r="C63" s="39" t="str">
        <f>Source!G29</f>
        <v>Разборка покрытий полов из керамических плиток</v>
      </c>
      <c r="D63" s="22" t="str">
        <f>Source!H29</f>
        <v>100 м2</v>
      </c>
      <c r="E63" s="10">
        <f>Source!I29</f>
        <v>1.29</v>
      </c>
      <c r="F63" s="23">
        <f>Source!AL29+Source!AM29+Source!AO29</f>
        <v>641</v>
      </c>
      <c r="G63" s="24"/>
      <c r="H63" s="23"/>
      <c r="I63" s="24" t="str">
        <f>Source!BO29</f>
        <v/>
      </c>
      <c r="J63" s="24"/>
      <c r="K63" s="23"/>
      <c r="L63" s="25"/>
      <c r="S63">
        <f>ROUND((Source!FX29/100)*((ROUND(Source!AF29*Source!I29, 2)+ROUND(Source!AE29*Source!I29, 2))), 2)</f>
        <v>635.13</v>
      </c>
      <c r="T63">
        <f>Source!X29</f>
        <v>4382.3599999999997</v>
      </c>
      <c r="U63">
        <f>ROUND((Source!FY29/100)*((ROUND(Source!AF29*Source!I29, 2)+ROUND(Source!AE29*Source!I29, 2))), 2)</f>
        <v>539.86</v>
      </c>
      <c r="V63">
        <f>Source!Y29</f>
        <v>3725.01</v>
      </c>
    </row>
    <row r="64" spans="1:26" x14ac:dyDescent="0.2">
      <c r="C64" s="18" t="str">
        <f>"Объем: "&amp;Source!I29&amp;"=129/"&amp;"100"</f>
        <v>Объем: 1,29=129/100</v>
      </c>
    </row>
    <row r="65" spans="1:26" ht="14.25" x14ac:dyDescent="0.2">
      <c r="A65" s="38"/>
      <c r="B65" s="39"/>
      <c r="C65" s="39" t="s">
        <v>812</v>
      </c>
      <c r="D65" s="22"/>
      <c r="E65" s="10"/>
      <c r="F65" s="23">
        <f>Source!AO29</f>
        <v>595.99</v>
      </c>
      <c r="G65" s="24" t="str">
        <f>Source!DG29</f>
        <v/>
      </c>
      <c r="H65" s="23">
        <f>ROUND(Source!AF29*Source!I29, 2)</f>
        <v>768.83</v>
      </c>
      <c r="I65" s="24"/>
      <c r="J65" s="24">
        <f>IF(Source!BA29&lt;&gt; 0, Source!BA29, 1)</f>
        <v>6.9</v>
      </c>
      <c r="K65" s="23">
        <f>Source!S29</f>
        <v>5304.91</v>
      </c>
      <c r="L65" s="25"/>
      <c r="R65">
        <f>H65</f>
        <v>768.83</v>
      </c>
    </row>
    <row r="66" spans="1:26" ht="14.25" x14ac:dyDescent="0.2">
      <c r="A66" s="38"/>
      <c r="B66" s="39"/>
      <c r="C66" s="39" t="s">
        <v>417</v>
      </c>
      <c r="D66" s="22"/>
      <c r="E66" s="10"/>
      <c r="F66" s="23">
        <f>Source!AM29</f>
        <v>45.01</v>
      </c>
      <c r="G66" s="24" t="str">
        <f>Source!DE29</f>
        <v/>
      </c>
      <c r="H66" s="23">
        <f>ROUND(Source!AD29*Source!I29, 2)</f>
        <v>58.06</v>
      </c>
      <c r="I66" s="24"/>
      <c r="J66" s="24">
        <f>IF(Source!BB29&lt;&gt; 0, Source!BB29, 1)</f>
        <v>6.9</v>
      </c>
      <c r="K66" s="23">
        <f>Source!Q29</f>
        <v>400.63</v>
      </c>
      <c r="L66" s="25"/>
    </row>
    <row r="67" spans="1:26" ht="14.25" x14ac:dyDescent="0.2">
      <c r="A67" s="38"/>
      <c r="B67" s="39"/>
      <c r="C67" s="39" t="s">
        <v>813</v>
      </c>
      <c r="D67" s="22"/>
      <c r="E67" s="10"/>
      <c r="F67" s="23">
        <f>Source!AN29</f>
        <v>19.440000000000001</v>
      </c>
      <c r="G67" s="24" t="str">
        <f>Source!DF29</f>
        <v/>
      </c>
      <c r="H67" s="26">
        <f>ROUND(Source!AE29*Source!I29, 2)</f>
        <v>25.08</v>
      </c>
      <c r="I67" s="24"/>
      <c r="J67" s="24">
        <f>IF(Source!BS29&lt;&gt; 0, Source!BS29, 1)</f>
        <v>6.9</v>
      </c>
      <c r="K67" s="26">
        <f>Source!R29</f>
        <v>173.04</v>
      </c>
      <c r="L67" s="25"/>
      <c r="R67">
        <f>H67</f>
        <v>25.08</v>
      </c>
    </row>
    <row r="68" spans="1:26" ht="14.25" x14ac:dyDescent="0.2">
      <c r="A68" s="38"/>
      <c r="B68" s="39"/>
      <c r="C68" s="39" t="s">
        <v>814</v>
      </c>
      <c r="D68" s="22" t="s">
        <v>815</v>
      </c>
      <c r="E68" s="10">
        <f>Source!BZ29</f>
        <v>80</v>
      </c>
      <c r="F68" s="42"/>
      <c r="G68" s="24"/>
      <c r="H68" s="23">
        <f>SUM(S63:S70)</f>
        <v>635.13</v>
      </c>
      <c r="I68" s="27"/>
      <c r="J68" s="21">
        <f>Source!AT29</f>
        <v>80</v>
      </c>
      <c r="K68" s="23">
        <f>SUM(T63:T70)</f>
        <v>4382.3599999999997</v>
      </c>
      <c r="L68" s="25"/>
    </row>
    <row r="69" spans="1:26" ht="14.25" x14ac:dyDescent="0.2">
      <c r="A69" s="38"/>
      <c r="B69" s="39"/>
      <c r="C69" s="39" t="s">
        <v>816</v>
      </c>
      <c r="D69" s="22" t="s">
        <v>815</v>
      </c>
      <c r="E69" s="10">
        <f>Source!CA29</f>
        <v>68</v>
      </c>
      <c r="F69" s="42"/>
      <c r="G69" s="24"/>
      <c r="H69" s="23">
        <f>SUM(U63:U70)</f>
        <v>539.86</v>
      </c>
      <c r="I69" s="27"/>
      <c r="J69" s="21">
        <f>Source!AU29</f>
        <v>68</v>
      </c>
      <c r="K69" s="23">
        <f>SUM(V63:V70)</f>
        <v>3725.01</v>
      </c>
      <c r="L69" s="25"/>
    </row>
    <row r="70" spans="1:26" ht="14.25" x14ac:dyDescent="0.2">
      <c r="A70" s="40"/>
      <c r="B70" s="41"/>
      <c r="C70" s="41" t="s">
        <v>817</v>
      </c>
      <c r="D70" s="28" t="s">
        <v>818</v>
      </c>
      <c r="E70" s="29">
        <f>Source!AQ29</f>
        <v>69.87</v>
      </c>
      <c r="F70" s="30"/>
      <c r="G70" s="31" t="str">
        <f>Source!DI29</f>
        <v/>
      </c>
      <c r="H70" s="30"/>
      <c r="I70" s="31"/>
      <c r="J70" s="31"/>
      <c r="K70" s="30"/>
      <c r="L70" s="32">
        <f>Source!U29</f>
        <v>90.132300000000015</v>
      </c>
    </row>
    <row r="71" spans="1:26" ht="15" x14ac:dyDescent="0.25">
      <c r="G71" s="44">
        <f>H65+H66+H68+H69</f>
        <v>2001.88</v>
      </c>
      <c r="H71" s="44"/>
      <c r="J71" s="44">
        <f>K65+K66+K68+K69</f>
        <v>13812.91</v>
      </c>
      <c r="K71" s="44"/>
      <c r="L71" s="33">
        <f>Source!U29</f>
        <v>90.132300000000015</v>
      </c>
      <c r="O71" s="19">
        <f>G71</f>
        <v>2001.88</v>
      </c>
      <c r="P71" s="19">
        <f>J71</f>
        <v>13812.91</v>
      </c>
      <c r="Q71" s="19">
        <f>L71</f>
        <v>90.132300000000015</v>
      </c>
      <c r="W71">
        <f>IF(Source!BI29&lt;=1,H65+H66+H68+H69, 0)</f>
        <v>2001.88</v>
      </c>
      <c r="X71">
        <f>IF(Source!BI29=2,H65+H66+H68+H69, 0)</f>
        <v>0</v>
      </c>
      <c r="Y71">
        <f>IF(Source!BI29=3,H65+H66+H68+H69, 0)</f>
        <v>0</v>
      </c>
      <c r="Z71">
        <f>IF(Source!BI29=4,H65+H66+H68+H69, 0)</f>
        <v>0</v>
      </c>
    </row>
    <row r="72" spans="1:26" ht="28.5" x14ac:dyDescent="0.2">
      <c r="A72" s="38" t="str">
        <f>Source!E30</f>
        <v>7</v>
      </c>
      <c r="B72" s="39" t="str">
        <f>Source!F30</f>
        <v>11-01-011-01</v>
      </c>
      <c r="C72" s="39" t="str">
        <f>Source!G30</f>
        <v>Разборка:Устройство стяжек цементных толщиной 20 мм</v>
      </c>
      <c r="D72" s="22" t="str">
        <f>Source!H30</f>
        <v>100 м2</v>
      </c>
      <c r="E72" s="10">
        <f>Source!I30</f>
        <v>1.29</v>
      </c>
      <c r="F72" s="23">
        <f>Source!AL30+Source!AM30+Source!AO30</f>
        <v>366.49</v>
      </c>
      <c r="G72" s="24"/>
      <c r="H72" s="23"/>
      <c r="I72" s="24" t="str">
        <f>Source!BO30</f>
        <v/>
      </c>
      <c r="J72" s="24"/>
      <c r="K72" s="23"/>
      <c r="L72" s="25"/>
      <c r="S72">
        <f>ROUND((Source!FX30/100)*((ROUND(Source!AF30*Source!I30, 2)+ROUND(Source!AE30*Source!I30, 2))), 2)</f>
        <v>377.99</v>
      </c>
      <c r="T72">
        <f>Source!X30</f>
        <v>2615.16</v>
      </c>
      <c r="U72">
        <f>ROUND((Source!FY30/100)*((ROUND(Source!AF30*Source!I30, 2)+ROUND(Source!AE30*Source!I30, 2))), 2)</f>
        <v>217.67</v>
      </c>
      <c r="V72">
        <f>Source!Y30</f>
        <v>1507.84</v>
      </c>
    </row>
    <row r="73" spans="1:26" x14ac:dyDescent="0.2">
      <c r="C73" s="18" t="str">
        <f>"Объем: "&amp;Source!I30&amp;"=129/"&amp;"100"</f>
        <v>Объем: 1,29=129/100</v>
      </c>
    </row>
    <row r="74" spans="1:26" ht="14.25" x14ac:dyDescent="0.2">
      <c r="A74" s="38"/>
      <c r="B74" s="39"/>
      <c r="C74" s="39" t="s">
        <v>812</v>
      </c>
      <c r="D74" s="22"/>
      <c r="E74" s="10"/>
      <c r="F74" s="23">
        <f>Source!AO30</f>
        <v>313.70999999999998</v>
      </c>
      <c r="G74" s="24" t="str">
        <f>Source!DG30</f>
        <v>)*0,8</v>
      </c>
      <c r="H74" s="23">
        <f>ROUND(Source!AF30*Source!I30, 2)</f>
        <v>323.75</v>
      </c>
      <c r="I74" s="24"/>
      <c r="J74" s="24">
        <f>IF(Source!BA30&lt;&gt; 0, Source!BA30, 1)</f>
        <v>6.9</v>
      </c>
      <c r="K74" s="23">
        <f>Source!S30</f>
        <v>2233.88</v>
      </c>
      <c r="L74" s="25"/>
      <c r="R74">
        <f>H74</f>
        <v>323.75</v>
      </c>
    </row>
    <row r="75" spans="1:26" ht="14.25" x14ac:dyDescent="0.2">
      <c r="A75" s="38"/>
      <c r="B75" s="39"/>
      <c r="C75" s="39" t="s">
        <v>417</v>
      </c>
      <c r="D75" s="22"/>
      <c r="E75" s="10"/>
      <c r="F75" s="23">
        <f>Source!AM30</f>
        <v>44.24</v>
      </c>
      <c r="G75" s="24" t="str">
        <f>Source!DE30</f>
        <v>)*0,8</v>
      </c>
      <c r="H75" s="23">
        <f>ROUND(Source!AD30*Source!I30, 2)</f>
        <v>45.65</v>
      </c>
      <c r="I75" s="24"/>
      <c r="J75" s="24">
        <f>IF(Source!BB30&lt;&gt; 0, Source!BB30, 1)</f>
        <v>6.9</v>
      </c>
      <c r="K75" s="23">
        <f>Source!Q30</f>
        <v>315.01</v>
      </c>
      <c r="L75" s="25"/>
    </row>
    <row r="76" spans="1:26" ht="14.25" x14ac:dyDescent="0.2">
      <c r="A76" s="38"/>
      <c r="B76" s="39"/>
      <c r="C76" s="39" t="s">
        <v>813</v>
      </c>
      <c r="D76" s="22"/>
      <c r="E76" s="10"/>
      <c r="F76" s="23">
        <f>Source!AN30</f>
        <v>17.149999999999999</v>
      </c>
      <c r="G76" s="24" t="str">
        <f>Source!DF30</f>
        <v>)*0,8</v>
      </c>
      <c r="H76" s="26">
        <f>ROUND(Source!AE30*Source!I30, 2)</f>
        <v>17.7</v>
      </c>
      <c r="I76" s="24"/>
      <c r="J76" s="24">
        <f>IF(Source!BS30&lt;&gt; 0, Source!BS30, 1)</f>
        <v>6.9</v>
      </c>
      <c r="K76" s="26">
        <f>Source!R30</f>
        <v>122.12</v>
      </c>
      <c r="L76" s="25"/>
      <c r="R76">
        <f>H76</f>
        <v>17.7</v>
      </c>
    </row>
    <row r="77" spans="1:26" ht="14.25" x14ac:dyDescent="0.2">
      <c r="A77" s="38"/>
      <c r="B77" s="39"/>
      <c r="C77" s="39" t="s">
        <v>814</v>
      </c>
      <c r="D77" s="22" t="s">
        <v>815</v>
      </c>
      <c r="E77" s="10">
        <f>Source!BZ30</f>
        <v>123</v>
      </c>
      <c r="F77" s="45" t="str">
        <f>CONCATENATE(" )", Source!DL30, Source!FT30, "=", Source!FX30)</f>
        <v xml:space="preserve"> )*0,9=110,7</v>
      </c>
      <c r="G77" s="46"/>
      <c r="H77" s="23">
        <f>SUM(S72:S79)</f>
        <v>377.99</v>
      </c>
      <c r="I77" s="27"/>
      <c r="J77" s="21">
        <f>Source!AT30</f>
        <v>111</v>
      </c>
      <c r="K77" s="23">
        <f>SUM(T72:T79)</f>
        <v>2615.16</v>
      </c>
      <c r="L77" s="25"/>
    </row>
    <row r="78" spans="1:26" ht="14.25" x14ac:dyDescent="0.2">
      <c r="A78" s="38"/>
      <c r="B78" s="39"/>
      <c r="C78" s="39" t="s">
        <v>816</v>
      </c>
      <c r="D78" s="22" t="s">
        <v>815</v>
      </c>
      <c r="E78" s="10">
        <f>Source!CA30</f>
        <v>75</v>
      </c>
      <c r="F78" s="45" t="str">
        <f>CONCATENATE(" )", Source!DM30, Source!FU30, "=", Source!FY30)</f>
        <v xml:space="preserve"> )*0,85=63,75</v>
      </c>
      <c r="G78" s="46"/>
      <c r="H78" s="23">
        <f>SUM(U72:U79)</f>
        <v>217.67</v>
      </c>
      <c r="I78" s="27"/>
      <c r="J78" s="21">
        <f>Source!AU30</f>
        <v>64</v>
      </c>
      <c r="K78" s="23">
        <f>SUM(V72:V79)</f>
        <v>1507.84</v>
      </c>
      <c r="L78" s="25"/>
    </row>
    <row r="79" spans="1:26" ht="14.25" x14ac:dyDescent="0.2">
      <c r="A79" s="40"/>
      <c r="B79" s="41"/>
      <c r="C79" s="41" t="s">
        <v>817</v>
      </c>
      <c r="D79" s="28" t="s">
        <v>818</v>
      </c>
      <c r="E79" s="29">
        <f>Source!AQ30</f>
        <v>39.51</v>
      </c>
      <c r="F79" s="30"/>
      <c r="G79" s="31" t="str">
        <f>Source!DI30</f>
        <v>)*0,8</v>
      </c>
      <c r="H79" s="30"/>
      <c r="I79" s="31"/>
      <c r="J79" s="31"/>
      <c r="K79" s="30"/>
      <c r="L79" s="32">
        <f>Source!U30</f>
        <v>40.774320000000003</v>
      </c>
    </row>
    <row r="80" spans="1:26" ht="15" x14ac:dyDescent="0.25">
      <c r="G80" s="44">
        <f>H74+H75+H77+H78</f>
        <v>965.06</v>
      </c>
      <c r="H80" s="44"/>
      <c r="J80" s="44">
        <f>K74+K75+K77+K78</f>
        <v>6671.89</v>
      </c>
      <c r="K80" s="44"/>
      <c r="L80" s="33">
        <f>Source!U30</f>
        <v>40.774320000000003</v>
      </c>
      <c r="O80" s="19">
        <f>G80</f>
        <v>965.06</v>
      </c>
      <c r="P80" s="19">
        <f>J80</f>
        <v>6671.89</v>
      </c>
      <c r="Q80" s="19">
        <f>L80</f>
        <v>40.774320000000003</v>
      </c>
      <c r="W80">
        <f>IF(Source!BI30&lt;=1,H74+H75+H77+H78, 0)</f>
        <v>965.06</v>
      </c>
      <c r="X80">
        <f>IF(Source!BI30=2,H74+H75+H77+H78, 0)</f>
        <v>0</v>
      </c>
      <c r="Y80">
        <f>IF(Source!BI30=3,H74+H75+H77+H78, 0)</f>
        <v>0</v>
      </c>
      <c r="Z80">
        <f>IF(Source!BI30=4,H74+H75+H77+H78, 0)</f>
        <v>0</v>
      </c>
    </row>
    <row r="81" spans="1:26" ht="57" x14ac:dyDescent="0.2">
      <c r="A81" s="38" t="str">
        <f>Source!E31</f>
        <v>8</v>
      </c>
      <c r="B81" s="39" t="str">
        <f>Source!F31</f>
        <v>11-01-011-02</v>
      </c>
      <c r="C81" s="39" t="str">
        <f>Source!G31</f>
        <v>Разборка:Устройство стяжек на каждые 5 мм изменения толщины стяжки добавлять или исключать к расценке 11-01-011-01</v>
      </c>
      <c r="D81" s="22" t="str">
        <f>Source!H31</f>
        <v>100 м2</v>
      </c>
      <c r="E81" s="10">
        <f>Source!I31</f>
        <v>1.29</v>
      </c>
      <c r="F81" s="23">
        <f>Source!AL31+Source!AM31+Source!AO31</f>
        <v>11.69</v>
      </c>
      <c r="G81" s="24"/>
      <c r="H81" s="23"/>
      <c r="I81" s="24" t="str">
        <f>Source!BO31</f>
        <v/>
      </c>
      <c r="J81" s="24"/>
      <c r="K81" s="23"/>
      <c r="L81" s="25"/>
      <c r="S81">
        <f>ROUND((Source!FX31/100)*((ROUND(Source!AF31*Source!I31, 2)+ROUND(Source!AE31*Source!I31, 2))), 2)</f>
        <v>15.55</v>
      </c>
      <c r="T81">
        <f>Source!X31</f>
        <v>107.59</v>
      </c>
      <c r="U81">
        <f>ROUND((Source!FY31/100)*((ROUND(Source!AF31*Source!I31, 2)+ROUND(Source!AE31*Source!I31, 2))), 2)</f>
        <v>8.9600000000000009</v>
      </c>
      <c r="V81">
        <f>Source!Y31</f>
        <v>62.04</v>
      </c>
    </row>
    <row r="82" spans="1:26" x14ac:dyDescent="0.2">
      <c r="C82" s="18" t="str">
        <f>"Объем: "&amp;Source!I31&amp;"=129/"&amp;"100"</f>
        <v>Объем: 1,29=129/100</v>
      </c>
    </row>
    <row r="83" spans="1:26" ht="14.25" x14ac:dyDescent="0.2">
      <c r="A83" s="38"/>
      <c r="B83" s="39"/>
      <c r="C83" s="39" t="s">
        <v>812</v>
      </c>
      <c r="D83" s="22"/>
      <c r="E83" s="10"/>
      <c r="F83" s="23">
        <f>Source!AO31</f>
        <v>3.97</v>
      </c>
      <c r="G83" s="24" t="str">
        <f>Source!DG31</f>
        <v>)*0,8*2</v>
      </c>
      <c r="H83" s="23">
        <f>ROUND(Source!AF31*Source!I31, 2)</f>
        <v>8.19</v>
      </c>
      <c r="I83" s="24"/>
      <c r="J83" s="24">
        <f>IF(Source!BA31&lt;&gt; 0, Source!BA31, 1)</f>
        <v>6.9</v>
      </c>
      <c r="K83" s="23">
        <f>Source!S31</f>
        <v>56.52</v>
      </c>
      <c r="L83" s="25"/>
      <c r="R83">
        <f>H83</f>
        <v>8.19</v>
      </c>
    </row>
    <row r="84" spans="1:26" ht="14.25" x14ac:dyDescent="0.2">
      <c r="A84" s="38"/>
      <c r="B84" s="39"/>
      <c r="C84" s="39" t="s">
        <v>417</v>
      </c>
      <c r="D84" s="22"/>
      <c r="E84" s="10"/>
      <c r="F84" s="23">
        <f>Source!AM31</f>
        <v>7.72</v>
      </c>
      <c r="G84" s="24" t="str">
        <f>Source!DE31</f>
        <v>)*0,8*2</v>
      </c>
      <c r="H84" s="23">
        <f>ROUND(Source!AD31*Source!I31, 2)</f>
        <v>15.93</v>
      </c>
      <c r="I84" s="24"/>
      <c r="J84" s="24">
        <f>IF(Source!BB31&lt;&gt; 0, Source!BB31, 1)</f>
        <v>6.9</v>
      </c>
      <c r="K84" s="23">
        <f>Source!Q31</f>
        <v>109.93</v>
      </c>
      <c r="L84" s="25"/>
    </row>
    <row r="85" spans="1:26" ht="14.25" x14ac:dyDescent="0.2">
      <c r="A85" s="38"/>
      <c r="B85" s="39"/>
      <c r="C85" s="39" t="s">
        <v>813</v>
      </c>
      <c r="D85" s="22"/>
      <c r="E85" s="10"/>
      <c r="F85" s="23">
        <f>Source!AN31</f>
        <v>2.84</v>
      </c>
      <c r="G85" s="24" t="str">
        <f>Source!DF31</f>
        <v>)*0,8*2</v>
      </c>
      <c r="H85" s="26">
        <f>ROUND(Source!AE31*Source!I31, 2)</f>
        <v>5.86</v>
      </c>
      <c r="I85" s="24"/>
      <c r="J85" s="24">
        <f>IF(Source!BS31&lt;&gt; 0, Source!BS31, 1)</f>
        <v>6.9</v>
      </c>
      <c r="K85" s="26">
        <f>Source!R31</f>
        <v>40.409999999999997</v>
      </c>
      <c r="L85" s="25"/>
      <c r="R85">
        <f>H85</f>
        <v>5.86</v>
      </c>
    </row>
    <row r="86" spans="1:26" ht="14.25" x14ac:dyDescent="0.2">
      <c r="A86" s="38"/>
      <c r="B86" s="39"/>
      <c r="C86" s="39" t="s">
        <v>814</v>
      </c>
      <c r="D86" s="22" t="s">
        <v>815</v>
      </c>
      <c r="E86" s="10">
        <f>Source!BZ31</f>
        <v>123</v>
      </c>
      <c r="F86" s="45" t="str">
        <f>CONCATENATE(" )", Source!DL31, Source!FT31, "=", Source!FX31)</f>
        <v xml:space="preserve"> )*0,9=110,7</v>
      </c>
      <c r="G86" s="46"/>
      <c r="H86" s="23">
        <f>SUM(S81:S88)</f>
        <v>15.55</v>
      </c>
      <c r="I86" s="27"/>
      <c r="J86" s="21">
        <f>Source!AT31</f>
        <v>111</v>
      </c>
      <c r="K86" s="23">
        <f>SUM(T81:T88)</f>
        <v>107.59</v>
      </c>
      <c r="L86" s="25"/>
    </row>
    <row r="87" spans="1:26" ht="14.25" x14ac:dyDescent="0.2">
      <c r="A87" s="38"/>
      <c r="B87" s="39"/>
      <c r="C87" s="39" t="s">
        <v>816</v>
      </c>
      <c r="D87" s="22" t="s">
        <v>815</v>
      </c>
      <c r="E87" s="10">
        <f>Source!CA31</f>
        <v>75</v>
      </c>
      <c r="F87" s="45" t="str">
        <f>CONCATENATE(" )", Source!DM31, Source!FU31, "=", Source!FY31)</f>
        <v xml:space="preserve"> )*0,85=63,75</v>
      </c>
      <c r="G87" s="46"/>
      <c r="H87" s="23">
        <f>SUM(U81:U88)</f>
        <v>8.9600000000000009</v>
      </c>
      <c r="I87" s="27"/>
      <c r="J87" s="21">
        <f>Source!AU31</f>
        <v>64</v>
      </c>
      <c r="K87" s="23">
        <f>SUM(V81:V88)</f>
        <v>62.04</v>
      </c>
      <c r="L87" s="25"/>
    </row>
    <row r="88" spans="1:26" ht="14.25" x14ac:dyDescent="0.2">
      <c r="A88" s="40"/>
      <c r="B88" s="41"/>
      <c r="C88" s="41" t="s">
        <v>817</v>
      </c>
      <c r="D88" s="28" t="s">
        <v>818</v>
      </c>
      <c r="E88" s="29">
        <f>Source!AQ31</f>
        <v>0.5</v>
      </c>
      <c r="F88" s="30"/>
      <c r="G88" s="31" t="str">
        <f>Source!DI31</f>
        <v>)*0,8*2</v>
      </c>
      <c r="H88" s="30"/>
      <c r="I88" s="31"/>
      <c r="J88" s="31"/>
      <c r="K88" s="30"/>
      <c r="L88" s="32">
        <f>Source!U31</f>
        <v>1.032</v>
      </c>
    </row>
    <row r="89" spans="1:26" ht="15" x14ac:dyDescent="0.25">
      <c r="G89" s="44">
        <f>H83+H84+H86+H87</f>
        <v>48.63</v>
      </c>
      <c r="H89" s="44"/>
      <c r="J89" s="44">
        <f>K83+K84+K86+K87</f>
        <v>336.08000000000004</v>
      </c>
      <c r="K89" s="44"/>
      <c r="L89" s="33">
        <f>Source!U31</f>
        <v>1.032</v>
      </c>
      <c r="O89" s="19">
        <f>G89</f>
        <v>48.63</v>
      </c>
      <c r="P89" s="19">
        <f>J89</f>
        <v>336.08000000000004</v>
      </c>
      <c r="Q89" s="19">
        <f>L89</f>
        <v>1.032</v>
      </c>
      <c r="W89">
        <f>IF(Source!BI31&lt;=1,H83+H84+H86+H87, 0)</f>
        <v>48.63</v>
      </c>
      <c r="X89">
        <f>IF(Source!BI31=2,H83+H84+H86+H87, 0)</f>
        <v>0</v>
      </c>
      <c r="Y89">
        <f>IF(Source!BI31=3,H83+H84+H86+H87, 0)</f>
        <v>0</v>
      </c>
      <c r="Z89">
        <f>IF(Source!BI31=4,H83+H84+H86+H87, 0)</f>
        <v>0</v>
      </c>
    </row>
    <row r="90" spans="1:26" ht="28.5" x14ac:dyDescent="0.2">
      <c r="A90" s="38" t="str">
        <f>Source!E32</f>
        <v>9</v>
      </c>
      <c r="B90" s="39" t="str">
        <f>Source!F32</f>
        <v>10-01-015-02</v>
      </c>
      <c r="C90" s="39" t="str">
        <f>Source!G32</f>
        <v>Разборка: Устройство барьеров в гардеробных</v>
      </c>
      <c r="D90" s="22" t="str">
        <f>Source!H32</f>
        <v>100 м2</v>
      </c>
      <c r="E90" s="10">
        <f>Source!I32</f>
        <v>0.15079999999999999</v>
      </c>
      <c r="F90" s="23">
        <f>Source!AL32+Source!AM32+Source!AO32</f>
        <v>5218.46</v>
      </c>
      <c r="G90" s="24"/>
      <c r="H90" s="23"/>
      <c r="I90" s="24" t="str">
        <f>Source!BO32</f>
        <v/>
      </c>
      <c r="J90" s="24"/>
      <c r="K90" s="23"/>
      <c r="L90" s="25"/>
      <c r="S90">
        <f>ROUND((Source!FX32/100)*((ROUND(Source!AF32*Source!I32, 2)+ROUND(Source!AE32*Source!I32, 2))), 2)</f>
        <v>81.540000000000006</v>
      </c>
      <c r="T90">
        <f>Source!X32</f>
        <v>561.62</v>
      </c>
      <c r="U90">
        <f>ROUND((Source!FY32/100)*((ROUND(Source!AF32*Source!I32, 2)+ROUND(Source!AE32*Source!I32, 2))), 2)</f>
        <v>41.12</v>
      </c>
      <c r="V90">
        <f>Source!Y32</f>
        <v>286.11</v>
      </c>
    </row>
    <row r="91" spans="1:26" x14ac:dyDescent="0.2">
      <c r="C91" s="18" t="str">
        <f>"Объем: "&amp;Source!I32&amp;"=15,08/"&amp;"100"</f>
        <v>Объем: 0,1508=15,08/100</v>
      </c>
    </row>
    <row r="92" spans="1:26" ht="14.25" x14ac:dyDescent="0.2">
      <c r="A92" s="38"/>
      <c r="B92" s="39"/>
      <c r="C92" s="39" t="s">
        <v>812</v>
      </c>
      <c r="D92" s="22"/>
      <c r="E92" s="10"/>
      <c r="F92" s="23">
        <f>Source!AO32</f>
        <v>583.25</v>
      </c>
      <c r="G92" s="24" t="str">
        <f>Source!DG32</f>
        <v>)*0,8</v>
      </c>
      <c r="H92" s="23">
        <f>ROUND(Source!AF32*Source!I32, 2)</f>
        <v>70.36</v>
      </c>
      <c r="I92" s="24"/>
      <c r="J92" s="24">
        <f>IF(Source!BA32&lt;&gt; 0, Source!BA32, 1)</f>
        <v>6.9</v>
      </c>
      <c r="K92" s="23">
        <f>Source!S32</f>
        <v>485.51</v>
      </c>
      <c r="L92" s="25"/>
      <c r="R92">
        <f>H92</f>
        <v>70.36</v>
      </c>
    </row>
    <row r="93" spans="1:26" ht="14.25" x14ac:dyDescent="0.2">
      <c r="A93" s="38"/>
      <c r="B93" s="39"/>
      <c r="C93" s="39" t="s">
        <v>417</v>
      </c>
      <c r="D93" s="22"/>
      <c r="E93" s="10"/>
      <c r="F93" s="23">
        <f>Source!AM32</f>
        <v>301.61</v>
      </c>
      <c r="G93" s="24" t="str">
        <f>Source!DE32</f>
        <v>)*0,8</v>
      </c>
      <c r="H93" s="23">
        <f>ROUND(Source!AD32*Source!I32, 2)</f>
        <v>36.39</v>
      </c>
      <c r="I93" s="24"/>
      <c r="J93" s="24">
        <f>IF(Source!BB32&lt;&gt; 0, Source!BB32, 1)</f>
        <v>6.9</v>
      </c>
      <c r="K93" s="23">
        <f>Source!Q32</f>
        <v>251.07</v>
      </c>
      <c r="L93" s="25"/>
    </row>
    <row r="94" spans="1:26" ht="14.25" x14ac:dyDescent="0.2">
      <c r="A94" s="38"/>
      <c r="B94" s="39"/>
      <c r="C94" s="39" t="s">
        <v>813</v>
      </c>
      <c r="D94" s="22"/>
      <c r="E94" s="10"/>
      <c r="F94" s="23">
        <f>Source!AN32</f>
        <v>53.24</v>
      </c>
      <c r="G94" s="24" t="str">
        <f>Source!DF32</f>
        <v>)*0,8</v>
      </c>
      <c r="H94" s="26">
        <f>ROUND(Source!AE32*Source!I32, 2)</f>
        <v>6.42</v>
      </c>
      <c r="I94" s="24"/>
      <c r="J94" s="24">
        <f>IF(Source!BS32&lt;&gt; 0, Source!BS32, 1)</f>
        <v>6.9</v>
      </c>
      <c r="K94" s="26">
        <f>Source!R32</f>
        <v>44.32</v>
      </c>
      <c r="L94" s="25"/>
      <c r="R94">
        <f>H94</f>
        <v>6.42</v>
      </c>
    </row>
    <row r="95" spans="1:26" ht="14.25" x14ac:dyDescent="0.2">
      <c r="A95" s="38"/>
      <c r="B95" s="39"/>
      <c r="C95" s="39" t="s">
        <v>814</v>
      </c>
      <c r="D95" s="22" t="s">
        <v>815</v>
      </c>
      <c r="E95" s="10">
        <f>Source!BZ32</f>
        <v>118</v>
      </c>
      <c r="F95" s="45" t="str">
        <f>CONCATENATE(" )", Source!DL32, Source!FT32, "=", Source!FX32)</f>
        <v xml:space="preserve"> )*0,9=106,2</v>
      </c>
      <c r="G95" s="46"/>
      <c r="H95" s="23">
        <f>SUM(S90:S97)</f>
        <v>81.540000000000006</v>
      </c>
      <c r="I95" s="27"/>
      <c r="J95" s="21">
        <f>Source!AT32</f>
        <v>106</v>
      </c>
      <c r="K95" s="23">
        <f>SUM(T90:T97)</f>
        <v>561.62</v>
      </c>
      <c r="L95" s="25"/>
    </row>
    <row r="96" spans="1:26" ht="14.25" x14ac:dyDescent="0.2">
      <c r="A96" s="38"/>
      <c r="B96" s="39"/>
      <c r="C96" s="39" t="s">
        <v>816</v>
      </c>
      <c r="D96" s="22" t="s">
        <v>815</v>
      </c>
      <c r="E96" s="10">
        <f>Source!CA32</f>
        <v>63</v>
      </c>
      <c r="F96" s="45" t="str">
        <f>CONCATENATE(" )", Source!DM32, Source!FU32, "=", Source!FY32)</f>
        <v xml:space="preserve"> )*0,85=53,55</v>
      </c>
      <c r="G96" s="46"/>
      <c r="H96" s="23">
        <f>SUM(U90:U97)</f>
        <v>41.12</v>
      </c>
      <c r="I96" s="27"/>
      <c r="J96" s="21">
        <f>Source!AU32</f>
        <v>54</v>
      </c>
      <c r="K96" s="23">
        <f>SUM(V90:V97)</f>
        <v>286.11</v>
      </c>
      <c r="L96" s="25"/>
    </row>
    <row r="97" spans="1:26" ht="14.25" x14ac:dyDescent="0.2">
      <c r="A97" s="40"/>
      <c r="B97" s="41"/>
      <c r="C97" s="41" t="s">
        <v>817</v>
      </c>
      <c r="D97" s="28" t="s">
        <v>818</v>
      </c>
      <c r="E97" s="29">
        <f>Source!AQ32</f>
        <v>69.599999999999994</v>
      </c>
      <c r="F97" s="30"/>
      <c r="G97" s="31" t="str">
        <f>Source!DI32</f>
        <v>)*0,8</v>
      </c>
      <c r="H97" s="30"/>
      <c r="I97" s="31"/>
      <c r="J97" s="31"/>
      <c r="K97" s="30"/>
      <c r="L97" s="32">
        <f>Source!U32</f>
        <v>8.3965439999999987</v>
      </c>
    </row>
    <row r="98" spans="1:26" ht="15" x14ac:dyDescent="0.25">
      <c r="G98" s="44">
        <f>H92+H93+H95+H96</f>
        <v>229.41000000000003</v>
      </c>
      <c r="H98" s="44"/>
      <c r="J98" s="44">
        <f>K92+K93+K95+K96</f>
        <v>1584.31</v>
      </c>
      <c r="K98" s="44"/>
      <c r="L98" s="33">
        <f>Source!U32</f>
        <v>8.3965439999999987</v>
      </c>
      <c r="O98" s="19">
        <f>G98</f>
        <v>229.41000000000003</v>
      </c>
      <c r="P98" s="19">
        <f>J98</f>
        <v>1584.31</v>
      </c>
      <c r="Q98" s="19">
        <f>L98</f>
        <v>8.3965439999999987</v>
      </c>
      <c r="W98">
        <f>IF(Source!BI32&lt;=1,H92+H93+H95+H96, 0)</f>
        <v>229.41000000000003</v>
      </c>
      <c r="X98">
        <f>IF(Source!BI32=2,H92+H93+H95+H96, 0)</f>
        <v>0</v>
      </c>
      <c r="Y98">
        <f>IF(Source!BI32=3,H92+H93+H95+H96, 0)</f>
        <v>0</v>
      </c>
      <c r="Z98">
        <f>IF(Source!BI32=4,H92+H93+H95+H96, 0)</f>
        <v>0</v>
      </c>
    </row>
    <row r="99" spans="1:26" ht="28.5" x14ac:dyDescent="0.2">
      <c r="A99" s="38" t="str">
        <f>Source!E33</f>
        <v>10</v>
      </c>
      <c r="B99" s="39" t="str">
        <f>Source!F33</f>
        <v>46-04-012-03</v>
      </c>
      <c r="C99" s="39" t="str">
        <f>Source!G33</f>
        <v>Разборка деревянных заполнений проемов дверных и воротных</v>
      </c>
      <c r="D99" s="22" t="str">
        <f>Source!H33</f>
        <v>100 м2</v>
      </c>
      <c r="E99" s="10">
        <f>Source!I33</f>
        <v>6.0900000000000003E-2</v>
      </c>
      <c r="F99" s="23">
        <f>Source!AL33+Source!AM33+Source!AO33</f>
        <v>1082.58</v>
      </c>
      <c r="G99" s="24"/>
      <c r="H99" s="23"/>
      <c r="I99" s="24" t="str">
        <f>Source!BO33</f>
        <v/>
      </c>
      <c r="J99" s="24"/>
      <c r="K99" s="23"/>
      <c r="L99" s="25"/>
      <c r="S99">
        <f>ROUND((Source!FX33/100)*((ROUND(Source!AF33*Source!I33, 2)+ROUND(Source!AE33*Source!I33, 2))), 2)</f>
        <v>56.97</v>
      </c>
      <c r="T99">
        <f>Source!X33</f>
        <v>393.18</v>
      </c>
      <c r="U99">
        <f>ROUND((Source!FY33/100)*((ROUND(Source!AF33*Source!I33, 2)+ROUND(Source!AE33*Source!I33, 2))), 2)</f>
        <v>34.24</v>
      </c>
      <c r="V99">
        <f>Source!Y33</f>
        <v>238.29</v>
      </c>
    </row>
    <row r="100" spans="1:26" x14ac:dyDescent="0.2">
      <c r="C100" s="18" t="str">
        <f>"Объем: "&amp;Source!I33&amp;"=6,09/"&amp;"100"</f>
        <v>Объем: 0,0609=6,09/100</v>
      </c>
    </row>
    <row r="101" spans="1:26" ht="14.25" x14ac:dyDescent="0.2">
      <c r="A101" s="38"/>
      <c r="B101" s="39"/>
      <c r="C101" s="39" t="s">
        <v>812</v>
      </c>
      <c r="D101" s="22"/>
      <c r="E101" s="10"/>
      <c r="F101" s="23">
        <f>Source!AO33</f>
        <v>840.63</v>
      </c>
      <c r="G101" s="24" t="str">
        <f>Source!DG33</f>
        <v/>
      </c>
      <c r="H101" s="23">
        <f>ROUND(Source!AF33*Source!I33, 2)</f>
        <v>51.19</v>
      </c>
      <c r="I101" s="24"/>
      <c r="J101" s="24">
        <f>IF(Source!BA33&lt;&gt; 0, Source!BA33, 1)</f>
        <v>6.9</v>
      </c>
      <c r="K101" s="23">
        <f>Source!S33</f>
        <v>353.24</v>
      </c>
      <c r="L101" s="25"/>
      <c r="R101">
        <f>H101</f>
        <v>51.19</v>
      </c>
    </row>
    <row r="102" spans="1:26" ht="14.25" x14ac:dyDescent="0.2">
      <c r="A102" s="38"/>
      <c r="B102" s="39"/>
      <c r="C102" s="39" t="s">
        <v>417</v>
      </c>
      <c r="D102" s="22"/>
      <c r="E102" s="10"/>
      <c r="F102" s="23">
        <f>Source!AM33</f>
        <v>241.95</v>
      </c>
      <c r="G102" s="24" t="str">
        <f>Source!DE33</f>
        <v/>
      </c>
      <c r="H102" s="23">
        <f>ROUND(Source!AD33*Source!I33, 2)</f>
        <v>14.73</v>
      </c>
      <c r="I102" s="24"/>
      <c r="J102" s="24">
        <f>IF(Source!BB33&lt;&gt; 0, Source!BB33, 1)</f>
        <v>6.9</v>
      </c>
      <c r="K102" s="23">
        <f>Source!Q33</f>
        <v>101.67</v>
      </c>
      <c r="L102" s="25"/>
    </row>
    <row r="103" spans="1:26" ht="14.25" x14ac:dyDescent="0.2">
      <c r="A103" s="38"/>
      <c r="B103" s="39"/>
      <c r="C103" s="39" t="s">
        <v>813</v>
      </c>
      <c r="D103" s="22"/>
      <c r="E103" s="10"/>
      <c r="F103" s="23">
        <f>Source!AN33</f>
        <v>104.49</v>
      </c>
      <c r="G103" s="24" t="str">
        <f>Source!DF33</f>
        <v/>
      </c>
      <c r="H103" s="26">
        <f>ROUND(Source!AE33*Source!I33, 2)</f>
        <v>6.36</v>
      </c>
      <c r="I103" s="24"/>
      <c r="J103" s="24">
        <f>IF(Source!BS33&lt;&gt; 0, Source!BS33, 1)</f>
        <v>6.9</v>
      </c>
      <c r="K103" s="26">
        <f>Source!R33</f>
        <v>43.91</v>
      </c>
      <c r="L103" s="25"/>
      <c r="R103">
        <f>H103</f>
        <v>6.36</v>
      </c>
    </row>
    <row r="104" spans="1:26" ht="14.25" x14ac:dyDescent="0.2">
      <c r="A104" s="38"/>
      <c r="B104" s="39"/>
      <c r="C104" s="39" t="s">
        <v>814</v>
      </c>
      <c r="D104" s="22" t="s">
        <v>815</v>
      </c>
      <c r="E104" s="10">
        <f>Source!BZ33</f>
        <v>110</v>
      </c>
      <c r="F104" s="45" t="str">
        <f>CONCATENATE(" )", Source!DL33, Source!FT33, "=", Source!FX33)</f>
        <v xml:space="preserve"> )*0,9=99</v>
      </c>
      <c r="G104" s="46"/>
      <c r="H104" s="23">
        <f>SUM(S99:S106)</f>
        <v>56.97</v>
      </c>
      <c r="I104" s="27"/>
      <c r="J104" s="21">
        <f>Source!AT33</f>
        <v>99</v>
      </c>
      <c r="K104" s="23">
        <f>SUM(T99:T106)</f>
        <v>393.18</v>
      </c>
      <c r="L104" s="25"/>
    </row>
    <row r="105" spans="1:26" ht="14.25" x14ac:dyDescent="0.2">
      <c r="A105" s="38"/>
      <c r="B105" s="39"/>
      <c r="C105" s="39" t="s">
        <v>816</v>
      </c>
      <c r="D105" s="22" t="s">
        <v>815</v>
      </c>
      <c r="E105" s="10">
        <f>Source!CA33</f>
        <v>70</v>
      </c>
      <c r="F105" s="45" t="str">
        <f>CONCATENATE(" )", Source!DM33, Source!FU33, "=", Source!FY33)</f>
        <v xml:space="preserve"> )*0,85=59,5</v>
      </c>
      <c r="G105" s="46"/>
      <c r="H105" s="23">
        <f>SUM(U99:U106)</f>
        <v>34.24</v>
      </c>
      <c r="I105" s="27"/>
      <c r="J105" s="21">
        <f>Source!AU33</f>
        <v>60</v>
      </c>
      <c r="K105" s="23">
        <f>SUM(V99:V106)</f>
        <v>238.29</v>
      </c>
      <c r="L105" s="25"/>
    </row>
    <row r="106" spans="1:26" ht="14.25" x14ac:dyDescent="0.2">
      <c r="A106" s="40"/>
      <c r="B106" s="41"/>
      <c r="C106" s="41" t="s">
        <v>817</v>
      </c>
      <c r="D106" s="28" t="s">
        <v>818</v>
      </c>
      <c r="E106" s="29">
        <f>Source!AQ33</f>
        <v>103.91</v>
      </c>
      <c r="F106" s="30"/>
      <c r="G106" s="31" t="str">
        <f>Source!DI33</f>
        <v/>
      </c>
      <c r="H106" s="30"/>
      <c r="I106" s="31"/>
      <c r="J106" s="31"/>
      <c r="K106" s="30"/>
      <c r="L106" s="32">
        <f>Source!U33</f>
        <v>6.328119</v>
      </c>
    </row>
    <row r="107" spans="1:26" ht="15" x14ac:dyDescent="0.25">
      <c r="G107" s="44">
        <f>H101+H102+H104+H105</f>
        <v>157.13</v>
      </c>
      <c r="H107" s="44"/>
      <c r="J107" s="44">
        <f>K101+K102+K104+K105</f>
        <v>1086.3800000000001</v>
      </c>
      <c r="K107" s="44"/>
      <c r="L107" s="33">
        <f>Source!U33</f>
        <v>6.328119</v>
      </c>
      <c r="O107" s="19">
        <f>G107</f>
        <v>157.13</v>
      </c>
      <c r="P107" s="19">
        <f>J107</f>
        <v>1086.3800000000001</v>
      </c>
      <c r="Q107" s="19">
        <f>L107</f>
        <v>6.328119</v>
      </c>
      <c r="W107">
        <f>IF(Source!BI33&lt;=1,H101+H102+H104+H105, 0)</f>
        <v>157.13</v>
      </c>
      <c r="X107">
        <f>IF(Source!BI33=2,H101+H102+H104+H105, 0)</f>
        <v>0</v>
      </c>
      <c r="Y107">
        <f>IF(Source!BI33=3,H101+H102+H104+H105, 0)</f>
        <v>0</v>
      </c>
      <c r="Z107">
        <f>IF(Source!BI33=4,H101+H102+H104+H105, 0)</f>
        <v>0</v>
      </c>
    </row>
    <row r="108" spans="1:26" ht="57" x14ac:dyDescent="0.2">
      <c r="A108" s="38" t="str">
        <f>Source!E34</f>
        <v>11</v>
      </c>
      <c r="B108" s="39" t="str">
        <f>Source!F34</f>
        <v>15-07-003-02</v>
      </c>
      <c r="C108" s="39" t="str">
        <f>Source!G34</f>
        <v>Грунтование водно-дисперсионной грунтовкой "Нортекс-Грунт" поверхностей пористых (камень, кирпич, бетон и т д)</v>
      </c>
      <c r="D108" s="22" t="str">
        <f>Source!H34</f>
        <v>100 м2</v>
      </c>
      <c r="E108" s="10">
        <f>Source!I34</f>
        <v>1.29</v>
      </c>
      <c r="F108" s="23">
        <f>Source!AL34+Source!AM34+Source!AO34</f>
        <v>268.3</v>
      </c>
      <c r="G108" s="24"/>
      <c r="H108" s="23"/>
      <c r="I108" s="24" t="str">
        <f>Source!BO34</f>
        <v/>
      </c>
      <c r="J108" s="24"/>
      <c r="K108" s="23"/>
      <c r="L108" s="25"/>
      <c r="S108">
        <f>ROUND((Source!FX34/100)*((ROUND(Source!AF34*Source!I34, 2)+ROUND(Source!AE34*Source!I34, 2))), 2)</f>
        <v>48.37</v>
      </c>
      <c r="T108">
        <f>Source!X34</f>
        <v>335.53</v>
      </c>
      <c r="U108">
        <f>ROUND((Source!FY34/100)*((ROUND(Source!AF34*Source!I34, 2)+ROUND(Source!AE34*Source!I34, 2))), 2)</f>
        <v>23.93</v>
      </c>
      <c r="V108">
        <f>Source!Y34</f>
        <v>166</v>
      </c>
    </row>
    <row r="109" spans="1:26" x14ac:dyDescent="0.2">
      <c r="C109" s="18" t="str">
        <f>"Объем: "&amp;Source!I34&amp;"=129/"&amp;"100"</f>
        <v>Объем: 1,29=129/100</v>
      </c>
    </row>
    <row r="110" spans="1:26" ht="14.25" x14ac:dyDescent="0.2">
      <c r="A110" s="38"/>
      <c r="B110" s="39"/>
      <c r="C110" s="39" t="s">
        <v>812</v>
      </c>
      <c r="D110" s="22"/>
      <c r="E110" s="10"/>
      <c r="F110" s="23">
        <f>Source!AO34</f>
        <v>33.869999999999997</v>
      </c>
      <c r="G110" s="24" t="str">
        <f>Source!DG34</f>
        <v>)*1,15</v>
      </c>
      <c r="H110" s="23">
        <f>ROUND(Source!AF34*Source!I34, 2)</f>
        <v>50.25</v>
      </c>
      <c r="I110" s="24"/>
      <c r="J110" s="24">
        <f>IF(Source!BA34&lt;&gt; 0, Source!BA34, 1)</f>
        <v>6.9</v>
      </c>
      <c r="K110" s="23">
        <f>Source!S34</f>
        <v>346.69</v>
      </c>
      <c r="L110" s="25"/>
      <c r="R110">
        <f>H110</f>
        <v>50.25</v>
      </c>
    </row>
    <row r="111" spans="1:26" ht="14.25" x14ac:dyDescent="0.2">
      <c r="A111" s="38"/>
      <c r="B111" s="39"/>
      <c r="C111" s="39" t="s">
        <v>417</v>
      </c>
      <c r="D111" s="22"/>
      <c r="E111" s="10"/>
      <c r="F111" s="23">
        <f>Source!AM34</f>
        <v>22.14</v>
      </c>
      <c r="G111" s="24" t="str">
        <f>Source!DE34</f>
        <v>)*1,25</v>
      </c>
      <c r="H111" s="23">
        <f>ROUND(Source!AD34*Source!I34, 2)</f>
        <v>35.71</v>
      </c>
      <c r="I111" s="24"/>
      <c r="J111" s="24">
        <f>IF(Source!BB34&lt;&gt; 0, Source!BB34, 1)</f>
        <v>6.9</v>
      </c>
      <c r="K111" s="23">
        <f>Source!Q34</f>
        <v>246.38</v>
      </c>
      <c r="L111" s="25"/>
    </row>
    <row r="112" spans="1:26" ht="14.25" x14ac:dyDescent="0.2">
      <c r="A112" s="38"/>
      <c r="B112" s="39"/>
      <c r="C112" s="39" t="s">
        <v>813</v>
      </c>
      <c r="D112" s="22"/>
      <c r="E112" s="10"/>
      <c r="F112" s="23">
        <f>Source!AN34</f>
        <v>0.57999999999999996</v>
      </c>
      <c r="G112" s="24" t="str">
        <f>Source!DF34</f>
        <v>)*1,25</v>
      </c>
      <c r="H112" s="26">
        <f>ROUND(Source!AE34*Source!I34, 2)</f>
        <v>0.94</v>
      </c>
      <c r="I112" s="24"/>
      <c r="J112" s="24">
        <f>IF(Source!BS34&lt;&gt; 0, Source!BS34, 1)</f>
        <v>6.9</v>
      </c>
      <c r="K112" s="26">
        <f>Source!R34</f>
        <v>6.5</v>
      </c>
      <c r="L112" s="25"/>
      <c r="R112">
        <f>H112</f>
        <v>0.94</v>
      </c>
    </row>
    <row r="113" spans="1:26" ht="14.25" x14ac:dyDescent="0.2">
      <c r="A113" s="38"/>
      <c r="B113" s="39"/>
      <c r="C113" s="39" t="s">
        <v>819</v>
      </c>
      <c r="D113" s="22"/>
      <c r="E113" s="10"/>
      <c r="F113" s="23">
        <f>Source!AL34</f>
        <v>212.29</v>
      </c>
      <c r="G113" s="24" t="str">
        <f>Source!DD34</f>
        <v/>
      </c>
      <c r="H113" s="23">
        <f>ROUND(Source!AC34*Source!I34, 2)</f>
        <v>273.85000000000002</v>
      </c>
      <c r="I113" s="24"/>
      <c r="J113" s="24">
        <f>IF(Source!BC34&lt;&gt; 0, Source!BC34, 1)</f>
        <v>6.9</v>
      </c>
      <c r="K113" s="23">
        <f>Source!P34</f>
        <v>1889.59</v>
      </c>
      <c r="L113" s="25"/>
    </row>
    <row r="114" spans="1:26" ht="14.25" x14ac:dyDescent="0.2">
      <c r="A114" s="38"/>
      <c r="B114" s="39"/>
      <c r="C114" s="39" t="s">
        <v>814</v>
      </c>
      <c r="D114" s="22" t="s">
        <v>815</v>
      </c>
      <c r="E114" s="10">
        <f>Source!BZ34</f>
        <v>105</v>
      </c>
      <c r="F114" s="45" t="str">
        <f>CONCATENATE(" )", Source!DL34, Source!FT34, "=", Source!FX34)</f>
        <v xml:space="preserve"> )*0,9=94,5</v>
      </c>
      <c r="G114" s="46"/>
      <c r="H114" s="23">
        <f>SUM(S108:S116)</f>
        <v>48.37</v>
      </c>
      <c r="I114" s="27"/>
      <c r="J114" s="21">
        <f>Source!AT34</f>
        <v>95</v>
      </c>
      <c r="K114" s="23">
        <f>SUM(T108:T116)</f>
        <v>335.53</v>
      </c>
      <c r="L114" s="25"/>
    </row>
    <row r="115" spans="1:26" ht="14.25" x14ac:dyDescent="0.2">
      <c r="A115" s="38"/>
      <c r="B115" s="39"/>
      <c r="C115" s="39" t="s">
        <v>816</v>
      </c>
      <c r="D115" s="22" t="s">
        <v>815</v>
      </c>
      <c r="E115" s="10">
        <f>Source!CA34</f>
        <v>55</v>
      </c>
      <c r="F115" s="45" t="str">
        <f>CONCATENATE(" )", Source!DM34, Source!FU34, "=", Source!FY34)</f>
        <v xml:space="preserve"> )*0,85=46,75</v>
      </c>
      <c r="G115" s="46"/>
      <c r="H115" s="23">
        <f>SUM(U108:U116)</f>
        <v>23.93</v>
      </c>
      <c r="I115" s="27"/>
      <c r="J115" s="21">
        <f>Source!AU34</f>
        <v>47</v>
      </c>
      <c r="K115" s="23">
        <f>SUM(V108:V116)</f>
        <v>166</v>
      </c>
      <c r="L115" s="25"/>
    </row>
    <row r="116" spans="1:26" ht="14.25" x14ac:dyDescent="0.2">
      <c r="A116" s="40"/>
      <c r="B116" s="41"/>
      <c r="C116" s="41" t="s">
        <v>817</v>
      </c>
      <c r="D116" s="28" t="s">
        <v>818</v>
      </c>
      <c r="E116" s="29">
        <f>Source!AQ34</f>
        <v>3.69</v>
      </c>
      <c r="F116" s="30"/>
      <c r="G116" s="31" t="str">
        <f>Source!DI34</f>
        <v>)*1,15</v>
      </c>
      <c r="H116" s="30"/>
      <c r="I116" s="31"/>
      <c r="J116" s="31"/>
      <c r="K116" s="30"/>
      <c r="L116" s="32">
        <f>Source!U34</f>
        <v>5.4741150000000003</v>
      </c>
    </row>
    <row r="117" spans="1:26" ht="15" x14ac:dyDescent="0.25">
      <c r="G117" s="44">
        <f>H110+H111+H113+H114+H115</f>
        <v>432.11000000000007</v>
      </c>
      <c r="H117" s="44"/>
      <c r="J117" s="44">
        <f>K110+K111+K113+K114+K115</f>
        <v>2984.1899999999996</v>
      </c>
      <c r="K117" s="44"/>
      <c r="L117" s="33">
        <f>Source!U34</f>
        <v>5.4741150000000003</v>
      </c>
      <c r="O117" s="19">
        <f>G117</f>
        <v>432.11000000000007</v>
      </c>
      <c r="P117" s="19">
        <f>J117</f>
        <v>2984.1899999999996</v>
      </c>
      <c r="Q117" s="19">
        <f>L117</f>
        <v>5.4741150000000003</v>
      </c>
      <c r="W117">
        <f>IF(Source!BI34&lt;=1,H110+H111+H113+H114+H115, 0)</f>
        <v>432.11000000000007</v>
      </c>
      <c r="X117">
        <f>IF(Source!BI34=2,H110+H111+H113+H114+H115, 0)</f>
        <v>0</v>
      </c>
      <c r="Y117">
        <f>IF(Source!BI34=3,H110+H111+H113+H114+H115, 0)</f>
        <v>0</v>
      </c>
      <c r="Z117">
        <f>IF(Source!BI34=4,H110+H111+H113+H114+H115, 0)</f>
        <v>0</v>
      </c>
    </row>
    <row r="118" spans="1:26" ht="28.5" x14ac:dyDescent="0.2">
      <c r="A118" s="38" t="str">
        <f>Source!E35</f>
        <v>12</v>
      </c>
      <c r="B118" s="39" t="str">
        <f>Source!F35</f>
        <v>11-01-011-01</v>
      </c>
      <c r="C118" s="39" t="str">
        <f>Source!G35</f>
        <v>Устройство стяжек цементных толщиной 20 мм</v>
      </c>
      <c r="D118" s="22" t="str">
        <f>Source!H35</f>
        <v>100 м2</v>
      </c>
      <c r="E118" s="10">
        <f>Source!I35</f>
        <v>1.29</v>
      </c>
      <c r="F118" s="23">
        <f>Source!AL35+Source!AM35+Source!AO35</f>
        <v>366.49</v>
      </c>
      <c r="G118" s="24"/>
      <c r="H118" s="23"/>
      <c r="I118" s="24" t="str">
        <f>Source!BO35</f>
        <v/>
      </c>
      <c r="J118" s="24"/>
      <c r="K118" s="23"/>
      <c r="L118" s="25"/>
      <c r="S118">
        <f>ROUND((Source!FX35/100)*((ROUND(Source!AF35*Source!I35, 2)+ROUND(Source!AE35*Source!I35, 2))), 2)</f>
        <v>545.80999999999995</v>
      </c>
      <c r="T118">
        <f>Source!X35</f>
        <v>3776.28</v>
      </c>
      <c r="U118">
        <f>ROUND((Source!FY35/100)*((ROUND(Source!AF35*Source!I35, 2)+ROUND(Source!AE35*Source!I35, 2))), 2)</f>
        <v>314.32</v>
      </c>
      <c r="V118">
        <f>Source!Y35</f>
        <v>2177.31</v>
      </c>
    </row>
    <row r="119" spans="1:26" x14ac:dyDescent="0.2">
      <c r="C119" s="18" t="str">
        <f>"Объем: "&amp;Source!I35&amp;"=129/"&amp;"100"</f>
        <v>Объем: 1,29=129/100</v>
      </c>
    </row>
    <row r="120" spans="1:26" ht="14.25" x14ac:dyDescent="0.2">
      <c r="A120" s="38"/>
      <c r="B120" s="39"/>
      <c r="C120" s="39" t="s">
        <v>812</v>
      </c>
      <c r="D120" s="22"/>
      <c r="E120" s="10"/>
      <c r="F120" s="23">
        <f>Source!AO35</f>
        <v>313.70999999999998</v>
      </c>
      <c r="G120" s="24" t="str">
        <f>Source!DG35</f>
        <v>)*1,15</v>
      </c>
      <c r="H120" s="23">
        <f>ROUND(Source!AF35*Source!I35, 2)</f>
        <v>465.39</v>
      </c>
      <c r="I120" s="24"/>
      <c r="J120" s="24">
        <f>IF(Source!BA35&lt;&gt; 0, Source!BA35, 1)</f>
        <v>6.9</v>
      </c>
      <c r="K120" s="23">
        <f>Source!S35</f>
        <v>3211.21</v>
      </c>
      <c r="L120" s="25"/>
      <c r="R120">
        <f>H120</f>
        <v>465.39</v>
      </c>
    </row>
    <row r="121" spans="1:26" ht="14.25" x14ac:dyDescent="0.2">
      <c r="A121" s="38"/>
      <c r="B121" s="39"/>
      <c r="C121" s="39" t="s">
        <v>417</v>
      </c>
      <c r="D121" s="22"/>
      <c r="E121" s="10"/>
      <c r="F121" s="23">
        <f>Source!AM35</f>
        <v>44.24</v>
      </c>
      <c r="G121" s="24" t="str">
        <f>Source!DE35</f>
        <v>)*1,25</v>
      </c>
      <c r="H121" s="23">
        <f>ROUND(Source!AD35*Source!I35, 2)</f>
        <v>71.34</v>
      </c>
      <c r="I121" s="24"/>
      <c r="J121" s="24">
        <f>IF(Source!BB35&lt;&gt; 0, Source!BB35, 1)</f>
        <v>6.9</v>
      </c>
      <c r="K121" s="23">
        <f>Source!Q35</f>
        <v>492.23</v>
      </c>
      <c r="L121" s="25"/>
    </row>
    <row r="122" spans="1:26" ht="14.25" x14ac:dyDescent="0.2">
      <c r="A122" s="38"/>
      <c r="B122" s="39"/>
      <c r="C122" s="39" t="s">
        <v>813</v>
      </c>
      <c r="D122" s="22"/>
      <c r="E122" s="10"/>
      <c r="F122" s="23">
        <f>Source!AN35</f>
        <v>17.149999999999999</v>
      </c>
      <c r="G122" s="24" t="str">
        <f>Source!DF35</f>
        <v>)*1,25</v>
      </c>
      <c r="H122" s="26">
        <f>ROUND(Source!AE35*Source!I35, 2)</f>
        <v>27.66</v>
      </c>
      <c r="I122" s="24"/>
      <c r="J122" s="24">
        <f>IF(Source!BS35&lt;&gt; 0, Source!BS35, 1)</f>
        <v>6.9</v>
      </c>
      <c r="K122" s="26">
        <f>Source!R35</f>
        <v>190.84</v>
      </c>
      <c r="L122" s="25"/>
      <c r="R122">
        <f>H122</f>
        <v>27.66</v>
      </c>
    </row>
    <row r="123" spans="1:26" ht="14.25" x14ac:dyDescent="0.2">
      <c r="A123" s="38"/>
      <c r="B123" s="39"/>
      <c r="C123" s="39" t="s">
        <v>819</v>
      </c>
      <c r="D123" s="22"/>
      <c r="E123" s="10"/>
      <c r="F123" s="23">
        <f>Source!AL35</f>
        <v>8.5399999999999991</v>
      </c>
      <c r="G123" s="24" t="str">
        <f>Source!DD35</f>
        <v/>
      </c>
      <c r="H123" s="23">
        <f>ROUND(Source!AC35*Source!I35, 2)</f>
        <v>11.02</v>
      </c>
      <c r="I123" s="24"/>
      <c r="J123" s="24">
        <f>IF(Source!BC35&lt;&gt; 0, Source!BC35, 1)</f>
        <v>6.9</v>
      </c>
      <c r="K123" s="23">
        <f>Source!P35</f>
        <v>76.010000000000005</v>
      </c>
      <c r="L123" s="25"/>
    </row>
    <row r="124" spans="1:26" ht="14.25" x14ac:dyDescent="0.2">
      <c r="A124" s="38"/>
      <c r="B124" s="39"/>
      <c r="C124" s="39" t="s">
        <v>814</v>
      </c>
      <c r="D124" s="22" t="s">
        <v>815</v>
      </c>
      <c r="E124" s="10">
        <f>Source!BZ35</f>
        <v>123</v>
      </c>
      <c r="F124" s="45" t="str">
        <f>CONCATENATE(" )", Source!DL35, Source!FT35, "=", Source!FX35)</f>
        <v xml:space="preserve"> )*0,9=110,7</v>
      </c>
      <c r="G124" s="46"/>
      <c r="H124" s="23">
        <f>SUM(S118:S128)</f>
        <v>545.80999999999995</v>
      </c>
      <c r="I124" s="27"/>
      <c r="J124" s="21">
        <f>Source!AT35</f>
        <v>111</v>
      </c>
      <c r="K124" s="23">
        <f>SUM(T118:T128)</f>
        <v>3776.28</v>
      </c>
      <c r="L124" s="25"/>
    </row>
    <row r="125" spans="1:26" ht="14.25" x14ac:dyDescent="0.2">
      <c r="A125" s="38"/>
      <c r="B125" s="39"/>
      <c r="C125" s="39" t="s">
        <v>816</v>
      </c>
      <c r="D125" s="22" t="s">
        <v>815</v>
      </c>
      <c r="E125" s="10">
        <f>Source!CA35</f>
        <v>75</v>
      </c>
      <c r="F125" s="45" t="str">
        <f>CONCATENATE(" )", Source!DM35, Source!FU35, "=", Source!FY35)</f>
        <v xml:space="preserve"> )*0,85=63,75</v>
      </c>
      <c r="G125" s="46"/>
      <c r="H125" s="23">
        <f>SUM(U118:U128)</f>
        <v>314.32</v>
      </c>
      <c r="I125" s="27"/>
      <c r="J125" s="21">
        <f>Source!AU35</f>
        <v>64</v>
      </c>
      <c r="K125" s="23">
        <f>SUM(V118:V128)</f>
        <v>2177.31</v>
      </c>
      <c r="L125" s="25"/>
    </row>
    <row r="126" spans="1:26" ht="14.25" x14ac:dyDescent="0.2">
      <c r="A126" s="38"/>
      <c r="B126" s="39"/>
      <c r="C126" s="39" t="s">
        <v>817</v>
      </c>
      <c r="D126" s="22" t="s">
        <v>818</v>
      </c>
      <c r="E126" s="10">
        <f>Source!AQ35</f>
        <v>39.51</v>
      </c>
      <c r="F126" s="23"/>
      <c r="G126" s="24" t="str">
        <f>Source!DI35</f>
        <v>)*1,15</v>
      </c>
      <c r="H126" s="23"/>
      <c r="I126" s="24"/>
      <c r="J126" s="24"/>
      <c r="K126" s="23"/>
      <c r="L126" s="34">
        <f>Source!U35</f>
        <v>58.613084999999998</v>
      </c>
    </row>
    <row r="127" spans="1:26" ht="28.5" x14ac:dyDescent="0.2">
      <c r="A127" s="38" t="str">
        <f>Source!E36</f>
        <v>12,1</v>
      </c>
      <c r="B127" s="39" t="str">
        <f>Source!F36</f>
        <v>04.3.01.09-0014</v>
      </c>
      <c r="C127" s="39" t="str">
        <f>Source!G36</f>
        <v>Раствор готовый кладочный цементный марки 100</v>
      </c>
      <c r="D127" s="22" t="str">
        <f>Source!H36</f>
        <v>м3</v>
      </c>
      <c r="E127" s="10">
        <f>Source!I36</f>
        <v>2.6316000000000002</v>
      </c>
      <c r="F127" s="23">
        <f>Source!AL36+Source!AM36+Source!AO36</f>
        <v>519.79999999999995</v>
      </c>
      <c r="G127" s="35" t="s">
        <v>3</v>
      </c>
      <c r="H127" s="23">
        <f>ROUND(Source!AC36*Source!I36, 2)+ROUND(Source!AD36*Source!I36, 2)+ROUND(Source!AF36*Source!I36, 2)</f>
        <v>1367.91</v>
      </c>
      <c r="I127" s="24"/>
      <c r="J127" s="24">
        <f>IF(Source!BC36&lt;&gt; 0, Source!BC36, 1)</f>
        <v>6.9</v>
      </c>
      <c r="K127" s="23">
        <f>Source!O36</f>
        <v>9438.5499999999993</v>
      </c>
      <c r="L127" s="25"/>
      <c r="S127">
        <f>ROUND((Source!FX36/100)*((ROUND(Source!AF36*Source!I36, 2)+ROUND(Source!AE36*Source!I36, 2))), 2)</f>
        <v>0</v>
      </c>
      <c r="T127">
        <f>Source!X36</f>
        <v>0</v>
      </c>
      <c r="U127">
        <f>ROUND((Source!FY36/100)*((ROUND(Source!AF36*Source!I36, 2)+ROUND(Source!AE36*Source!I36, 2))), 2)</f>
        <v>0</v>
      </c>
      <c r="V127">
        <f>Source!Y36</f>
        <v>0</v>
      </c>
      <c r="W127">
        <f>IF(Source!BI36&lt;=1,H127, 0)</f>
        <v>1367.91</v>
      </c>
      <c r="X127">
        <f>IF(Source!BI36=2,H127, 0)</f>
        <v>0</v>
      </c>
      <c r="Y127">
        <f>IF(Source!BI36=3,H127, 0)</f>
        <v>0</v>
      </c>
      <c r="Z127">
        <f>IF(Source!BI36=4,H127, 0)</f>
        <v>0</v>
      </c>
    </row>
    <row r="128" spans="1:26" ht="28.5" x14ac:dyDescent="0.2">
      <c r="A128" s="40" t="str">
        <f>Source!E37</f>
        <v>12,2</v>
      </c>
      <c r="B128" s="41" t="str">
        <f>Source!F37</f>
        <v>04.3.01.09</v>
      </c>
      <c r="C128" s="41" t="str">
        <f>Source!G37</f>
        <v>Раствор готовый кладочный тяжелый цементный</v>
      </c>
      <c r="D128" s="28" t="str">
        <f>Source!H37</f>
        <v>м3</v>
      </c>
      <c r="E128" s="29">
        <f>Source!I37</f>
        <v>2.6316000000000002</v>
      </c>
      <c r="F128" s="30">
        <f>Source!AL37+Source!AM37+Source!AO37</f>
        <v>0</v>
      </c>
      <c r="G128" s="36" t="s">
        <v>3</v>
      </c>
      <c r="H128" s="30">
        <f>ROUND(Source!AC37*Source!I37, 2)+ROUND(Source!AD37*Source!I37, 2)+ROUND(Source!AF37*Source!I37, 2)</f>
        <v>0</v>
      </c>
      <c r="I128" s="31"/>
      <c r="J128" s="31">
        <f>IF(Source!BC37&lt;&gt; 0, Source!BC37, 1)</f>
        <v>6.9</v>
      </c>
      <c r="K128" s="30">
        <f>Source!O37</f>
        <v>0</v>
      </c>
      <c r="L128" s="37"/>
      <c r="S128">
        <f>ROUND((Source!FX37/100)*((ROUND(Source!AF37*Source!I37, 2)+ROUND(Source!AE37*Source!I37, 2))), 2)</f>
        <v>0</v>
      </c>
      <c r="T128">
        <f>Source!X37</f>
        <v>0</v>
      </c>
      <c r="U128">
        <f>ROUND((Source!FY37/100)*((ROUND(Source!AF37*Source!I37, 2)+ROUND(Source!AE37*Source!I37, 2))), 2)</f>
        <v>0</v>
      </c>
      <c r="V128">
        <f>Source!Y37</f>
        <v>0</v>
      </c>
      <c r="W128">
        <f>IF(Source!BI37&lt;=1,H128, 0)</f>
        <v>0</v>
      </c>
      <c r="X128">
        <f>IF(Source!BI37=2,H128, 0)</f>
        <v>0</v>
      </c>
      <c r="Y128">
        <f>IF(Source!BI37=3,H128, 0)</f>
        <v>0</v>
      </c>
      <c r="Z128">
        <f>IF(Source!BI37=4,H128, 0)</f>
        <v>0</v>
      </c>
    </row>
    <row r="129" spans="1:26" ht="15" x14ac:dyDescent="0.25">
      <c r="G129" s="44">
        <f>H120+H121+H123+H124+H125+SUM(H127:H128)</f>
        <v>2775.79</v>
      </c>
      <c r="H129" s="44"/>
      <c r="J129" s="44">
        <f>K120+K121+K123+K124+K125+SUM(K127:K128)</f>
        <v>19171.59</v>
      </c>
      <c r="K129" s="44"/>
      <c r="L129" s="33">
        <f>Source!U35</f>
        <v>58.613084999999998</v>
      </c>
      <c r="O129" s="19">
        <f>G129</f>
        <v>2775.79</v>
      </c>
      <c r="P129" s="19">
        <f>J129</f>
        <v>19171.59</v>
      </c>
      <c r="Q129" s="19">
        <f>L129</f>
        <v>58.613084999999998</v>
      </c>
      <c r="W129">
        <f>IF(Source!BI35&lt;=1,H120+H121+H123+H124+H125, 0)</f>
        <v>1407.8799999999999</v>
      </c>
      <c r="X129">
        <f>IF(Source!BI35=2,H120+H121+H123+H124+H125, 0)</f>
        <v>0</v>
      </c>
      <c r="Y129">
        <f>IF(Source!BI35=3,H120+H121+H123+H124+H125, 0)</f>
        <v>0</v>
      </c>
      <c r="Z129">
        <f>IF(Source!BI35=4,H120+H121+H123+H124+H125, 0)</f>
        <v>0</v>
      </c>
    </row>
    <row r="130" spans="1:26" ht="42.75" x14ac:dyDescent="0.2">
      <c r="A130" s="38" t="str">
        <f>Source!E38</f>
        <v>13</v>
      </c>
      <c r="B130" s="39" t="str">
        <f>Source!F38</f>
        <v>11-01-011-02</v>
      </c>
      <c r="C130" s="39" t="str">
        <f>Source!G38</f>
        <v>Устройство стяжек на каждые 5 мм изменения толщины стяжки добавлять или исключать к расценке 11-01-011-01</v>
      </c>
      <c r="D130" s="22" t="str">
        <f>Source!H38</f>
        <v>100 м2</v>
      </c>
      <c r="E130" s="10">
        <f>Source!I38</f>
        <v>1.29</v>
      </c>
      <c r="F130" s="23">
        <f>Source!AL38+Source!AM38+Source!AO38</f>
        <v>11.69</v>
      </c>
      <c r="G130" s="24"/>
      <c r="H130" s="23"/>
      <c r="I130" s="24" t="str">
        <f>Source!BO38</f>
        <v/>
      </c>
      <c r="J130" s="24"/>
      <c r="K130" s="23"/>
      <c r="L130" s="25"/>
      <c r="S130">
        <f>ROUND((Source!FX38/100)*((ROUND(Source!AF38*Source!I38, 2)+ROUND(Source!AE38*Source!I38, 2))), 2)</f>
        <v>23.18</v>
      </c>
      <c r="T130">
        <f>Source!X38</f>
        <v>160.36000000000001</v>
      </c>
      <c r="U130">
        <f>ROUND((Source!FY38/100)*((ROUND(Source!AF38*Source!I38, 2)+ROUND(Source!AE38*Source!I38, 2))), 2)</f>
        <v>13.35</v>
      </c>
      <c r="V130">
        <f>Source!Y38</f>
        <v>92.46</v>
      </c>
    </row>
    <row r="131" spans="1:26" x14ac:dyDescent="0.2">
      <c r="C131" s="18" t="str">
        <f>"Объем: "&amp;Source!I38&amp;"=129/"&amp;"100"</f>
        <v>Объем: 1,29=129/100</v>
      </c>
    </row>
    <row r="132" spans="1:26" ht="14.25" x14ac:dyDescent="0.2">
      <c r="A132" s="38"/>
      <c r="B132" s="39"/>
      <c r="C132" s="39" t="s">
        <v>812</v>
      </c>
      <c r="D132" s="22"/>
      <c r="E132" s="10"/>
      <c r="F132" s="23">
        <f>Source!AO38</f>
        <v>3.97</v>
      </c>
      <c r="G132" s="24" t="str">
        <f>Source!DG38</f>
        <v>)*1,15*2</v>
      </c>
      <c r="H132" s="23">
        <f>ROUND(Source!AF38*Source!I38, 2)</f>
        <v>11.78</v>
      </c>
      <c r="I132" s="24"/>
      <c r="J132" s="24">
        <f>IF(Source!BA38&lt;&gt; 0, Source!BA38, 1)</f>
        <v>6.9</v>
      </c>
      <c r="K132" s="23">
        <f>Source!S38</f>
        <v>81.27</v>
      </c>
      <c r="L132" s="25"/>
      <c r="R132">
        <f>H132</f>
        <v>11.78</v>
      </c>
    </row>
    <row r="133" spans="1:26" ht="14.25" x14ac:dyDescent="0.2">
      <c r="A133" s="38"/>
      <c r="B133" s="39"/>
      <c r="C133" s="39" t="s">
        <v>417</v>
      </c>
      <c r="D133" s="22"/>
      <c r="E133" s="10"/>
      <c r="F133" s="23">
        <f>Source!AM38</f>
        <v>7.72</v>
      </c>
      <c r="G133" s="24" t="str">
        <f>Source!DE38</f>
        <v>)*1,25*2</v>
      </c>
      <c r="H133" s="23">
        <f>ROUND(Source!AD38*Source!I38, 2)</f>
        <v>24.9</v>
      </c>
      <c r="I133" s="24"/>
      <c r="J133" s="24">
        <f>IF(Source!BB38&lt;&gt; 0, Source!BB38, 1)</f>
        <v>6.9</v>
      </c>
      <c r="K133" s="23">
        <f>Source!Q38</f>
        <v>171.79</v>
      </c>
      <c r="L133" s="25"/>
    </row>
    <row r="134" spans="1:26" ht="14.25" x14ac:dyDescent="0.2">
      <c r="A134" s="38"/>
      <c r="B134" s="39"/>
      <c r="C134" s="39" t="s">
        <v>813</v>
      </c>
      <c r="D134" s="22"/>
      <c r="E134" s="10"/>
      <c r="F134" s="23">
        <f>Source!AN38</f>
        <v>2.84</v>
      </c>
      <c r="G134" s="24" t="str">
        <f>Source!DF38</f>
        <v>)*1,25*2</v>
      </c>
      <c r="H134" s="26">
        <f>ROUND(Source!AE38*Source!I38, 2)</f>
        <v>9.16</v>
      </c>
      <c r="I134" s="24"/>
      <c r="J134" s="24">
        <f>IF(Source!BS38&lt;&gt; 0, Source!BS38, 1)</f>
        <v>6.9</v>
      </c>
      <c r="K134" s="26">
        <f>Source!R38</f>
        <v>63.2</v>
      </c>
      <c r="L134" s="25"/>
      <c r="R134">
        <f>H134</f>
        <v>9.16</v>
      </c>
    </row>
    <row r="135" spans="1:26" ht="14.25" x14ac:dyDescent="0.2">
      <c r="A135" s="38"/>
      <c r="B135" s="39"/>
      <c r="C135" s="39" t="s">
        <v>814</v>
      </c>
      <c r="D135" s="22" t="s">
        <v>815</v>
      </c>
      <c r="E135" s="10">
        <f>Source!BZ38</f>
        <v>123</v>
      </c>
      <c r="F135" s="45" t="str">
        <f>CONCATENATE(" )", Source!DL38, Source!FT38, "=", Source!FX38)</f>
        <v xml:space="preserve"> )*0,9=110,7</v>
      </c>
      <c r="G135" s="46"/>
      <c r="H135" s="23">
        <f>SUM(S130:S139)</f>
        <v>23.18</v>
      </c>
      <c r="I135" s="27"/>
      <c r="J135" s="21">
        <f>Source!AT38</f>
        <v>111</v>
      </c>
      <c r="K135" s="23">
        <f>SUM(T130:T139)</f>
        <v>160.36000000000001</v>
      </c>
      <c r="L135" s="25"/>
    </row>
    <row r="136" spans="1:26" ht="14.25" x14ac:dyDescent="0.2">
      <c r="A136" s="38"/>
      <c r="B136" s="39"/>
      <c r="C136" s="39" t="s">
        <v>816</v>
      </c>
      <c r="D136" s="22" t="s">
        <v>815</v>
      </c>
      <c r="E136" s="10">
        <f>Source!CA38</f>
        <v>75</v>
      </c>
      <c r="F136" s="45" t="str">
        <f>CONCATENATE(" )", Source!DM38, Source!FU38, "=", Source!FY38)</f>
        <v xml:space="preserve"> )*0,85=63,75</v>
      </c>
      <c r="G136" s="46"/>
      <c r="H136" s="23">
        <f>SUM(U130:U139)</f>
        <v>13.35</v>
      </c>
      <c r="I136" s="27"/>
      <c r="J136" s="21">
        <f>Source!AU38</f>
        <v>64</v>
      </c>
      <c r="K136" s="23">
        <f>SUM(V130:V139)</f>
        <v>92.46</v>
      </c>
      <c r="L136" s="25"/>
    </row>
    <row r="137" spans="1:26" ht="14.25" x14ac:dyDescent="0.2">
      <c r="A137" s="38"/>
      <c r="B137" s="39"/>
      <c r="C137" s="39" t="s">
        <v>817</v>
      </c>
      <c r="D137" s="22" t="s">
        <v>818</v>
      </c>
      <c r="E137" s="10">
        <f>Source!AQ38</f>
        <v>0.5</v>
      </c>
      <c r="F137" s="23"/>
      <c r="G137" s="24" t="str">
        <f>Source!DI38</f>
        <v>)*1,15*2</v>
      </c>
      <c r="H137" s="23"/>
      <c r="I137" s="24"/>
      <c r="J137" s="24"/>
      <c r="K137" s="23"/>
      <c r="L137" s="34">
        <f>Source!U38</f>
        <v>1.4834999999999998</v>
      </c>
    </row>
    <row r="138" spans="1:26" ht="28.5" x14ac:dyDescent="0.2">
      <c r="A138" s="38" t="str">
        <f>Source!E39</f>
        <v>13,1</v>
      </c>
      <c r="B138" s="39" t="str">
        <f>Source!F39</f>
        <v>04.3.01.09-0014</v>
      </c>
      <c r="C138" s="39" t="str">
        <f>Source!G39</f>
        <v>Раствор готовый кладочный цементный марки 100</v>
      </c>
      <c r="D138" s="22" t="str">
        <f>Source!H39</f>
        <v>м3</v>
      </c>
      <c r="E138" s="10">
        <f>Source!I39</f>
        <v>1.3158000000000001</v>
      </c>
      <c r="F138" s="23">
        <f>Source!AL39+Source!AM39+Source!AO39</f>
        <v>519.79999999999995</v>
      </c>
      <c r="G138" s="35" t="s">
        <v>3</v>
      </c>
      <c r="H138" s="23">
        <f>ROUND(Source!AC39*Source!I39, 2)+ROUND(Source!AD39*Source!I39, 2)+ROUND(Source!AF39*Source!I39, 2)</f>
        <v>683.95</v>
      </c>
      <c r="I138" s="24"/>
      <c r="J138" s="24">
        <f>IF(Source!BC39&lt;&gt; 0, Source!BC39, 1)</f>
        <v>6.9</v>
      </c>
      <c r="K138" s="23">
        <f>Source!O39</f>
        <v>4719.2700000000004</v>
      </c>
      <c r="L138" s="25"/>
      <c r="S138">
        <f>ROUND((Source!FX39/100)*((ROUND(Source!AF39*Source!I39, 2)+ROUND(Source!AE39*Source!I39, 2))), 2)</f>
        <v>0</v>
      </c>
      <c r="T138">
        <f>Source!X39</f>
        <v>0</v>
      </c>
      <c r="U138">
        <f>ROUND((Source!FY39/100)*((ROUND(Source!AF39*Source!I39, 2)+ROUND(Source!AE39*Source!I39, 2))), 2)</f>
        <v>0</v>
      </c>
      <c r="V138">
        <f>Source!Y39</f>
        <v>0</v>
      </c>
      <c r="W138">
        <f>IF(Source!BI39&lt;=1,H138, 0)</f>
        <v>683.95</v>
      </c>
      <c r="X138">
        <f>IF(Source!BI39=2,H138, 0)</f>
        <v>0</v>
      </c>
      <c r="Y138">
        <f>IF(Source!BI39=3,H138, 0)</f>
        <v>0</v>
      </c>
      <c r="Z138">
        <f>IF(Source!BI39=4,H138, 0)</f>
        <v>0</v>
      </c>
    </row>
    <row r="139" spans="1:26" ht="28.5" x14ac:dyDescent="0.2">
      <c r="A139" s="40" t="str">
        <f>Source!E40</f>
        <v>13,2</v>
      </c>
      <c r="B139" s="41" t="str">
        <f>Source!F40</f>
        <v>04.3.01.09</v>
      </c>
      <c r="C139" s="41" t="str">
        <f>Source!G40</f>
        <v>Раствор готовый кладочный тяжелый цементный</v>
      </c>
      <c r="D139" s="28" t="str">
        <f>Source!H40</f>
        <v>м3</v>
      </c>
      <c r="E139" s="29">
        <f>Source!I40</f>
        <v>1.3158000000000001</v>
      </c>
      <c r="F139" s="30">
        <f>Source!AL40+Source!AM40+Source!AO40</f>
        <v>0</v>
      </c>
      <c r="G139" s="36" t="s">
        <v>820</v>
      </c>
      <c r="H139" s="30">
        <f>ROUND(Source!AC40*Source!I40, 2)+ROUND(Source!AD40*Source!I40, 2)+ROUND(Source!AF40*Source!I40, 2)</f>
        <v>0</v>
      </c>
      <c r="I139" s="31"/>
      <c r="J139" s="31">
        <f>IF(Source!BC40&lt;&gt; 0, Source!BC40, 1)</f>
        <v>6.9</v>
      </c>
      <c r="K139" s="30">
        <f>Source!O40</f>
        <v>0</v>
      </c>
      <c r="L139" s="37"/>
      <c r="S139">
        <f>ROUND((Source!FX40/100)*((ROUND(Source!AF40*Source!I40, 2)+ROUND(Source!AE40*Source!I40, 2))), 2)</f>
        <v>0</v>
      </c>
      <c r="T139">
        <f>Source!X40</f>
        <v>0</v>
      </c>
      <c r="U139">
        <f>ROUND((Source!FY40/100)*((ROUND(Source!AF40*Source!I40, 2)+ROUND(Source!AE40*Source!I40, 2))), 2)</f>
        <v>0</v>
      </c>
      <c r="V139">
        <f>Source!Y40</f>
        <v>0</v>
      </c>
      <c r="W139">
        <f>IF(Source!BI40&lt;=1,H139, 0)</f>
        <v>0</v>
      </c>
      <c r="X139">
        <f>IF(Source!BI40=2,H139, 0)</f>
        <v>0</v>
      </c>
      <c r="Y139">
        <f>IF(Source!BI40=3,H139, 0)</f>
        <v>0</v>
      </c>
      <c r="Z139">
        <f>IF(Source!BI40=4,H139, 0)</f>
        <v>0</v>
      </c>
    </row>
    <row r="140" spans="1:26" ht="15" x14ac:dyDescent="0.25">
      <c r="G140" s="44">
        <f>H132+H133+H135+H136+SUM(H138:H139)</f>
        <v>757.16000000000008</v>
      </c>
      <c r="H140" s="44"/>
      <c r="J140" s="44">
        <f>K132+K133+K135+K136+SUM(K138:K139)</f>
        <v>5225.1500000000005</v>
      </c>
      <c r="K140" s="44"/>
      <c r="L140" s="33">
        <f>Source!U38</f>
        <v>1.4834999999999998</v>
      </c>
      <c r="O140" s="19">
        <f>G140</f>
        <v>757.16000000000008</v>
      </c>
      <c r="P140" s="19">
        <f>J140</f>
        <v>5225.1500000000005</v>
      </c>
      <c r="Q140" s="19">
        <f>L140</f>
        <v>1.4834999999999998</v>
      </c>
      <c r="W140">
        <f>IF(Source!BI38&lt;=1,H132+H133+H135+H136, 0)</f>
        <v>73.209999999999994</v>
      </c>
      <c r="X140">
        <f>IF(Source!BI38=2,H132+H133+H135+H136, 0)</f>
        <v>0</v>
      </c>
      <c r="Y140">
        <f>IF(Source!BI38=3,H132+H133+H135+H136, 0)</f>
        <v>0</v>
      </c>
      <c r="Z140">
        <f>IF(Source!BI38=4,H132+H133+H135+H136, 0)</f>
        <v>0</v>
      </c>
    </row>
    <row r="141" spans="1:26" ht="42.75" x14ac:dyDescent="0.2">
      <c r="A141" s="38" t="str">
        <f>Source!E41</f>
        <v>14</v>
      </c>
      <c r="B141" s="39" t="str">
        <f>Source!F41</f>
        <v>11-01-011-09 прим.</v>
      </c>
      <c r="C141" s="39" t="str">
        <f>Source!G41</f>
        <v>Устройство стяжек из выравнивающей смеси типа "Ветонит" 3000, толщиной 3 мм</v>
      </c>
      <c r="D141" s="22" t="str">
        <f>Source!H41</f>
        <v>100 м2</v>
      </c>
      <c r="E141" s="10">
        <f>Source!I41</f>
        <v>1.29</v>
      </c>
      <c r="F141" s="23">
        <f>Source!AL41+Source!AM41+Source!AO41</f>
        <v>5981.97</v>
      </c>
      <c r="G141" s="24"/>
      <c r="H141" s="23"/>
      <c r="I141" s="24" t="str">
        <f>Source!BO41</f>
        <v/>
      </c>
      <c r="J141" s="24"/>
      <c r="K141" s="23"/>
      <c r="L141" s="25"/>
      <c r="S141">
        <f>ROUND((Source!FX41/100)*((ROUND(Source!AF41*Source!I41, 2)+ROUND(Source!AE41*Source!I41, 2))), 2)</f>
        <v>432.34</v>
      </c>
      <c r="T141">
        <f>Source!X41</f>
        <v>2991.21</v>
      </c>
      <c r="U141">
        <f>ROUND((Source!FY41/100)*((ROUND(Source!AF41*Source!I41, 2)+ROUND(Source!AE41*Source!I41, 2))), 2)</f>
        <v>248.98</v>
      </c>
      <c r="V141">
        <f>Source!Y41</f>
        <v>1724.66</v>
      </c>
    </row>
    <row r="142" spans="1:26" x14ac:dyDescent="0.2">
      <c r="C142" s="18" t="str">
        <f>"Объем: "&amp;Source!I41&amp;"=129/"&amp;"100"</f>
        <v>Объем: 1,29=129/100</v>
      </c>
    </row>
    <row r="143" spans="1:26" ht="14.25" x14ac:dyDescent="0.2">
      <c r="A143" s="38"/>
      <c r="B143" s="39"/>
      <c r="C143" s="39" t="s">
        <v>812</v>
      </c>
      <c r="D143" s="22"/>
      <c r="E143" s="10"/>
      <c r="F143" s="23">
        <f>Source!AO41</f>
        <v>262.13</v>
      </c>
      <c r="G143" s="24" t="str">
        <f>Source!DG41</f>
        <v>)*1,15</v>
      </c>
      <c r="H143" s="23">
        <f>ROUND(Source!AF41*Source!I41, 2)</f>
        <v>388.87</v>
      </c>
      <c r="I143" s="24"/>
      <c r="J143" s="24">
        <f>IF(Source!BA41&lt;&gt; 0, Source!BA41, 1)</f>
        <v>6.9</v>
      </c>
      <c r="K143" s="23">
        <f>Source!S41</f>
        <v>2683.21</v>
      </c>
      <c r="L143" s="25"/>
      <c r="R143">
        <f>H143</f>
        <v>388.87</v>
      </c>
    </row>
    <row r="144" spans="1:26" ht="14.25" x14ac:dyDescent="0.2">
      <c r="A144" s="38"/>
      <c r="B144" s="39"/>
      <c r="C144" s="39" t="s">
        <v>417</v>
      </c>
      <c r="D144" s="22"/>
      <c r="E144" s="10"/>
      <c r="F144" s="23">
        <f>Source!AM41</f>
        <v>3.25</v>
      </c>
      <c r="G144" s="24" t="str">
        <f>Source!DE41</f>
        <v>)*1,25</v>
      </c>
      <c r="H144" s="23">
        <f>ROUND(Source!AD41*Source!I41, 2)</f>
        <v>5.24</v>
      </c>
      <c r="I144" s="24"/>
      <c r="J144" s="24">
        <f>IF(Source!BB41&lt;&gt; 0, Source!BB41, 1)</f>
        <v>6.9</v>
      </c>
      <c r="K144" s="23">
        <f>Source!Q41</f>
        <v>36.14</v>
      </c>
      <c r="L144" s="25"/>
    </row>
    <row r="145" spans="1:26" ht="14.25" x14ac:dyDescent="0.2">
      <c r="A145" s="38"/>
      <c r="B145" s="39"/>
      <c r="C145" s="39" t="s">
        <v>813</v>
      </c>
      <c r="D145" s="22"/>
      <c r="E145" s="10"/>
      <c r="F145" s="23">
        <f>Source!AN41</f>
        <v>1.04</v>
      </c>
      <c r="G145" s="24" t="str">
        <f>Source!DF41</f>
        <v>)*1,25</v>
      </c>
      <c r="H145" s="26">
        <f>ROUND(Source!AE41*Source!I41, 2)</f>
        <v>1.68</v>
      </c>
      <c r="I145" s="24"/>
      <c r="J145" s="24">
        <f>IF(Source!BS41&lt;&gt; 0, Source!BS41, 1)</f>
        <v>6.9</v>
      </c>
      <c r="K145" s="26">
        <f>Source!R41</f>
        <v>11.57</v>
      </c>
      <c r="L145" s="25"/>
      <c r="R145">
        <f>H145</f>
        <v>1.68</v>
      </c>
    </row>
    <row r="146" spans="1:26" ht="14.25" x14ac:dyDescent="0.2">
      <c r="A146" s="38"/>
      <c r="B146" s="39"/>
      <c r="C146" s="39" t="s">
        <v>819</v>
      </c>
      <c r="D146" s="22"/>
      <c r="E146" s="10"/>
      <c r="F146" s="23">
        <f>Source!AL41</f>
        <v>5716.59</v>
      </c>
      <c r="G146" s="24" t="str">
        <f>Source!DD41</f>
        <v/>
      </c>
      <c r="H146" s="23">
        <f>ROUND(Source!AC41*Source!I41, 2)</f>
        <v>7374.4</v>
      </c>
      <c r="I146" s="24"/>
      <c r="J146" s="24">
        <f>IF(Source!BC41&lt;&gt; 0, Source!BC41, 1)</f>
        <v>6.9</v>
      </c>
      <c r="K146" s="23">
        <f>Source!P41</f>
        <v>50883.37</v>
      </c>
      <c r="L146" s="25"/>
    </row>
    <row r="147" spans="1:26" ht="14.25" x14ac:dyDescent="0.2">
      <c r="A147" s="38"/>
      <c r="B147" s="39"/>
      <c r="C147" s="39" t="s">
        <v>814</v>
      </c>
      <c r="D147" s="22" t="s">
        <v>815</v>
      </c>
      <c r="E147" s="10">
        <f>Source!BZ41</f>
        <v>123</v>
      </c>
      <c r="F147" s="45" t="str">
        <f>CONCATENATE(" )", Source!DL41, Source!FT41, "=", Source!FX41)</f>
        <v xml:space="preserve"> )*0,9=110,7</v>
      </c>
      <c r="G147" s="46"/>
      <c r="H147" s="23">
        <f>SUM(S141:S151)</f>
        <v>432.34</v>
      </c>
      <c r="I147" s="27"/>
      <c r="J147" s="21">
        <f>Source!AT41</f>
        <v>111</v>
      </c>
      <c r="K147" s="23">
        <f>SUM(T141:T151)</f>
        <v>2991.21</v>
      </c>
      <c r="L147" s="25"/>
    </row>
    <row r="148" spans="1:26" ht="14.25" x14ac:dyDescent="0.2">
      <c r="A148" s="38"/>
      <c r="B148" s="39"/>
      <c r="C148" s="39" t="s">
        <v>816</v>
      </c>
      <c r="D148" s="22" t="s">
        <v>815</v>
      </c>
      <c r="E148" s="10">
        <f>Source!CA41</f>
        <v>75</v>
      </c>
      <c r="F148" s="45" t="str">
        <f>CONCATENATE(" )", Source!DM41, Source!FU41, "=", Source!FY41)</f>
        <v xml:space="preserve"> )*0,85=63,75</v>
      </c>
      <c r="G148" s="46"/>
      <c r="H148" s="23">
        <f>SUM(U141:U151)</f>
        <v>248.98</v>
      </c>
      <c r="I148" s="27"/>
      <c r="J148" s="21">
        <f>Source!AU41</f>
        <v>64</v>
      </c>
      <c r="K148" s="23">
        <f>SUM(V141:V151)</f>
        <v>1724.66</v>
      </c>
      <c r="L148" s="25"/>
    </row>
    <row r="149" spans="1:26" ht="14.25" x14ac:dyDescent="0.2">
      <c r="A149" s="38"/>
      <c r="B149" s="39"/>
      <c r="C149" s="39" t="s">
        <v>817</v>
      </c>
      <c r="D149" s="22" t="s">
        <v>818</v>
      </c>
      <c r="E149" s="10">
        <f>Source!AQ41</f>
        <v>30.73</v>
      </c>
      <c r="F149" s="23"/>
      <c r="G149" s="24" t="str">
        <f>Source!DI41</f>
        <v>)*1,15</v>
      </c>
      <c r="H149" s="23"/>
      <c r="I149" s="24"/>
      <c r="J149" s="24"/>
      <c r="K149" s="23"/>
      <c r="L149" s="34">
        <f>Source!U41</f>
        <v>45.587955000000001</v>
      </c>
    </row>
    <row r="150" spans="1:26" ht="28.5" x14ac:dyDescent="0.2">
      <c r="A150" s="38" t="str">
        <f>Source!E42</f>
        <v>14,1</v>
      </c>
      <c r="B150" s="39" t="str">
        <f>Source!F42</f>
        <v>04.3.02.01-0412</v>
      </c>
      <c r="C150" s="39" t="str">
        <f>Source!G42</f>
        <v>Смеси сухие для наливных полов, марка «Ветонит» 3000</v>
      </c>
      <c r="D150" s="22" t="str">
        <f>Source!H42</f>
        <v>т</v>
      </c>
      <c r="E150" s="10">
        <f>Source!I42</f>
        <v>-0.58050000000000002</v>
      </c>
      <c r="F150" s="23">
        <f>Source!AL42+Source!AM42+Source!AO42</f>
        <v>11686</v>
      </c>
      <c r="G150" s="35" t="s">
        <v>3</v>
      </c>
      <c r="H150" s="23">
        <f>ROUND(Source!AC42*Source!I42, 2)+ROUND(Source!AD42*Source!I42, 2)+ROUND(Source!AF42*Source!I42, 2)</f>
        <v>-6783.72</v>
      </c>
      <c r="I150" s="24"/>
      <c r="J150" s="24">
        <f>IF(Source!BC42&lt;&gt; 0, Source!BC42, 1)</f>
        <v>6.9</v>
      </c>
      <c r="K150" s="23">
        <f>Source!O42</f>
        <v>-46807.69</v>
      </c>
      <c r="L150" s="25"/>
      <c r="S150">
        <f>ROUND((Source!FX42/100)*((ROUND(Source!AF42*Source!I42, 2)+ROUND(Source!AE42*Source!I42, 2))), 2)</f>
        <v>0</v>
      </c>
      <c r="T150">
        <f>Source!X42</f>
        <v>0</v>
      </c>
      <c r="U150">
        <f>ROUND((Source!FY42/100)*((ROUND(Source!AF42*Source!I42, 2)+ROUND(Source!AE42*Source!I42, 2))), 2)</f>
        <v>0</v>
      </c>
      <c r="V150">
        <f>Source!Y42</f>
        <v>0</v>
      </c>
      <c r="W150">
        <f>IF(Source!BI42&lt;=1,H150, 0)</f>
        <v>-6783.72</v>
      </c>
      <c r="X150">
        <f>IF(Source!BI42=2,H150, 0)</f>
        <v>0</v>
      </c>
      <c r="Y150">
        <f>IF(Source!BI42=3,H150, 0)</f>
        <v>0</v>
      </c>
      <c r="Z150">
        <f>IF(Source!BI42=4,H150, 0)</f>
        <v>0</v>
      </c>
    </row>
    <row r="151" spans="1:26" ht="42.75" x14ac:dyDescent="0.2">
      <c r="A151" s="40" t="str">
        <f>Source!E43</f>
        <v>14,2</v>
      </c>
      <c r="B151" s="41" t="str">
        <f>Source!F43</f>
        <v>04.3.02.01-0414</v>
      </c>
      <c r="C151" s="41" t="str">
        <f>Source!G43</f>
        <v>Смеси сухие для наливных полов, марка «Ветонит» 4000, универсальный выравниватель</v>
      </c>
      <c r="D151" s="28" t="str">
        <f>Source!H43</f>
        <v>т</v>
      </c>
      <c r="E151" s="29">
        <f>Source!I43</f>
        <v>0.58050000000000002</v>
      </c>
      <c r="F151" s="30">
        <f>Source!AL43+Source!AM43+Source!AO43</f>
        <v>17328.8</v>
      </c>
      <c r="G151" s="36" t="s">
        <v>3</v>
      </c>
      <c r="H151" s="30">
        <f>ROUND(Source!AC43*Source!I43, 2)+ROUND(Source!AD43*Source!I43, 2)+ROUND(Source!AF43*Source!I43, 2)</f>
        <v>10059.370000000001</v>
      </c>
      <c r="I151" s="31"/>
      <c r="J151" s="31">
        <f>IF(Source!BC43&lt;&gt; 0, Source!BC43, 1)</f>
        <v>6.9</v>
      </c>
      <c r="K151" s="30">
        <f>Source!O43</f>
        <v>69409.64</v>
      </c>
      <c r="L151" s="37"/>
      <c r="S151">
        <f>ROUND((Source!FX43/100)*((ROUND(Source!AF43*Source!I43, 2)+ROUND(Source!AE43*Source!I43, 2))), 2)</f>
        <v>0</v>
      </c>
      <c r="T151">
        <f>Source!X43</f>
        <v>0</v>
      </c>
      <c r="U151">
        <f>ROUND((Source!FY43/100)*((ROUND(Source!AF43*Source!I43, 2)+ROUND(Source!AE43*Source!I43, 2))), 2)</f>
        <v>0</v>
      </c>
      <c r="V151">
        <f>Source!Y43</f>
        <v>0</v>
      </c>
      <c r="W151">
        <f>IF(Source!BI43&lt;=1,H151, 0)</f>
        <v>10059.370000000001</v>
      </c>
      <c r="X151">
        <f>IF(Source!BI43=2,H151, 0)</f>
        <v>0</v>
      </c>
      <c r="Y151">
        <f>IF(Source!BI43=3,H151, 0)</f>
        <v>0</v>
      </c>
      <c r="Z151">
        <f>IF(Source!BI43=4,H151, 0)</f>
        <v>0</v>
      </c>
    </row>
    <row r="152" spans="1:26" ht="15" x14ac:dyDescent="0.25">
      <c r="G152" s="44">
        <f>H143+H144+H146+H147+H148+SUM(H150:H151)</f>
        <v>11725.48</v>
      </c>
      <c r="H152" s="44"/>
      <c r="J152" s="44">
        <f>K143+K144+K146+K147+K148+SUM(K150:K151)</f>
        <v>80920.540000000008</v>
      </c>
      <c r="K152" s="44"/>
      <c r="L152" s="33">
        <f>Source!U41</f>
        <v>45.587955000000001</v>
      </c>
      <c r="O152" s="19">
        <f>G152</f>
        <v>11725.48</v>
      </c>
      <c r="P152" s="19">
        <f>J152</f>
        <v>80920.540000000008</v>
      </c>
      <c r="Q152" s="19">
        <f>L152</f>
        <v>45.587955000000001</v>
      </c>
      <c r="W152">
        <f>IF(Source!BI41&lt;=1,H143+H144+H146+H147+H148, 0)</f>
        <v>8449.8299999999981</v>
      </c>
      <c r="X152">
        <f>IF(Source!BI41=2,H143+H144+H146+H147+H148, 0)</f>
        <v>0</v>
      </c>
      <c r="Y152">
        <f>IF(Source!BI41=3,H143+H144+H146+H147+H148, 0)</f>
        <v>0</v>
      </c>
      <c r="Z152">
        <f>IF(Source!BI41=4,H143+H144+H146+H147+H148, 0)</f>
        <v>0</v>
      </c>
    </row>
    <row r="153" spans="1:26" ht="28.5" x14ac:dyDescent="0.2">
      <c r="A153" s="38" t="str">
        <f>Source!E44</f>
        <v>15</v>
      </c>
      <c r="B153" s="39" t="str">
        <f>Source!F44</f>
        <v>11-01-047-02</v>
      </c>
      <c r="C153" s="39" t="str">
        <f>Source!G44</f>
        <v>Устройство покрытий из плит керамогранитных размером 60х60 см</v>
      </c>
      <c r="D153" s="22" t="str">
        <f>Source!H44</f>
        <v>100 м2</v>
      </c>
      <c r="E153" s="10">
        <f>Source!I44</f>
        <v>1.29</v>
      </c>
      <c r="F153" s="23">
        <f>Source!AL44+Source!AM44+Source!AO44</f>
        <v>27158.840000000004</v>
      </c>
      <c r="G153" s="24"/>
      <c r="H153" s="23"/>
      <c r="I153" s="24" t="str">
        <f>Source!BO44</f>
        <v/>
      </c>
      <c r="J153" s="24"/>
      <c r="K153" s="23"/>
      <c r="L153" s="25"/>
      <c r="S153">
        <f>ROUND((Source!FX44/100)*((ROUND(Source!AF44*Source!I44, 2)+ROUND(Source!AE44*Source!I44, 2))), 2)</f>
        <v>3403.1</v>
      </c>
      <c r="T153">
        <f>Source!X44</f>
        <v>23544.99</v>
      </c>
      <c r="U153">
        <f>ROUND((Source!FY44/100)*((ROUND(Source!AF44*Source!I44, 2)+ROUND(Source!AE44*Source!I44, 2))), 2)</f>
        <v>1959.78</v>
      </c>
      <c r="V153">
        <f>Source!Y44</f>
        <v>13575.49</v>
      </c>
    </row>
    <row r="154" spans="1:26" x14ac:dyDescent="0.2">
      <c r="C154" s="18" t="str">
        <f>"Объем: "&amp;Source!I44&amp;"=129/"&amp;"100"</f>
        <v>Объем: 1,29=129/100</v>
      </c>
    </row>
    <row r="155" spans="1:26" ht="14.25" x14ac:dyDescent="0.2">
      <c r="A155" s="38"/>
      <c r="B155" s="39"/>
      <c r="C155" s="39" t="s">
        <v>812</v>
      </c>
      <c r="D155" s="22"/>
      <c r="E155" s="10"/>
      <c r="F155" s="23">
        <f>Source!AO44</f>
        <v>2053.1999999999998</v>
      </c>
      <c r="G155" s="24" t="str">
        <f>Source!DG44</f>
        <v>)*1,15</v>
      </c>
      <c r="H155" s="23">
        <f>ROUND(Source!AF44*Source!I44, 2)</f>
        <v>3045.92</v>
      </c>
      <c r="I155" s="24"/>
      <c r="J155" s="24">
        <f>IF(Source!BA44&lt;&gt; 0, Source!BA44, 1)</f>
        <v>6.9</v>
      </c>
      <c r="K155" s="23">
        <f>Source!S44</f>
        <v>21016.86</v>
      </c>
      <c r="L155" s="25"/>
      <c r="R155">
        <f>H155</f>
        <v>3045.92</v>
      </c>
    </row>
    <row r="156" spans="1:26" ht="14.25" x14ac:dyDescent="0.2">
      <c r="A156" s="38"/>
      <c r="B156" s="39"/>
      <c r="C156" s="39" t="s">
        <v>417</v>
      </c>
      <c r="D156" s="22"/>
      <c r="E156" s="10"/>
      <c r="F156" s="23">
        <f>Source!AM44</f>
        <v>24.15</v>
      </c>
      <c r="G156" s="24" t="str">
        <f>Source!DE44</f>
        <v>)*1,25</v>
      </c>
      <c r="H156" s="23">
        <f>ROUND(Source!AD44*Source!I44, 2)</f>
        <v>38.950000000000003</v>
      </c>
      <c r="I156" s="24"/>
      <c r="J156" s="24">
        <f>IF(Source!BB44&lt;&gt; 0, Source!BB44, 1)</f>
        <v>6.9</v>
      </c>
      <c r="K156" s="23">
        <f>Source!Q44</f>
        <v>268.72000000000003</v>
      </c>
      <c r="L156" s="25"/>
    </row>
    <row r="157" spans="1:26" ht="14.25" x14ac:dyDescent="0.2">
      <c r="A157" s="38"/>
      <c r="B157" s="39"/>
      <c r="C157" s="39" t="s">
        <v>813</v>
      </c>
      <c r="D157" s="22"/>
      <c r="E157" s="10"/>
      <c r="F157" s="23">
        <f>Source!AN44</f>
        <v>17.510000000000002</v>
      </c>
      <c r="G157" s="24" t="str">
        <f>Source!DF44</f>
        <v>)*1,25</v>
      </c>
      <c r="H157" s="26">
        <f>ROUND(Source!AE44*Source!I44, 2)</f>
        <v>28.24</v>
      </c>
      <c r="I157" s="24"/>
      <c r="J157" s="24">
        <f>IF(Source!BS44&lt;&gt; 0, Source!BS44, 1)</f>
        <v>6.9</v>
      </c>
      <c r="K157" s="26">
        <f>Source!R44</f>
        <v>194.84</v>
      </c>
      <c r="L157" s="25"/>
      <c r="R157">
        <f>H157</f>
        <v>28.24</v>
      </c>
    </row>
    <row r="158" spans="1:26" ht="14.25" x14ac:dyDescent="0.2">
      <c r="A158" s="38"/>
      <c r="B158" s="39"/>
      <c r="C158" s="39" t="s">
        <v>819</v>
      </c>
      <c r="D158" s="22"/>
      <c r="E158" s="10"/>
      <c r="F158" s="23">
        <f>Source!AL44</f>
        <v>25081.49</v>
      </c>
      <c r="G158" s="24" t="str">
        <f>Source!DD44</f>
        <v/>
      </c>
      <c r="H158" s="23">
        <f>ROUND(Source!AC44*Source!I44, 2)</f>
        <v>32355.119999999999</v>
      </c>
      <c r="I158" s="24"/>
      <c r="J158" s="24">
        <f>IF(Source!BC44&lt;&gt; 0, Source!BC44, 1)</f>
        <v>6.9</v>
      </c>
      <c r="K158" s="23">
        <f>Source!P44</f>
        <v>223250.34</v>
      </c>
      <c r="L158" s="25"/>
    </row>
    <row r="159" spans="1:26" ht="14.25" x14ac:dyDescent="0.2">
      <c r="A159" s="38"/>
      <c r="B159" s="39"/>
      <c r="C159" s="39" t="s">
        <v>814</v>
      </c>
      <c r="D159" s="22" t="s">
        <v>815</v>
      </c>
      <c r="E159" s="10">
        <f>Source!BZ44</f>
        <v>123</v>
      </c>
      <c r="F159" s="45" t="str">
        <f>CONCATENATE(" )", Source!DL44, Source!FT44, "=", Source!FX44)</f>
        <v xml:space="preserve"> )*0,9=110,7</v>
      </c>
      <c r="G159" s="46"/>
      <c r="H159" s="23">
        <f>SUM(S153:S163)</f>
        <v>3403.1</v>
      </c>
      <c r="I159" s="27"/>
      <c r="J159" s="21">
        <f>Source!AT44</f>
        <v>111</v>
      </c>
      <c r="K159" s="23">
        <f>SUM(T153:T163)</f>
        <v>23544.99</v>
      </c>
      <c r="L159" s="25"/>
    </row>
    <row r="160" spans="1:26" ht="14.25" x14ac:dyDescent="0.2">
      <c r="A160" s="38"/>
      <c r="B160" s="39"/>
      <c r="C160" s="39" t="s">
        <v>816</v>
      </c>
      <c r="D160" s="22" t="s">
        <v>815</v>
      </c>
      <c r="E160" s="10">
        <f>Source!CA44</f>
        <v>75</v>
      </c>
      <c r="F160" s="45" t="str">
        <f>CONCATENATE(" )", Source!DM44, Source!FU44, "=", Source!FY44)</f>
        <v xml:space="preserve"> )*0,85=63,75</v>
      </c>
      <c r="G160" s="46"/>
      <c r="H160" s="23">
        <f>SUM(U153:U163)</f>
        <v>1959.78</v>
      </c>
      <c r="I160" s="27"/>
      <c r="J160" s="21">
        <f>Source!AU44</f>
        <v>64</v>
      </c>
      <c r="K160" s="23">
        <f>SUM(V153:V163)</f>
        <v>13575.49</v>
      </c>
      <c r="L160" s="25"/>
    </row>
    <row r="161" spans="1:26" ht="14.25" x14ac:dyDescent="0.2">
      <c r="A161" s="38"/>
      <c r="B161" s="39"/>
      <c r="C161" s="39" t="s">
        <v>817</v>
      </c>
      <c r="D161" s="22" t="s">
        <v>818</v>
      </c>
      <c r="E161" s="10">
        <f>Source!AQ44</f>
        <v>234.92</v>
      </c>
      <c r="F161" s="23"/>
      <c r="G161" s="24" t="str">
        <f>Source!DI44</f>
        <v>)*1,15</v>
      </c>
      <c r="H161" s="23"/>
      <c r="I161" s="24"/>
      <c r="J161" s="24"/>
      <c r="K161" s="23"/>
      <c r="L161" s="34">
        <f>Source!U44</f>
        <v>348.50381999999996</v>
      </c>
    </row>
    <row r="162" spans="1:26" ht="14.25" x14ac:dyDescent="0.2">
      <c r="A162" s="38" t="str">
        <f>Source!E45</f>
        <v>15,1</v>
      </c>
      <c r="B162" s="39" t="str">
        <f>Source!F45</f>
        <v>14.4.01.02-0113</v>
      </c>
      <c r="C162" s="39" t="str">
        <f>Source!G45</f>
        <v>Грунтовка акриловая НОРТЕКС-ГРУНТ</v>
      </c>
      <c r="D162" s="22" t="str">
        <f>Source!H45</f>
        <v>кг</v>
      </c>
      <c r="E162" s="10">
        <f>Source!I45</f>
        <v>17.802</v>
      </c>
      <c r="F162" s="23">
        <f>Source!AL45+Source!AM45+Source!AO45</f>
        <v>15.25</v>
      </c>
      <c r="G162" s="35" t="s">
        <v>3</v>
      </c>
      <c r="H162" s="23">
        <f>ROUND(Source!AC45*Source!I45, 2)+ROUND(Source!AD45*Source!I45, 2)+ROUND(Source!AF45*Source!I45, 2)</f>
        <v>271.48</v>
      </c>
      <c r="I162" s="24"/>
      <c r="J162" s="24">
        <f>IF(Source!BC45&lt;&gt; 0, Source!BC45, 1)</f>
        <v>6.9</v>
      </c>
      <c r="K162" s="23">
        <f>Source!O45</f>
        <v>1873.22</v>
      </c>
      <c r="L162" s="25"/>
      <c r="S162">
        <f>ROUND((Source!FX45/100)*((ROUND(Source!AF45*Source!I45, 2)+ROUND(Source!AE45*Source!I45, 2))), 2)</f>
        <v>0</v>
      </c>
      <c r="T162">
        <f>Source!X45</f>
        <v>0</v>
      </c>
      <c r="U162">
        <f>ROUND((Source!FY45/100)*((ROUND(Source!AF45*Source!I45, 2)+ROUND(Source!AE45*Source!I45, 2))), 2)</f>
        <v>0</v>
      </c>
      <c r="V162">
        <f>Source!Y45</f>
        <v>0</v>
      </c>
      <c r="W162">
        <f>IF(Source!BI45&lt;=1,H162, 0)</f>
        <v>271.48</v>
      </c>
      <c r="X162">
        <f>IF(Source!BI45=2,H162, 0)</f>
        <v>0</v>
      </c>
      <c r="Y162">
        <f>IF(Source!BI45=3,H162, 0)</f>
        <v>0</v>
      </c>
      <c r="Z162">
        <f>IF(Source!BI45=4,H162, 0)</f>
        <v>0</v>
      </c>
    </row>
    <row r="163" spans="1:26" ht="14.25" x14ac:dyDescent="0.2">
      <c r="A163" s="40" t="str">
        <f>Source!E46</f>
        <v>15,2</v>
      </c>
      <c r="B163" s="41" t="str">
        <f>Source!F46</f>
        <v>14.4.01.21</v>
      </c>
      <c r="C163" s="41" t="str">
        <f>Source!G46</f>
        <v>Грунтовка</v>
      </c>
      <c r="D163" s="28" t="str">
        <f>Source!H46</f>
        <v>т</v>
      </c>
      <c r="E163" s="29">
        <f>Source!I46</f>
        <v>0.17802000000000001</v>
      </c>
      <c r="F163" s="30">
        <f>Source!AL46+Source!AM46+Source!AO46</f>
        <v>0</v>
      </c>
      <c r="G163" s="36" t="s">
        <v>3</v>
      </c>
      <c r="H163" s="30">
        <f>ROUND(Source!AC46*Source!I46, 2)+ROUND(Source!AD46*Source!I46, 2)+ROUND(Source!AF46*Source!I46, 2)</f>
        <v>0</v>
      </c>
      <c r="I163" s="31"/>
      <c r="J163" s="31">
        <f>IF(Source!BC46&lt;&gt; 0, Source!BC46, 1)</f>
        <v>6.9</v>
      </c>
      <c r="K163" s="30">
        <f>Source!O46</f>
        <v>0</v>
      </c>
      <c r="L163" s="37"/>
      <c r="S163">
        <f>ROUND((Source!FX46/100)*((ROUND(Source!AF46*Source!I46, 2)+ROUND(Source!AE46*Source!I46, 2))), 2)</f>
        <v>0</v>
      </c>
      <c r="T163">
        <f>Source!X46</f>
        <v>0</v>
      </c>
      <c r="U163">
        <f>ROUND((Source!FY46/100)*((ROUND(Source!AF46*Source!I46, 2)+ROUND(Source!AE46*Source!I46, 2))), 2)</f>
        <v>0</v>
      </c>
      <c r="V163">
        <f>Source!Y46</f>
        <v>0</v>
      </c>
      <c r="W163">
        <f>IF(Source!BI46&lt;=1,H163, 0)</f>
        <v>0</v>
      </c>
      <c r="X163">
        <f>IF(Source!BI46=2,H163, 0)</f>
        <v>0</v>
      </c>
      <c r="Y163">
        <f>IF(Source!BI46=3,H163, 0)</f>
        <v>0</v>
      </c>
      <c r="Z163">
        <f>IF(Source!BI46=4,H163, 0)</f>
        <v>0</v>
      </c>
    </row>
    <row r="164" spans="1:26" ht="15" x14ac:dyDescent="0.25">
      <c r="G164" s="44">
        <f>H155+H156+H158+H159+H160+SUM(H162:H163)</f>
        <v>41074.35</v>
      </c>
      <c r="H164" s="44"/>
      <c r="J164" s="44">
        <f>K155+K156+K158+K159+K160+SUM(K162:K163)</f>
        <v>283529.61999999994</v>
      </c>
      <c r="K164" s="44"/>
      <c r="L164" s="33">
        <f>Source!U44</f>
        <v>348.50381999999996</v>
      </c>
      <c r="O164" s="19">
        <f>G164</f>
        <v>41074.35</v>
      </c>
      <c r="P164" s="19">
        <f>J164</f>
        <v>283529.61999999994</v>
      </c>
      <c r="Q164" s="19">
        <f>L164</f>
        <v>348.50381999999996</v>
      </c>
      <c r="W164">
        <f>IF(Source!BI44&lt;=1,H155+H156+H158+H159+H160, 0)</f>
        <v>40802.869999999995</v>
      </c>
      <c r="X164">
        <f>IF(Source!BI44=2,H155+H156+H158+H159+H160, 0)</f>
        <v>0</v>
      </c>
      <c r="Y164">
        <f>IF(Source!BI44=3,H155+H156+H158+H159+H160, 0)</f>
        <v>0</v>
      </c>
      <c r="Z164">
        <f>IF(Source!BI44=4,H155+H156+H158+H159+H160, 0)</f>
        <v>0</v>
      </c>
    </row>
    <row r="165" spans="1:26" ht="28.5" x14ac:dyDescent="0.2">
      <c r="A165" s="38" t="str">
        <f>Source!E47</f>
        <v>16</v>
      </c>
      <c r="B165" s="39" t="str">
        <f>Source!F47</f>
        <v>11-01-039-04</v>
      </c>
      <c r="C165" s="39" t="str">
        <f>Source!G47</f>
        <v>Устройство плинтусов из плиток керамических</v>
      </c>
      <c r="D165" s="22" t="str">
        <f>Source!H47</f>
        <v>100 м</v>
      </c>
      <c r="E165" s="10">
        <f>Source!I47</f>
        <v>0.38</v>
      </c>
      <c r="F165" s="23">
        <f>Source!AL47+Source!AM47+Source!AO47</f>
        <v>232.03</v>
      </c>
      <c r="G165" s="24"/>
      <c r="H165" s="23"/>
      <c r="I165" s="24" t="str">
        <f>Source!BO47</f>
        <v/>
      </c>
      <c r="J165" s="24"/>
      <c r="K165" s="23"/>
      <c r="L165" s="25"/>
      <c r="S165">
        <f>ROUND((Source!FX47/100)*((ROUND(Source!AF47*Source!I47, 2)+ROUND(Source!AE47*Source!I47, 2))), 2)</f>
        <v>110.31</v>
      </c>
      <c r="T165">
        <f>Source!X47</f>
        <v>763.24</v>
      </c>
      <c r="U165">
        <f>ROUND((Source!FY47/100)*((ROUND(Source!AF47*Source!I47, 2)+ROUND(Source!AE47*Source!I47, 2))), 2)</f>
        <v>63.53</v>
      </c>
      <c r="V165">
        <f>Source!Y47</f>
        <v>440.06</v>
      </c>
    </row>
    <row r="166" spans="1:26" x14ac:dyDescent="0.2">
      <c r="C166" s="18" t="str">
        <f>"Объем: "&amp;Source!I47&amp;"=38/"&amp;"100"</f>
        <v>Объем: 0,38=38/100</v>
      </c>
    </row>
    <row r="167" spans="1:26" ht="14.25" x14ac:dyDescent="0.2">
      <c r="A167" s="38"/>
      <c r="B167" s="39"/>
      <c r="C167" s="39" t="s">
        <v>812</v>
      </c>
      <c r="D167" s="22"/>
      <c r="E167" s="10"/>
      <c r="F167" s="23">
        <f>Source!AO47</f>
        <v>226.53</v>
      </c>
      <c r="G167" s="24" t="str">
        <f>Source!DG47</f>
        <v>)*1,15</v>
      </c>
      <c r="H167" s="23">
        <f>ROUND(Source!AF47*Source!I47, 2)</f>
        <v>98.99</v>
      </c>
      <c r="I167" s="24"/>
      <c r="J167" s="24">
        <f>IF(Source!BA47&lt;&gt; 0, Source!BA47, 1)</f>
        <v>6.9</v>
      </c>
      <c r="K167" s="23">
        <f>Source!S47</f>
        <v>683.06</v>
      </c>
      <c r="L167" s="25"/>
      <c r="R167">
        <f>H167</f>
        <v>98.99</v>
      </c>
    </row>
    <row r="168" spans="1:26" ht="14.25" x14ac:dyDescent="0.2">
      <c r="A168" s="38"/>
      <c r="B168" s="39"/>
      <c r="C168" s="39" t="s">
        <v>417</v>
      </c>
      <c r="D168" s="22"/>
      <c r="E168" s="10"/>
      <c r="F168" s="23">
        <f>Source!AM47</f>
        <v>5.5</v>
      </c>
      <c r="G168" s="24" t="str">
        <f>Source!DE47</f>
        <v>)*1,25</v>
      </c>
      <c r="H168" s="23">
        <f>ROUND(Source!AD47*Source!I47, 2)</f>
        <v>2.61</v>
      </c>
      <c r="I168" s="24"/>
      <c r="J168" s="24">
        <f>IF(Source!BB47&lt;&gt; 0, Source!BB47, 1)</f>
        <v>6.9</v>
      </c>
      <c r="K168" s="23">
        <f>Source!Q47</f>
        <v>18.04</v>
      </c>
      <c r="L168" s="25"/>
    </row>
    <row r="169" spans="1:26" ht="14.25" x14ac:dyDescent="0.2">
      <c r="A169" s="38"/>
      <c r="B169" s="39"/>
      <c r="C169" s="39" t="s">
        <v>813</v>
      </c>
      <c r="D169" s="22"/>
      <c r="E169" s="10"/>
      <c r="F169" s="23">
        <f>Source!AN47</f>
        <v>1.38</v>
      </c>
      <c r="G169" s="24" t="str">
        <f>Source!DF47</f>
        <v>)*1,25</v>
      </c>
      <c r="H169" s="26">
        <f>ROUND(Source!AE47*Source!I47, 2)</f>
        <v>0.66</v>
      </c>
      <c r="I169" s="24"/>
      <c r="J169" s="24">
        <f>IF(Source!BS47&lt;&gt; 0, Source!BS47, 1)</f>
        <v>6.9</v>
      </c>
      <c r="K169" s="26">
        <f>Source!R47</f>
        <v>4.54</v>
      </c>
      <c r="L169" s="25"/>
      <c r="R169">
        <f>H169</f>
        <v>0.66</v>
      </c>
    </row>
    <row r="170" spans="1:26" ht="14.25" x14ac:dyDescent="0.2">
      <c r="A170" s="38"/>
      <c r="B170" s="39"/>
      <c r="C170" s="39" t="s">
        <v>814</v>
      </c>
      <c r="D170" s="22" t="s">
        <v>815</v>
      </c>
      <c r="E170" s="10">
        <f>Source!BZ47</f>
        <v>123</v>
      </c>
      <c r="F170" s="45" t="str">
        <f>CONCATENATE(" )", Source!DL47, Source!FT47, "=", Source!FX47)</f>
        <v xml:space="preserve"> )*0,9=110,7</v>
      </c>
      <c r="G170" s="46"/>
      <c r="H170" s="23">
        <f>SUM(S165:S176)</f>
        <v>110.31</v>
      </c>
      <c r="I170" s="27"/>
      <c r="J170" s="21">
        <f>Source!AT47</f>
        <v>111</v>
      </c>
      <c r="K170" s="23">
        <f>SUM(T165:T176)</f>
        <v>763.24</v>
      </c>
      <c r="L170" s="25"/>
    </row>
    <row r="171" spans="1:26" ht="14.25" x14ac:dyDescent="0.2">
      <c r="A171" s="38"/>
      <c r="B171" s="39"/>
      <c r="C171" s="39" t="s">
        <v>816</v>
      </c>
      <c r="D171" s="22" t="s">
        <v>815</v>
      </c>
      <c r="E171" s="10">
        <f>Source!CA47</f>
        <v>75</v>
      </c>
      <c r="F171" s="45" t="str">
        <f>CONCATENATE(" )", Source!DM47, Source!FU47, "=", Source!FY47)</f>
        <v xml:space="preserve"> )*0,85=63,75</v>
      </c>
      <c r="G171" s="46"/>
      <c r="H171" s="23">
        <f>SUM(U165:U176)</f>
        <v>63.53</v>
      </c>
      <c r="I171" s="27"/>
      <c r="J171" s="21">
        <f>Source!AU47</f>
        <v>64</v>
      </c>
      <c r="K171" s="23">
        <f>SUM(V165:V176)</f>
        <v>440.06</v>
      </c>
      <c r="L171" s="25"/>
    </row>
    <row r="172" spans="1:26" ht="14.25" x14ac:dyDescent="0.2">
      <c r="A172" s="38"/>
      <c r="B172" s="39"/>
      <c r="C172" s="39" t="s">
        <v>817</v>
      </c>
      <c r="D172" s="22" t="s">
        <v>818</v>
      </c>
      <c r="E172" s="10">
        <f>Source!AQ47</f>
        <v>23.82</v>
      </c>
      <c r="F172" s="23"/>
      <c r="G172" s="24" t="str">
        <f>Source!DI47</f>
        <v>)*1,15</v>
      </c>
      <c r="H172" s="23"/>
      <c r="I172" s="24"/>
      <c r="J172" s="24"/>
      <c r="K172" s="23"/>
      <c r="L172" s="34">
        <f>Source!U47</f>
        <v>10.409339999999998</v>
      </c>
    </row>
    <row r="173" spans="1:26" ht="28.5" x14ac:dyDescent="0.2">
      <c r="A173" s="38" t="str">
        <f>Source!E48</f>
        <v>16,1</v>
      </c>
      <c r="B173" s="39" t="str">
        <f>Source!F48</f>
        <v>04.3.01.09-0014</v>
      </c>
      <c r="C173" s="39" t="str">
        <f>Source!G48</f>
        <v>Раствор готовый кладочный цементный марки 100</v>
      </c>
      <c r="D173" s="22" t="str">
        <f>Source!H48</f>
        <v>м3</v>
      </c>
      <c r="E173" s="10">
        <f>Source!I48</f>
        <v>6.08E-2</v>
      </c>
      <c r="F173" s="23">
        <f>Source!AL48+Source!AM48+Source!AO48</f>
        <v>519.79999999999995</v>
      </c>
      <c r="G173" s="35" t="s">
        <v>3</v>
      </c>
      <c r="H173" s="23">
        <f>ROUND(Source!AC48*Source!I48, 2)+ROUND(Source!AD48*Source!I48, 2)+ROUND(Source!AF48*Source!I48, 2)</f>
        <v>31.6</v>
      </c>
      <c r="I173" s="24"/>
      <c r="J173" s="24">
        <f>IF(Source!BC48&lt;&gt; 0, Source!BC48, 1)</f>
        <v>6.9</v>
      </c>
      <c r="K173" s="23">
        <f>Source!O48</f>
        <v>218.07</v>
      </c>
      <c r="L173" s="25"/>
      <c r="S173">
        <f>ROUND((Source!FX48/100)*((ROUND(Source!AF48*Source!I48, 2)+ROUND(Source!AE48*Source!I48, 2))), 2)</f>
        <v>0</v>
      </c>
      <c r="T173">
        <f>Source!X48</f>
        <v>0</v>
      </c>
      <c r="U173">
        <f>ROUND((Source!FY48/100)*((ROUND(Source!AF48*Source!I48, 2)+ROUND(Source!AE48*Source!I48, 2))), 2)</f>
        <v>0</v>
      </c>
      <c r="V173">
        <f>Source!Y48</f>
        <v>0</v>
      </c>
      <c r="W173">
        <f>IF(Source!BI48&lt;=1,H173, 0)</f>
        <v>31.6</v>
      </c>
      <c r="X173">
        <f>IF(Source!BI48=2,H173, 0)</f>
        <v>0</v>
      </c>
      <c r="Y173">
        <f>IF(Source!BI48=3,H173, 0)</f>
        <v>0</v>
      </c>
      <c r="Z173">
        <f>IF(Source!BI48=4,H173, 0)</f>
        <v>0</v>
      </c>
    </row>
    <row r="174" spans="1:26" ht="28.5" x14ac:dyDescent="0.2">
      <c r="A174" s="38" t="str">
        <f>Source!E49</f>
        <v>16,2</v>
      </c>
      <c r="B174" s="39" t="str">
        <f>Source!F49</f>
        <v>06.2.05.03-0031</v>
      </c>
      <c r="C174" s="39" t="str">
        <f>Source!G49</f>
        <v>Плитки керамические плинтусные прямые</v>
      </c>
      <c r="D174" s="22" t="str">
        <f>Source!H49</f>
        <v>м</v>
      </c>
      <c r="E174" s="10">
        <f>Source!I49</f>
        <v>38.380000000000003</v>
      </c>
      <c r="F174" s="23">
        <f>Source!AL49+Source!AM49+Source!AO49</f>
        <v>23.73</v>
      </c>
      <c r="G174" s="35" t="s">
        <v>3</v>
      </c>
      <c r="H174" s="23">
        <f>ROUND(Source!AC49*Source!I49, 2)+ROUND(Source!AD49*Source!I49, 2)+ROUND(Source!AF49*Source!I49, 2)</f>
        <v>910.76</v>
      </c>
      <c r="I174" s="24"/>
      <c r="J174" s="24">
        <f>IF(Source!BC49&lt;&gt; 0, Source!BC49, 1)</f>
        <v>6.9</v>
      </c>
      <c r="K174" s="23">
        <f>Source!O49</f>
        <v>6284.23</v>
      </c>
      <c r="L174" s="25"/>
      <c r="S174">
        <f>ROUND((Source!FX49/100)*((ROUND(Source!AF49*Source!I49, 2)+ROUND(Source!AE49*Source!I49, 2))), 2)</f>
        <v>0</v>
      </c>
      <c r="T174">
        <f>Source!X49</f>
        <v>0</v>
      </c>
      <c r="U174">
        <f>ROUND((Source!FY49/100)*((ROUND(Source!AF49*Source!I49, 2)+ROUND(Source!AE49*Source!I49, 2))), 2)</f>
        <v>0</v>
      </c>
      <c r="V174">
        <f>Source!Y49</f>
        <v>0</v>
      </c>
      <c r="W174">
        <f>IF(Source!BI49&lt;=1,H174, 0)</f>
        <v>910.76</v>
      </c>
      <c r="X174">
        <f>IF(Source!BI49=2,H174, 0)</f>
        <v>0</v>
      </c>
      <c r="Y174">
        <f>IF(Source!BI49=3,H174, 0)</f>
        <v>0</v>
      </c>
      <c r="Z174">
        <f>IF(Source!BI49=4,H174, 0)</f>
        <v>0</v>
      </c>
    </row>
    <row r="175" spans="1:26" ht="28.5" x14ac:dyDescent="0.2">
      <c r="A175" s="38" t="str">
        <f>Source!E50</f>
        <v>16,3</v>
      </c>
      <c r="B175" s="39" t="str">
        <f>Source!F50</f>
        <v>04.3.01.09</v>
      </c>
      <c r="C175" s="39" t="str">
        <f>Source!G50</f>
        <v>Раствор готовый кладочный тяжелый цементный</v>
      </c>
      <c r="D175" s="22" t="str">
        <f>Source!H50</f>
        <v>м3</v>
      </c>
      <c r="E175" s="10">
        <f>Source!I50</f>
        <v>6.08E-2</v>
      </c>
      <c r="F175" s="23">
        <f>Source!AL50+Source!AM50+Source!AO50</f>
        <v>0</v>
      </c>
      <c r="G175" s="35" t="s">
        <v>3</v>
      </c>
      <c r="H175" s="23">
        <f>ROUND(Source!AC50*Source!I50, 2)+ROUND(Source!AD50*Source!I50, 2)+ROUND(Source!AF50*Source!I50, 2)</f>
        <v>0</v>
      </c>
      <c r="I175" s="24"/>
      <c r="J175" s="24">
        <f>IF(Source!BC50&lt;&gt; 0, Source!BC50, 1)</f>
        <v>6.9</v>
      </c>
      <c r="K175" s="23">
        <f>Source!O50</f>
        <v>0</v>
      </c>
      <c r="L175" s="25"/>
      <c r="S175">
        <f>ROUND((Source!FX50/100)*((ROUND(Source!AF50*Source!I50, 2)+ROUND(Source!AE50*Source!I50, 2))), 2)</f>
        <v>0</v>
      </c>
      <c r="T175">
        <f>Source!X50</f>
        <v>0</v>
      </c>
      <c r="U175">
        <f>ROUND((Source!FY50/100)*((ROUND(Source!AF50*Source!I50, 2)+ROUND(Source!AE50*Source!I50, 2))), 2)</f>
        <v>0</v>
      </c>
      <c r="V175">
        <f>Source!Y50</f>
        <v>0</v>
      </c>
      <c r="W175">
        <f>IF(Source!BI50&lt;=1,H175, 0)</f>
        <v>0</v>
      </c>
      <c r="X175">
        <f>IF(Source!BI50=2,H175, 0)</f>
        <v>0</v>
      </c>
      <c r="Y175">
        <f>IF(Source!BI50=3,H175, 0)</f>
        <v>0</v>
      </c>
      <c r="Z175">
        <f>IF(Source!BI50=4,H175, 0)</f>
        <v>0</v>
      </c>
    </row>
    <row r="176" spans="1:26" ht="14.25" x14ac:dyDescent="0.2">
      <c r="A176" s="40" t="str">
        <f>Source!E51</f>
        <v>16,4</v>
      </c>
      <c r="B176" s="41" t="str">
        <f>Source!F51</f>
        <v>06.2.05.03</v>
      </c>
      <c r="C176" s="41" t="str">
        <f>Source!G51</f>
        <v>Плитки керамические плинтусные</v>
      </c>
      <c r="D176" s="28" t="str">
        <f>Source!H51</f>
        <v>м</v>
      </c>
      <c r="E176" s="29">
        <f>Source!I51</f>
        <v>38.380000000000003</v>
      </c>
      <c r="F176" s="30">
        <f>Source!AL51+Source!AM51+Source!AO51</f>
        <v>0</v>
      </c>
      <c r="G176" s="36" t="s">
        <v>3</v>
      </c>
      <c r="H176" s="30">
        <f>ROUND(Source!AC51*Source!I51, 2)+ROUND(Source!AD51*Source!I51, 2)+ROUND(Source!AF51*Source!I51, 2)</f>
        <v>0</v>
      </c>
      <c r="I176" s="31"/>
      <c r="J176" s="31">
        <f>IF(Source!BC51&lt;&gt; 0, Source!BC51, 1)</f>
        <v>6.9</v>
      </c>
      <c r="K176" s="30">
        <f>Source!O51</f>
        <v>0</v>
      </c>
      <c r="L176" s="37"/>
      <c r="S176">
        <f>ROUND((Source!FX51/100)*((ROUND(Source!AF51*Source!I51, 2)+ROUND(Source!AE51*Source!I51, 2))), 2)</f>
        <v>0</v>
      </c>
      <c r="T176">
        <f>Source!X51</f>
        <v>0</v>
      </c>
      <c r="U176">
        <f>ROUND((Source!FY51/100)*((ROUND(Source!AF51*Source!I51, 2)+ROUND(Source!AE51*Source!I51, 2))), 2)</f>
        <v>0</v>
      </c>
      <c r="V176">
        <f>Source!Y51</f>
        <v>0</v>
      </c>
      <c r="W176">
        <f>IF(Source!BI51&lt;=1,H176, 0)</f>
        <v>0</v>
      </c>
      <c r="X176">
        <f>IF(Source!BI51=2,H176, 0)</f>
        <v>0</v>
      </c>
      <c r="Y176">
        <f>IF(Source!BI51=3,H176, 0)</f>
        <v>0</v>
      </c>
      <c r="Z176">
        <f>IF(Source!BI51=4,H176, 0)</f>
        <v>0</v>
      </c>
    </row>
    <row r="177" spans="1:26" ht="15" x14ac:dyDescent="0.25">
      <c r="G177" s="44">
        <f>H167+H168+H170+H171+SUM(H173:H176)</f>
        <v>1217.8</v>
      </c>
      <c r="H177" s="44"/>
      <c r="J177" s="44">
        <f>K167+K168+K170+K171+SUM(K173:K176)</f>
        <v>8406.6999999999989</v>
      </c>
      <c r="K177" s="44"/>
      <c r="L177" s="33">
        <f>Source!U47</f>
        <v>10.409339999999998</v>
      </c>
      <c r="O177" s="19">
        <f>G177</f>
        <v>1217.8</v>
      </c>
      <c r="P177" s="19">
        <f>J177</f>
        <v>8406.6999999999989</v>
      </c>
      <c r="Q177" s="19">
        <f>L177</f>
        <v>10.409339999999998</v>
      </c>
      <c r="W177">
        <f>IF(Source!BI47&lt;=1,H167+H168+H170+H171, 0)</f>
        <v>275.44</v>
      </c>
      <c r="X177">
        <f>IF(Source!BI47=2,H167+H168+H170+H171, 0)</f>
        <v>0</v>
      </c>
      <c r="Y177">
        <f>IF(Source!BI47=3,H167+H168+H170+H171, 0)</f>
        <v>0</v>
      </c>
      <c r="Z177">
        <f>IF(Source!BI47=4,H167+H168+H170+H171, 0)</f>
        <v>0</v>
      </c>
    </row>
    <row r="178" spans="1:26" ht="42.75" x14ac:dyDescent="0.2">
      <c r="A178" s="38" t="str">
        <f>Source!E52</f>
        <v>17</v>
      </c>
      <c r="B178" s="39" t="str">
        <f>Source!F52</f>
        <v>15-01-047-15</v>
      </c>
      <c r="C178" s="39" t="str">
        <f>Source!G52</f>
        <v>Устройство подвесных потолков типа &lt;Армстронг&gt; по каркасу из оцинкованного профиля</v>
      </c>
      <c r="D178" s="22" t="str">
        <f>Source!H52</f>
        <v>100 м2</v>
      </c>
      <c r="E178" s="10">
        <f>Source!I52</f>
        <v>0.1152</v>
      </c>
      <c r="F178" s="23">
        <f>Source!AL52+Source!AM52+Source!AO52</f>
        <v>6623.23</v>
      </c>
      <c r="G178" s="24"/>
      <c r="H178" s="23"/>
      <c r="I178" s="24" t="str">
        <f>Source!BO52</f>
        <v/>
      </c>
      <c r="J178" s="24"/>
      <c r="K178" s="23"/>
      <c r="L178" s="25"/>
      <c r="S178">
        <f>ROUND((Source!FX52/100)*((ROUND(Source!AF52*Source!I52, 2)+ROUND(Source!AE52*Source!I52, 2))), 2)</f>
        <v>129.19999999999999</v>
      </c>
      <c r="T178">
        <f>Source!X52</f>
        <v>896.22</v>
      </c>
      <c r="U178">
        <f>ROUND((Source!FY52/100)*((ROUND(Source!AF52*Source!I52, 2)+ROUND(Source!AE52*Source!I52, 2))), 2)</f>
        <v>63.92</v>
      </c>
      <c r="V178">
        <f>Source!Y52</f>
        <v>443.39</v>
      </c>
    </row>
    <row r="179" spans="1:26" x14ac:dyDescent="0.2">
      <c r="C179" s="18" t="str">
        <f>"Объем: "&amp;Source!I52&amp;"=11,52/"&amp;"100"</f>
        <v>Объем: 0,1152=11,52/100</v>
      </c>
    </row>
    <row r="180" spans="1:26" ht="14.25" x14ac:dyDescent="0.2">
      <c r="A180" s="38"/>
      <c r="B180" s="39"/>
      <c r="C180" s="39" t="s">
        <v>812</v>
      </c>
      <c r="D180" s="22"/>
      <c r="E180" s="10"/>
      <c r="F180" s="23">
        <f>Source!AO52</f>
        <v>963.12</v>
      </c>
      <c r="G180" s="24" t="str">
        <f>Source!DG52</f>
        <v>)*1,15</v>
      </c>
      <c r="H180" s="23">
        <f>ROUND(Source!AF52*Source!I52, 2)</f>
        <v>127.59</v>
      </c>
      <c r="I180" s="24"/>
      <c r="J180" s="24">
        <f>IF(Source!BA52&lt;&gt; 0, Source!BA52, 1)</f>
        <v>6.9</v>
      </c>
      <c r="K180" s="23">
        <f>Source!S52</f>
        <v>880.4</v>
      </c>
      <c r="L180" s="25"/>
      <c r="R180">
        <f>H180</f>
        <v>127.59</v>
      </c>
    </row>
    <row r="181" spans="1:26" ht="14.25" x14ac:dyDescent="0.2">
      <c r="A181" s="38"/>
      <c r="B181" s="39"/>
      <c r="C181" s="39" t="s">
        <v>417</v>
      </c>
      <c r="D181" s="22"/>
      <c r="E181" s="10"/>
      <c r="F181" s="23">
        <f>Source!AM52</f>
        <v>324.70999999999998</v>
      </c>
      <c r="G181" s="24" t="str">
        <f>Source!DE52</f>
        <v>)*1,25</v>
      </c>
      <c r="H181" s="23">
        <f>ROUND(Source!AD52*Source!I52, 2)</f>
        <v>46.76</v>
      </c>
      <c r="I181" s="24"/>
      <c r="J181" s="24">
        <f>IF(Source!BB52&lt;&gt; 0, Source!BB52, 1)</f>
        <v>6.9</v>
      </c>
      <c r="K181" s="23">
        <f>Source!Q52</f>
        <v>322.63</v>
      </c>
      <c r="L181" s="25"/>
    </row>
    <row r="182" spans="1:26" ht="14.25" x14ac:dyDescent="0.2">
      <c r="A182" s="38"/>
      <c r="B182" s="39"/>
      <c r="C182" s="39" t="s">
        <v>813</v>
      </c>
      <c r="D182" s="22"/>
      <c r="E182" s="10"/>
      <c r="F182" s="23">
        <f>Source!AN52</f>
        <v>63.39</v>
      </c>
      <c r="G182" s="24" t="str">
        <f>Source!DF52</f>
        <v>)*1,25</v>
      </c>
      <c r="H182" s="26">
        <f>ROUND(Source!AE52*Source!I52, 2)</f>
        <v>9.1300000000000008</v>
      </c>
      <c r="I182" s="24"/>
      <c r="J182" s="24">
        <f>IF(Source!BS52&lt;&gt; 0, Source!BS52, 1)</f>
        <v>6.9</v>
      </c>
      <c r="K182" s="26">
        <f>Source!R52</f>
        <v>62.99</v>
      </c>
      <c r="L182" s="25"/>
      <c r="R182">
        <f>H182</f>
        <v>9.1300000000000008</v>
      </c>
    </row>
    <row r="183" spans="1:26" ht="14.25" x14ac:dyDescent="0.2">
      <c r="A183" s="38"/>
      <c r="B183" s="39"/>
      <c r="C183" s="39" t="s">
        <v>819</v>
      </c>
      <c r="D183" s="22"/>
      <c r="E183" s="10"/>
      <c r="F183" s="23">
        <f>Source!AL52</f>
        <v>5335.4</v>
      </c>
      <c r="G183" s="24" t="str">
        <f>Source!DD52</f>
        <v/>
      </c>
      <c r="H183" s="23">
        <f>ROUND(Source!AC52*Source!I52, 2)</f>
        <v>614.64</v>
      </c>
      <c r="I183" s="24"/>
      <c r="J183" s="24">
        <f>IF(Source!BC52&lt;&gt; 0, Source!BC52, 1)</f>
        <v>6.9</v>
      </c>
      <c r="K183" s="23">
        <f>Source!P52</f>
        <v>4241</v>
      </c>
      <c r="L183" s="25"/>
    </row>
    <row r="184" spans="1:26" ht="14.25" x14ac:dyDescent="0.2">
      <c r="A184" s="38"/>
      <c r="B184" s="39"/>
      <c r="C184" s="39" t="s">
        <v>814</v>
      </c>
      <c r="D184" s="22" t="s">
        <v>815</v>
      </c>
      <c r="E184" s="10">
        <f>Source!BZ52</f>
        <v>105</v>
      </c>
      <c r="F184" s="45" t="str">
        <f>CONCATENATE(" )", Source!DL52, Source!FT52, "=", Source!FX52)</f>
        <v xml:space="preserve"> )*0,9=94,5</v>
      </c>
      <c r="G184" s="46"/>
      <c r="H184" s="23">
        <f>SUM(S178:S186)</f>
        <v>129.19999999999999</v>
      </c>
      <c r="I184" s="27"/>
      <c r="J184" s="21">
        <f>Source!AT52</f>
        <v>95</v>
      </c>
      <c r="K184" s="23">
        <f>SUM(T178:T186)</f>
        <v>896.22</v>
      </c>
      <c r="L184" s="25"/>
    </row>
    <row r="185" spans="1:26" ht="14.25" x14ac:dyDescent="0.2">
      <c r="A185" s="38"/>
      <c r="B185" s="39"/>
      <c r="C185" s="39" t="s">
        <v>816</v>
      </c>
      <c r="D185" s="22" t="s">
        <v>815</v>
      </c>
      <c r="E185" s="10">
        <f>Source!CA52</f>
        <v>55</v>
      </c>
      <c r="F185" s="45" t="str">
        <f>CONCATENATE(" )", Source!DM52, Source!FU52, "=", Source!FY52)</f>
        <v xml:space="preserve"> )*0,85=46,75</v>
      </c>
      <c r="G185" s="46"/>
      <c r="H185" s="23">
        <f>SUM(U178:U186)</f>
        <v>63.92</v>
      </c>
      <c r="I185" s="27"/>
      <c r="J185" s="21">
        <f>Source!AU52</f>
        <v>47</v>
      </c>
      <c r="K185" s="23">
        <f>SUM(V178:V186)</f>
        <v>443.39</v>
      </c>
      <c r="L185" s="25"/>
    </row>
    <row r="186" spans="1:26" ht="14.25" x14ac:dyDescent="0.2">
      <c r="A186" s="40"/>
      <c r="B186" s="41"/>
      <c r="C186" s="41" t="s">
        <v>817</v>
      </c>
      <c r="D186" s="28" t="s">
        <v>818</v>
      </c>
      <c r="E186" s="29">
        <f>Source!AQ52</f>
        <v>102.46</v>
      </c>
      <c r="F186" s="30"/>
      <c r="G186" s="31" t="str">
        <f>Source!DI52</f>
        <v>)*1,15</v>
      </c>
      <c r="H186" s="30"/>
      <c r="I186" s="31"/>
      <c r="J186" s="31"/>
      <c r="K186" s="30"/>
      <c r="L186" s="32">
        <f>Source!U52</f>
        <v>13.573900799999997</v>
      </c>
    </row>
    <row r="187" spans="1:26" ht="15" x14ac:dyDescent="0.25">
      <c r="G187" s="44">
        <f>H180+H181+H183+H184+H185</f>
        <v>982.11</v>
      </c>
      <c r="H187" s="44"/>
      <c r="J187" s="44">
        <f>K180+K181+K183+K184+K185</f>
        <v>6783.64</v>
      </c>
      <c r="K187" s="44"/>
      <c r="L187" s="33">
        <f>Source!U52</f>
        <v>13.573900799999997</v>
      </c>
      <c r="O187" s="19">
        <f>G187</f>
        <v>982.11</v>
      </c>
      <c r="P187" s="19">
        <f>J187</f>
        <v>6783.64</v>
      </c>
      <c r="Q187" s="19">
        <f>L187</f>
        <v>13.573900799999997</v>
      </c>
      <c r="W187">
        <f>IF(Source!BI52&lt;=1,H180+H181+H183+H184+H185, 0)</f>
        <v>982.11</v>
      </c>
      <c r="X187">
        <f>IF(Source!BI52=2,H180+H181+H183+H184+H185, 0)</f>
        <v>0</v>
      </c>
      <c r="Y187">
        <f>IF(Source!BI52=3,H180+H181+H183+H184+H185, 0)</f>
        <v>0</v>
      </c>
      <c r="Z187">
        <f>IF(Source!BI52=4,H180+H181+H183+H184+H185, 0)</f>
        <v>0</v>
      </c>
    </row>
    <row r="188" spans="1:26" ht="42.75" x14ac:dyDescent="0.2">
      <c r="A188" s="38" t="str">
        <f>Source!E53</f>
        <v>18</v>
      </c>
      <c r="B188" s="39" t="str">
        <f>Source!F53</f>
        <v>15-04-006-04</v>
      </c>
      <c r="C188" s="39" t="str">
        <f>Source!G53</f>
        <v>Покрытие поверхностей грунтовкой глубокого проникновения за 2 раза стен</v>
      </c>
      <c r="D188" s="22" t="str">
        <f>Source!H53</f>
        <v>100 м2</v>
      </c>
      <c r="E188" s="10">
        <f>Source!I53</f>
        <v>0.92</v>
      </c>
      <c r="F188" s="23">
        <f>Source!AL53+Source!AM53+Source!AO53</f>
        <v>158.97999999999999</v>
      </c>
      <c r="G188" s="24"/>
      <c r="H188" s="23"/>
      <c r="I188" s="24" t="str">
        <f>Source!BO53</f>
        <v/>
      </c>
      <c r="J188" s="24"/>
      <c r="K188" s="23"/>
      <c r="L188" s="25"/>
      <c r="S188">
        <f>ROUND((Source!FX53/100)*((ROUND(Source!AF53*Source!I53, 2)+ROUND(Source!AE53*Source!I53, 2))), 2)</f>
        <v>157.37</v>
      </c>
      <c r="T188">
        <f>Source!X53</f>
        <v>1091.5999999999999</v>
      </c>
      <c r="U188">
        <f>ROUND((Source!FY53/100)*((ROUND(Source!AF53*Source!I53, 2)+ROUND(Source!AE53*Source!I53, 2))), 2)</f>
        <v>77.849999999999994</v>
      </c>
      <c r="V188">
        <f>Source!Y53</f>
        <v>540.04999999999995</v>
      </c>
    </row>
    <row r="189" spans="1:26" x14ac:dyDescent="0.2">
      <c r="C189" s="18" t="str">
        <f>"Объем: "&amp;Source!I53&amp;"=92/"&amp;"100"</f>
        <v>Объем: 0,92=92/100</v>
      </c>
    </row>
    <row r="190" spans="1:26" ht="14.25" x14ac:dyDescent="0.2">
      <c r="A190" s="38"/>
      <c r="B190" s="39"/>
      <c r="C190" s="39" t="s">
        <v>812</v>
      </c>
      <c r="D190" s="22"/>
      <c r="E190" s="10"/>
      <c r="F190" s="23">
        <f>Source!AO53</f>
        <v>157</v>
      </c>
      <c r="G190" s="24" t="str">
        <f>Source!DG53</f>
        <v>)*1,15</v>
      </c>
      <c r="H190" s="23">
        <f>ROUND(Source!AF53*Source!I53, 2)</f>
        <v>166.11</v>
      </c>
      <c r="I190" s="24"/>
      <c r="J190" s="24">
        <f>IF(Source!BA53&lt;&gt; 0, Source!BA53, 1)</f>
        <v>6.9</v>
      </c>
      <c r="K190" s="23">
        <f>Source!S53</f>
        <v>1146.1300000000001</v>
      </c>
      <c r="L190" s="25"/>
      <c r="R190">
        <f>H190</f>
        <v>166.11</v>
      </c>
    </row>
    <row r="191" spans="1:26" ht="14.25" x14ac:dyDescent="0.2">
      <c r="A191" s="38"/>
      <c r="B191" s="39"/>
      <c r="C191" s="39" t="s">
        <v>417</v>
      </c>
      <c r="D191" s="22"/>
      <c r="E191" s="10"/>
      <c r="F191" s="23">
        <f>Source!AM53</f>
        <v>1.62</v>
      </c>
      <c r="G191" s="24" t="str">
        <f>Source!DE53</f>
        <v>)*1,25</v>
      </c>
      <c r="H191" s="23">
        <f>ROUND(Source!AD53*Source!I53, 2)</f>
        <v>1.86</v>
      </c>
      <c r="I191" s="24"/>
      <c r="J191" s="24">
        <f>IF(Source!BB53&lt;&gt; 0, Source!BB53, 1)</f>
        <v>6.9</v>
      </c>
      <c r="K191" s="23">
        <f>Source!Q53</f>
        <v>12.82</v>
      </c>
      <c r="L191" s="25"/>
    </row>
    <row r="192" spans="1:26" ht="14.25" x14ac:dyDescent="0.2">
      <c r="A192" s="38"/>
      <c r="B192" s="39"/>
      <c r="C192" s="39" t="s">
        <v>813</v>
      </c>
      <c r="D192" s="22"/>
      <c r="E192" s="10"/>
      <c r="F192" s="23">
        <f>Source!AN53</f>
        <v>0.37</v>
      </c>
      <c r="G192" s="24" t="str">
        <f>Source!DF53</f>
        <v>)*1,25</v>
      </c>
      <c r="H192" s="26">
        <f>ROUND(Source!AE53*Source!I53, 2)</f>
        <v>0.42</v>
      </c>
      <c r="I192" s="24"/>
      <c r="J192" s="24">
        <f>IF(Source!BS53&lt;&gt; 0, Source!BS53, 1)</f>
        <v>6.9</v>
      </c>
      <c r="K192" s="26">
        <f>Source!R53</f>
        <v>2.92</v>
      </c>
      <c r="L192" s="25"/>
      <c r="R192">
        <f>H192</f>
        <v>0.42</v>
      </c>
    </row>
    <row r="193" spans="1:26" ht="14.25" x14ac:dyDescent="0.2">
      <c r="A193" s="38"/>
      <c r="B193" s="39"/>
      <c r="C193" s="39" t="s">
        <v>819</v>
      </c>
      <c r="D193" s="22"/>
      <c r="E193" s="10"/>
      <c r="F193" s="23">
        <f>Source!AL53</f>
        <v>0.36</v>
      </c>
      <c r="G193" s="24" t="str">
        <f>Source!DD53</f>
        <v/>
      </c>
      <c r="H193" s="23">
        <f>ROUND(Source!AC53*Source!I53, 2)</f>
        <v>0.33</v>
      </c>
      <c r="I193" s="24"/>
      <c r="J193" s="24">
        <f>IF(Source!BC53&lt;&gt; 0, Source!BC53, 1)</f>
        <v>6.9</v>
      </c>
      <c r="K193" s="23">
        <f>Source!P53</f>
        <v>2.29</v>
      </c>
      <c r="L193" s="25"/>
    </row>
    <row r="194" spans="1:26" ht="14.25" x14ac:dyDescent="0.2">
      <c r="A194" s="38"/>
      <c r="B194" s="39"/>
      <c r="C194" s="39" t="s">
        <v>814</v>
      </c>
      <c r="D194" s="22" t="s">
        <v>815</v>
      </c>
      <c r="E194" s="10">
        <f>Source!BZ53</f>
        <v>105</v>
      </c>
      <c r="F194" s="45" t="str">
        <f>CONCATENATE(" )", Source!DL53, Source!FT53, "=", Source!FX53)</f>
        <v xml:space="preserve"> )*0,9=94,5</v>
      </c>
      <c r="G194" s="46"/>
      <c r="H194" s="23">
        <f>SUM(S188:S198)</f>
        <v>157.37</v>
      </c>
      <c r="I194" s="27"/>
      <c r="J194" s="21">
        <f>Source!AT53</f>
        <v>95</v>
      </c>
      <c r="K194" s="23">
        <f>SUM(T188:T198)</f>
        <v>1091.5999999999999</v>
      </c>
      <c r="L194" s="25"/>
    </row>
    <row r="195" spans="1:26" ht="14.25" x14ac:dyDescent="0.2">
      <c r="A195" s="38"/>
      <c r="B195" s="39"/>
      <c r="C195" s="39" t="s">
        <v>816</v>
      </c>
      <c r="D195" s="22" t="s">
        <v>815</v>
      </c>
      <c r="E195" s="10">
        <f>Source!CA53</f>
        <v>55</v>
      </c>
      <c r="F195" s="45" t="str">
        <f>CONCATENATE(" )", Source!DM53, Source!FU53, "=", Source!FY53)</f>
        <v xml:space="preserve"> )*0,85=46,75</v>
      </c>
      <c r="G195" s="46"/>
      <c r="H195" s="23">
        <f>SUM(U188:U198)</f>
        <v>77.849999999999994</v>
      </c>
      <c r="I195" s="27"/>
      <c r="J195" s="21">
        <f>Source!AU53</f>
        <v>47</v>
      </c>
      <c r="K195" s="23">
        <f>SUM(V188:V198)</f>
        <v>540.04999999999995</v>
      </c>
      <c r="L195" s="25"/>
    </row>
    <row r="196" spans="1:26" ht="14.25" x14ac:dyDescent="0.2">
      <c r="A196" s="38"/>
      <c r="B196" s="39"/>
      <c r="C196" s="39" t="s">
        <v>817</v>
      </c>
      <c r="D196" s="22" t="s">
        <v>818</v>
      </c>
      <c r="E196" s="10">
        <f>Source!AQ53</f>
        <v>16.32</v>
      </c>
      <c r="F196" s="23"/>
      <c r="G196" s="24" t="str">
        <f>Source!DI53</f>
        <v>)*1,15</v>
      </c>
      <c r="H196" s="23"/>
      <c r="I196" s="24"/>
      <c r="J196" s="24"/>
      <c r="K196" s="23"/>
      <c r="L196" s="34">
        <f>Source!U53</f>
        <v>17.266559999999998</v>
      </c>
    </row>
    <row r="197" spans="1:26" ht="14.25" x14ac:dyDescent="0.2">
      <c r="A197" s="38" t="str">
        <f>Source!E54</f>
        <v>18,1</v>
      </c>
      <c r="B197" s="39" t="str">
        <f>Source!F54</f>
        <v>14.4.01.02-0113</v>
      </c>
      <c r="C197" s="39" t="str">
        <f>Source!G54</f>
        <v>Грунтовка акриловая НОРТЕКС-ГРУНТ</v>
      </c>
      <c r="D197" s="22" t="str">
        <f>Source!H54</f>
        <v>кг</v>
      </c>
      <c r="E197" s="10">
        <f>Source!I54</f>
        <v>18.399999999999999</v>
      </c>
      <c r="F197" s="23">
        <f>Source!AL54+Source!AM54+Source!AO54</f>
        <v>15.25</v>
      </c>
      <c r="G197" s="35" t="s">
        <v>3</v>
      </c>
      <c r="H197" s="23">
        <f>ROUND(Source!AC54*Source!I54, 2)+ROUND(Source!AD54*Source!I54, 2)+ROUND(Source!AF54*Source!I54, 2)</f>
        <v>280.60000000000002</v>
      </c>
      <c r="I197" s="24"/>
      <c r="J197" s="24">
        <f>IF(Source!BC54&lt;&gt; 0, Source!BC54, 1)</f>
        <v>6.9</v>
      </c>
      <c r="K197" s="23">
        <f>Source!O54</f>
        <v>1936.14</v>
      </c>
      <c r="L197" s="25"/>
      <c r="S197">
        <f>ROUND((Source!FX54/100)*((ROUND(Source!AF54*Source!I54, 2)+ROUND(Source!AE54*Source!I54, 2))), 2)</f>
        <v>0</v>
      </c>
      <c r="T197">
        <f>Source!X54</f>
        <v>0</v>
      </c>
      <c r="U197">
        <f>ROUND((Source!FY54/100)*((ROUND(Source!AF54*Source!I54, 2)+ROUND(Source!AE54*Source!I54, 2))), 2)</f>
        <v>0</v>
      </c>
      <c r="V197">
        <f>Source!Y54</f>
        <v>0</v>
      </c>
      <c r="W197">
        <f>IF(Source!BI54&lt;=1,H197, 0)</f>
        <v>280.60000000000002</v>
      </c>
      <c r="X197">
        <f>IF(Source!BI54=2,H197, 0)</f>
        <v>0</v>
      </c>
      <c r="Y197">
        <f>IF(Source!BI54=3,H197, 0)</f>
        <v>0</v>
      </c>
      <c r="Z197">
        <f>IF(Source!BI54=4,H197, 0)</f>
        <v>0</v>
      </c>
    </row>
    <row r="198" spans="1:26" ht="14.25" x14ac:dyDescent="0.2">
      <c r="A198" s="40" t="str">
        <f>Source!E55</f>
        <v>18,2</v>
      </c>
      <c r="B198" s="41" t="str">
        <f>Source!F55</f>
        <v>14.4.01.21</v>
      </c>
      <c r="C198" s="41" t="str">
        <f>Source!G55</f>
        <v>Грунтовка</v>
      </c>
      <c r="D198" s="28" t="str">
        <f>Source!H55</f>
        <v>т</v>
      </c>
      <c r="E198" s="29">
        <f>Source!I55</f>
        <v>1.84E-2</v>
      </c>
      <c r="F198" s="30">
        <f>Source!AL55+Source!AM55+Source!AO55</f>
        <v>0</v>
      </c>
      <c r="G198" s="36" t="s">
        <v>3</v>
      </c>
      <c r="H198" s="30">
        <f>ROUND(Source!AC55*Source!I55, 2)+ROUND(Source!AD55*Source!I55, 2)+ROUND(Source!AF55*Source!I55, 2)</f>
        <v>0</v>
      </c>
      <c r="I198" s="31"/>
      <c r="J198" s="31">
        <f>IF(Source!BC55&lt;&gt; 0, Source!BC55, 1)</f>
        <v>6.9</v>
      </c>
      <c r="K198" s="30">
        <f>Source!O55</f>
        <v>0</v>
      </c>
      <c r="L198" s="37"/>
      <c r="S198">
        <f>ROUND((Source!FX55/100)*((ROUND(Source!AF55*Source!I55, 2)+ROUND(Source!AE55*Source!I55, 2))), 2)</f>
        <v>0</v>
      </c>
      <c r="T198">
        <f>Source!X55</f>
        <v>0</v>
      </c>
      <c r="U198">
        <f>ROUND((Source!FY55/100)*((ROUND(Source!AF55*Source!I55, 2)+ROUND(Source!AE55*Source!I55, 2))), 2)</f>
        <v>0</v>
      </c>
      <c r="V198">
        <f>Source!Y55</f>
        <v>0</v>
      </c>
      <c r="W198">
        <f>IF(Source!BI55&lt;=1,H198, 0)</f>
        <v>0</v>
      </c>
      <c r="X198">
        <f>IF(Source!BI55=2,H198, 0)</f>
        <v>0</v>
      </c>
      <c r="Y198">
        <f>IF(Source!BI55=3,H198, 0)</f>
        <v>0</v>
      </c>
      <c r="Z198">
        <f>IF(Source!BI55=4,H198, 0)</f>
        <v>0</v>
      </c>
    </row>
    <row r="199" spans="1:26" ht="15" x14ac:dyDescent="0.25">
      <c r="G199" s="44">
        <f>H190+H191+H193+H194+H195+SUM(H197:H198)</f>
        <v>684.12000000000012</v>
      </c>
      <c r="H199" s="44"/>
      <c r="J199" s="44">
        <f>K190+K191+K193+K194+K195+SUM(K197:K198)</f>
        <v>4729.0300000000007</v>
      </c>
      <c r="K199" s="44"/>
      <c r="L199" s="33">
        <f>Source!U53</f>
        <v>17.266559999999998</v>
      </c>
      <c r="O199" s="19">
        <f>G199</f>
        <v>684.12000000000012</v>
      </c>
      <c r="P199" s="19">
        <f>J199</f>
        <v>4729.0300000000007</v>
      </c>
      <c r="Q199" s="19">
        <f>L199</f>
        <v>17.266559999999998</v>
      </c>
      <c r="W199">
        <f>IF(Source!BI53&lt;=1,H190+H191+H193+H194+H195, 0)</f>
        <v>403.5200000000001</v>
      </c>
      <c r="X199">
        <f>IF(Source!BI53=2,H190+H191+H193+H194+H195, 0)</f>
        <v>0</v>
      </c>
      <c r="Y199">
        <f>IF(Source!BI53=3,H190+H191+H193+H194+H195, 0)</f>
        <v>0</v>
      </c>
      <c r="Z199">
        <f>IF(Source!BI53=4,H190+H191+H193+H194+H195, 0)</f>
        <v>0</v>
      </c>
    </row>
    <row r="200" spans="1:26" ht="57" x14ac:dyDescent="0.2">
      <c r="A200" s="38" t="str">
        <f>Source!E56</f>
        <v>19</v>
      </c>
      <c r="B200" s="39" t="str">
        <f>Source!F56</f>
        <v>15-02-041-03</v>
      </c>
      <c r="C200" s="39" t="str">
        <f>Source!G56</f>
        <v>Устройство металлического каркаса из направляющих профилей под облицовку различными материалами стен</v>
      </c>
      <c r="D200" s="22" t="str">
        <f>Source!H56</f>
        <v>100 м2</v>
      </c>
      <c r="E200" s="10">
        <f>Source!I56</f>
        <v>0.35399999999999998</v>
      </c>
      <c r="F200" s="23">
        <f>Source!AL56+Source!AM56+Source!AO56</f>
        <v>3623.4500000000003</v>
      </c>
      <c r="G200" s="24"/>
      <c r="H200" s="23"/>
      <c r="I200" s="24" t="str">
        <f>Source!BO56</f>
        <v/>
      </c>
      <c r="J200" s="24"/>
      <c r="K200" s="23"/>
      <c r="L200" s="25"/>
      <c r="S200">
        <f>ROUND((Source!FX56/100)*((ROUND(Source!AF56*Source!I56, 2)+ROUND(Source!AE56*Source!I56, 2))), 2)</f>
        <v>151.56</v>
      </c>
      <c r="T200">
        <f>Source!X56</f>
        <v>1051.32</v>
      </c>
      <c r="U200">
        <f>ROUND((Source!FY56/100)*((ROUND(Source!AF56*Source!I56, 2)+ROUND(Source!AE56*Source!I56, 2))), 2)</f>
        <v>74.98</v>
      </c>
      <c r="V200">
        <f>Source!Y56</f>
        <v>520.13</v>
      </c>
    </row>
    <row r="201" spans="1:26" x14ac:dyDescent="0.2">
      <c r="C201" s="18" t="str">
        <f>"Объем: "&amp;Source!I56&amp;"=35,4/"&amp;"100"</f>
        <v>Объем: 0,354=35,4/100</v>
      </c>
    </row>
    <row r="202" spans="1:26" ht="14.25" x14ac:dyDescent="0.2">
      <c r="A202" s="38"/>
      <c r="B202" s="39"/>
      <c r="C202" s="39" t="s">
        <v>812</v>
      </c>
      <c r="D202" s="22"/>
      <c r="E202" s="10"/>
      <c r="F202" s="23">
        <f>Source!AO56</f>
        <v>393.32</v>
      </c>
      <c r="G202" s="24" t="str">
        <f>Source!DG56</f>
        <v>)*1,15</v>
      </c>
      <c r="H202" s="23">
        <f>ROUND(Source!AF56*Source!I56, 2)</f>
        <v>160.12</v>
      </c>
      <c r="I202" s="24"/>
      <c r="J202" s="24">
        <f>IF(Source!BA56&lt;&gt; 0, Source!BA56, 1)</f>
        <v>6.9</v>
      </c>
      <c r="K202" s="23">
        <f>Source!S56</f>
        <v>1104.8399999999999</v>
      </c>
      <c r="L202" s="25"/>
      <c r="R202">
        <f>H202</f>
        <v>160.12</v>
      </c>
    </row>
    <row r="203" spans="1:26" ht="14.25" x14ac:dyDescent="0.2">
      <c r="A203" s="38"/>
      <c r="B203" s="39"/>
      <c r="C203" s="39" t="s">
        <v>417</v>
      </c>
      <c r="D203" s="22"/>
      <c r="E203" s="10"/>
      <c r="F203" s="23">
        <f>Source!AM56</f>
        <v>1.51</v>
      </c>
      <c r="G203" s="24" t="str">
        <f>Source!DE56</f>
        <v>)*1,25</v>
      </c>
      <c r="H203" s="23">
        <f>ROUND(Source!AD56*Source!I56, 2)</f>
        <v>0.67</v>
      </c>
      <c r="I203" s="24"/>
      <c r="J203" s="24">
        <f>IF(Source!BB56&lt;&gt; 0, Source!BB56, 1)</f>
        <v>6.9</v>
      </c>
      <c r="K203" s="23">
        <f>Source!Q56</f>
        <v>4.62</v>
      </c>
      <c r="L203" s="25"/>
    </row>
    <row r="204" spans="1:26" ht="14.25" x14ac:dyDescent="0.2">
      <c r="A204" s="38"/>
      <c r="B204" s="39"/>
      <c r="C204" s="39" t="s">
        <v>813</v>
      </c>
      <c r="D204" s="22"/>
      <c r="E204" s="10"/>
      <c r="F204" s="23">
        <f>Source!AN56</f>
        <v>0.59</v>
      </c>
      <c r="G204" s="24" t="str">
        <f>Source!DF56</f>
        <v>)*1,25</v>
      </c>
      <c r="H204" s="26">
        <f>ROUND(Source!AE56*Source!I56, 2)</f>
        <v>0.26</v>
      </c>
      <c r="I204" s="24"/>
      <c r="J204" s="24">
        <f>IF(Source!BS56&lt;&gt; 0, Source!BS56, 1)</f>
        <v>6.9</v>
      </c>
      <c r="K204" s="26">
        <f>Source!R56</f>
        <v>1.81</v>
      </c>
      <c r="L204" s="25"/>
      <c r="R204">
        <f>H204</f>
        <v>0.26</v>
      </c>
    </row>
    <row r="205" spans="1:26" ht="14.25" x14ac:dyDescent="0.2">
      <c r="A205" s="38"/>
      <c r="B205" s="39"/>
      <c r="C205" s="39" t="s">
        <v>819</v>
      </c>
      <c r="D205" s="22"/>
      <c r="E205" s="10"/>
      <c r="F205" s="23">
        <f>Source!AL56</f>
        <v>3228.62</v>
      </c>
      <c r="G205" s="24" t="str">
        <f>Source!DD56</f>
        <v/>
      </c>
      <c r="H205" s="23">
        <f>ROUND(Source!AC56*Source!I56, 2)</f>
        <v>1142.93</v>
      </c>
      <c r="I205" s="24"/>
      <c r="J205" s="24">
        <f>IF(Source!BC56&lt;&gt; 0, Source!BC56, 1)</f>
        <v>6.9</v>
      </c>
      <c r="K205" s="23">
        <f>Source!P56</f>
        <v>7886.23</v>
      </c>
      <c r="L205" s="25"/>
    </row>
    <row r="206" spans="1:26" ht="14.25" x14ac:dyDescent="0.2">
      <c r="A206" s="38"/>
      <c r="B206" s="39"/>
      <c r="C206" s="39" t="s">
        <v>814</v>
      </c>
      <c r="D206" s="22" t="s">
        <v>815</v>
      </c>
      <c r="E206" s="10">
        <f>Source!BZ56</f>
        <v>105</v>
      </c>
      <c r="F206" s="45" t="str">
        <f>CONCATENATE(" )", Source!DL56, Source!FT56, "=", Source!FX56)</f>
        <v xml:space="preserve"> )*0,9=94,5</v>
      </c>
      <c r="G206" s="46"/>
      <c r="H206" s="23">
        <f>SUM(S200:S208)</f>
        <v>151.56</v>
      </c>
      <c r="I206" s="27"/>
      <c r="J206" s="21">
        <f>Source!AT56</f>
        <v>95</v>
      </c>
      <c r="K206" s="23">
        <f>SUM(T200:T208)</f>
        <v>1051.32</v>
      </c>
      <c r="L206" s="25"/>
    </row>
    <row r="207" spans="1:26" ht="14.25" x14ac:dyDescent="0.2">
      <c r="A207" s="38"/>
      <c r="B207" s="39"/>
      <c r="C207" s="39" t="s">
        <v>816</v>
      </c>
      <c r="D207" s="22" t="s">
        <v>815</v>
      </c>
      <c r="E207" s="10">
        <f>Source!CA56</f>
        <v>55</v>
      </c>
      <c r="F207" s="45" t="str">
        <f>CONCATENATE(" )", Source!DM56, Source!FU56, "=", Source!FY56)</f>
        <v xml:space="preserve"> )*0,85=46,75</v>
      </c>
      <c r="G207" s="46"/>
      <c r="H207" s="23">
        <f>SUM(U200:U208)</f>
        <v>74.98</v>
      </c>
      <c r="I207" s="27"/>
      <c r="J207" s="21">
        <f>Source!AU56</f>
        <v>47</v>
      </c>
      <c r="K207" s="23">
        <f>SUM(V200:V208)</f>
        <v>520.13</v>
      </c>
      <c r="L207" s="25"/>
    </row>
    <row r="208" spans="1:26" ht="14.25" x14ac:dyDescent="0.2">
      <c r="A208" s="40"/>
      <c r="B208" s="41"/>
      <c r="C208" s="41" t="s">
        <v>817</v>
      </c>
      <c r="D208" s="28" t="s">
        <v>818</v>
      </c>
      <c r="E208" s="29">
        <f>Source!AQ56</f>
        <v>46.11</v>
      </c>
      <c r="F208" s="30"/>
      <c r="G208" s="31" t="str">
        <f>Source!DI56</f>
        <v>)*1,15</v>
      </c>
      <c r="H208" s="30"/>
      <c r="I208" s="31"/>
      <c r="J208" s="31"/>
      <c r="K208" s="30"/>
      <c r="L208" s="32">
        <f>Source!U56</f>
        <v>18.771380999999998</v>
      </c>
    </row>
    <row r="209" spans="1:26" ht="15" x14ac:dyDescent="0.25">
      <c r="G209" s="44">
        <f>H202+H203+H205+H206+H207</f>
        <v>1530.26</v>
      </c>
      <c r="H209" s="44"/>
      <c r="J209" s="44">
        <f>K202+K203+K205+K206+K207</f>
        <v>10567.139999999998</v>
      </c>
      <c r="K209" s="44"/>
      <c r="L209" s="33">
        <f>Source!U56</f>
        <v>18.771380999999998</v>
      </c>
      <c r="O209" s="19">
        <f>G209</f>
        <v>1530.26</v>
      </c>
      <c r="P209" s="19">
        <f>J209</f>
        <v>10567.139999999998</v>
      </c>
      <c r="Q209" s="19">
        <f>L209</f>
        <v>18.771380999999998</v>
      </c>
      <c r="W209">
        <f>IF(Source!BI56&lt;=1,H202+H203+H205+H206+H207, 0)</f>
        <v>1530.26</v>
      </c>
      <c r="X209">
        <f>IF(Source!BI56=2,H202+H203+H205+H206+H207, 0)</f>
        <v>0</v>
      </c>
      <c r="Y209">
        <f>IF(Source!BI56=3,H202+H203+H205+H206+H207, 0)</f>
        <v>0</v>
      </c>
      <c r="Z209">
        <f>IF(Source!BI56=4,H202+H203+H205+H206+H207, 0)</f>
        <v>0</v>
      </c>
    </row>
    <row r="210" spans="1:26" ht="42.75" x14ac:dyDescent="0.2">
      <c r="A210" s="38" t="str">
        <f>Source!E57</f>
        <v>20</v>
      </c>
      <c r="B210" s="39" t="str">
        <f>Source!F57</f>
        <v>15-02-024-02</v>
      </c>
      <c r="C210" s="39" t="str">
        <f>Source!G57</f>
        <v>Облицовка гипсовыми и гипсоволокнистыми листами стен при отделке под оклейку обоями</v>
      </c>
      <c r="D210" s="22" t="str">
        <f>Source!H57</f>
        <v>100 м2</v>
      </c>
      <c r="E210" s="10">
        <f>Source!I57</f>
        <v>0.35399999999999998</v>
      </c>
      <c r="F210" s="23">
        <f>Source!AL57+Source!AM57+Source!AO57</f>
        <v>1119.69</v>
      </c>
      <c r="G210" s="24"/>
      <c r="H210" s="23"/>
      <c r="I210" s="24" t="str">
        <f>Source!BO57</f>
        <v/>
      </c>
      <c r="J210" s="24"/>
      <c r="K210" s="23"/>
      <c r="L210" s="25"/>
      <c r="S210">
        <f>ROUND((Source!FX57/100)*((ROUND(Source!AF57*Source!I57, 2)+ROUND(Source!AE57*Source!I57, 2))), 2)</f>
        <v>216.76</v>
      </c>
      <c r="T210">
        <f>Source!X57</f>
        <v>1503.57</v>
      </c>
      <c r="U210">
        <f>ROUND((Source!FY57/100)*((ROUND(Source!AF57*Source!I57, 2)+ROUND(Source!AE57*Source!I57, 2))), 2)</f>
        <v>107.24</v>
      </c>
      <c r="V210">
        <f>Source!Y57</f>
        <v>743.87</v>
      </c>
    </row>
    <row r="211" spans="1:26" x14ac:dyDescent="0.2">
      <c r="C211" s="18" t="str">
        <f>"Объем: "&amp;Source!I57&amp;"=35,4/"&amp;"100"</f>
        <v>Объем: 0,354=35,4/100</v>
      </c>
    </row>
    <row r="212" spans="1:26" ht="14.25" x14ac:dyDescent="0.2">
      <c r="A212" s="38"/>
      <c r="B212" s="39"/>
      <c r="C212" s="39" t="s">
        <v>812</v>
      </c>
      <c r="D212" s="22"/>
      <c r="E212" s="10"/>
      <c r="F212" s="23">
        <f>Source!AO57</f>
        <v>531.04</v>
      </c>
      <c r="G212" s="24" t="str">
        <f>Source!DG57</f>
        <v>)*1,15</v>
      </c>
      <c r="H212" s="23">
        <f>ROUND(Source!AF57*Source!I57, 2)</f>
        <v>216.19</v>
      </c>
      <c r="I212" s="24"/>
      <c r="J212" s="24">
        <f>IF(Source!BA57&lt;&gt; 0, Source!BA57, 1)</f>
        <v>6.9</v>
      </c>
      <c r="K212" s="23">
        <f>Source!S57</f>
        <v>1491.7</v>
      </c>
      <c r="L212" s="25"/>
      <c r="R212">
        <f>H212</f>
        <v>216.19</v>
      </c>
    </row>
    <row r="213" spans="1:26" ht="14.25" x14ac:dyDescent="0.2">
      <c r="A213" s="38"/>
      <c r="B213" s="39"/>
      <c r="C213" s="39" t="s">
        <v>417</v>
      </c>
      <c r="D213" s="22"/>
      <c r="E213" s="10"/>
      <c r="F213" s="23">
        <f>Source!AM57</f>
        <v>66.959999999999994</v>
      </c>
      <c r="G213" s="24" t="str">
        <f>Source!DE57</f>
        <v>)*1,25</v>
      </c>
      <c r="H213" s="23">
        <f>ROUND(Source!AD57*Source!I57, 2)</f>
        <v>29.63</v>
      </c>
      <c r="I213" s="24"/>
      <c r="J213" s="24">
        <f>IF(Source!BB57&lt;&gt; 0, Source!BB57, 1)</f>
        <v>6.9</v>
      </c>
      <c r="K213" s="23">
        <f>Source!Q57</f>
        <v>204.45</v>
      </c>
      <c r="L213" s="25"/>
    </row>
    <row r="214" spans="1:26" ht="14.25" x14ac:dyDescent="0.2">
      <c r="A214" s="38"/>
      <c r="B214" s="39"/>
      <c r="C214" s="39" t="s">
        <v>813</v>
      </c>
      <c r="D214" s="22"/>
      <c r="E214" s="10"/>
      <c r="F214" s="23">
        <f>Source!AN57</f>
        <v>29.81</v>
      </c>
      <c r="G214" s="24" t="str">
        <f>Source!DF57</f>
        <v>)*1,25</v>
      </c>
      <c r="H214" s="26">
        <f>ROUND(Source!AE57*Source!I57, 2)</f>
        <v>13.19</v>
      </c>
      <c r="I214" s="24"/>
      <c r="J214" s="24">
        <f>IF(Source!BS57&lt;&gt; 0, Source!BS57, 1)</f>
        <v>6.9</v>
      </c>
      <c r="K214" s="26">
        <f>Source!R57</f>
        <v>91.01</v>
      </c>
      <c r="L214" s="25"/>
      <c r="R214">
        <f>H214</f>
        <v>13.19</v>
      </c>
    </row>
    <row r="215" spans="1:26" ht="14.25" x14ac:dyDescent="0.2">
      <c r="A215" s="38"/>
      <c r="B215" s="39"/>
      <c r="C215" s="39" t="s">
        <v>819</v>
      </c>
      <c r="D215" s="22"/>
      <c r="E215" s="10"/>
      <c r="F215" s="23">
        <f>Source!AL57</f>
        <v>521.69000000000005</v>
      </c>
      <c r="G215" s="24" t="str">
        <f>Source!DD57</f>
        <v/>
      </c>
      <c r="H215" s="23">
        <f>ROUND(Source!AC57*Source!I57, 2)</f>
        <v>184.68</v>
      </c>
      <c r="I215" s="24"/>
      <c r="J215" s="24">
        <f>IF(Source!BC57&lt;&gt; 0, Source!BC57, 1)</f>
        <v>6.9</v>
      </c>
      <c r="K215" s="23">
        <f>Source!P57</f>
        <v>1274.28</v>
      </c>
      <c r="L215" s="25"/>
    </row>
    <row r="216" spans="1:26" ht="14.25" x14ac:dyDescent="0.2">
      <c r="A216" s="38"/>
      <c r="B216" s="39"/>
      <c r="C216" s="39" t="s">
        <v>814</v>
      </c>
      <c r="D216" s="22" t="s">
        <v>815</v>
      </c>
      <c r="E216" s="10">
        <f>Source!BZ57</f>
        <v>105</v>
      </c>
      <c r="F216" s="45" t="str">
        <f>CONCATENATE(" )", Source!DL57, Source!FT57, "=", Source!FX57)</f>
        <v xml:space="preserve"> )*0,9=94,5</v>
      </c>
      <c r="G216" s="46"/>
      <c r="H216" s="23">
        <f>SUM(S210:S224)</f>
        <v>216.76</v>
      </c>
      <c r="I216" s="27"/>
      <c r="J216" s="21">
        <f>Source!AT57</f>
        <v>95</v>
      </c>
      <c r="K216" s="23">
        <f>SUM(T210:T224)</f>
        <v>1503.57</v>
      </c>
      <c r="L216" s="25"/>
    </row>
    <row r="217" spans="1:26" ht="14.25" x14ac:dyDescent="0.2">
      <c r="A217" s="38"/>
      <c r="B217" s="39"/>
      <c r="C217" s="39" t="s">
        <v>816</v>
      </c>
      <c r="D217" s="22" t="s">
        <v>815</v>
      </c>
      <c r="E217" s="10">
        <f>Source!CA57</f>
        <v>55</v>
      </c>
      <c r="F217" s="45" t="str">
        <f>CONCATENATE(" )", Source!DM57, Source!FU57, "=", Source!FY57)</f>
        <v xml:space="preserve"> )*0,85=46,75</v>
      </c>
      <c r="G217" s="46"/>
      <c r="H217" s="23">
        <f>SUM(U210:U224)</f>
        <v>107.24</v>
      </c>
      <c r="I217" s="27"/>
      <c r="J217" s="21">
        <f>Source!AU57</f>
        <v>47</v>
      </c>
      <c r="K217" s="23">
        <f>SUM(V210:V224)</f>
        <v>743.87</v>
      </c>
      <c r="L217" s="25"/>
    </row>
    <row r="218" spans="1:26" ht="14.25" x14ac:dyDescent="0.2">
      <c r="A218" s="38"/>
      <c r="B218" s="39"/>
      <c r="C218" s="39" t="s">
        <v>817</v>
      </c>
      <c r="D218" s="22" t="s">
        <v>818</v>
      </c>
      <c r="E218" s="10">
        <f>Source!AQ57</f>
        <v>60.76</v>
      </c>
      <c r="F218" s="23"/>
      <c r="G218" s="24" t="str">
        <f>Source!DI57</f>
        <v>)*1,15</v>
      </c>
      <c r="H218" s="23"/>
      <c r="I218" s="24"/>
      <c r="J218" s="24"/>
      <c r="K218" s="23"/>
      <c r="L218" s="34">
        <f>Source!U57</f>
        <v>24.735395999999998</v>
      </c>
    </row>
    <row r="219" spans="1:26" ht="28.5" x14ac:dyDescent="0.2">
      <c r="A219" s="38" t="str">
        <f>Source!E58</f>
        <v>20,1</v>
      </c>
      <c r="B219" s="39" t="str">
        <f>Source!F58</f>
        <v>01.6.01.01-0002</v>
      </c>
      <c r="C219" s="39" t="str">
        <f>Source!G58</f>
        <v>Листы гипсоволокнистые влагостойкие ГВЛВ 12,5 мм</v>
      </c>
      <c r="D219" s="22" t="str">
        <f>Source!H58</f>
        <v>м2</v>
      </c>
      <c r="E219" s="10">
        <f>Source!I58</f>
        <v>37.17</v>
      </c>
      <c r="F219" s="23">
        <f>Source!AL58+Source!AM58+Source!AO58</f>
        <v>27.29</v>
      </c>
      <c r="G219" s="35" t="s">
        <v>3</v>
      </c>
      <c r="H219" s="23">
        <f>ROUND(Source!AC58*Source!I58, 2)+ROUND(Source!AD58*Source!I58, 2)+ROUND(Source!AF58*Source!I58, 2)</f>
        <v>1014.37</v>
      </c>
      <c r="I219" s="24"/>
      <c r="J219" s="24">
        <f>IF(Source!BC58&lt;&gt; 0, Source!BC58, 1)</f>
        <v>6.9</v>
      </c>
      <c r="K219" s="23">
        <f>Source!O58</f>
        <v>6999.15</v>
      </c>
      <c r="L219" s="25"/>
      <c r="S219">
        <f>ROUND((Source!FX58/100)*((ROUND(Source!AF58*Source!I58, 2)+ROUND(Source!AE58*Source!I58, 2))), 2)</f>
        <v>0</v>
      </c>
      <c r="T219">
        <f>Source!X58</f>
        <v>0</v>
      </c>
      <c r="U219">
        <f>ROUND((Source!FY58/100)*((ROUND(Source!AF58*Source!I58, 2)+ROUND(Source!AE58*Source!I58, 2))), 2)</f>
        <v>0</v>
      </c>
      <c r="V219">
        <f>Source!Y58</f>
        <v>0</v>
      </c>
      <c r="W219">
        <f>IF(Source!BI58&lt;=1,H219, 0)</f>
        <v>1014.37</v>
      </c>
      <c r="X219">
        <f>IF(Source!BI58=2,H219, 0)</f>
        <v>0</v>
      </c>
      <c r="Y219">
        <f>IF(Source!BI58=3,H219, 0)</f>
        <v>0</v>
      </c>
      <c r="Z219">
        <f>IF(Source!BI58=4,H219, 0)</f>
        <v>0</v>
      </c>
    </row>
    <row r="220" spans="1:26" ht="14.25" x14ac:dyDescent="0.2">
      <c r="A220" s="38" t="str">
        <f>Source!E59</f>
        <v>20,2</v>
      </c>
      <c r="B220" s="39" t="str">
        <f>Source!F59</f>
        <v>01.6.01.02</v>
      </c>
      <c r="C220" s="39" t="str">
        <f>Source!G59</f>
        <v>Листы гипсокартонные</v>
      </c>
      <c r="D220" s="22" t="str">
        <f>Source!H59</f>
        <v>м2</v>
      </c>
      <c r="E220" s="10">
        <f>Source!I59</f>
        <v>37.17</v>
      </c>
      <c r="F220" s="23">
        <f>Source!AL59+Source!AM59+Source!AO59</f>
        <v>0</v>
      </c>
      <c r="G220" s="35" t="s">
        <v>3</v>
      </c>
      <c r="H220" s="23">
        <f>ROUND(Source!AC59*Source!I59, 2)+ROUND(Source!AD59*Source!I59, 2)+ROUND(Source!AF59*Source!I59, 2)</f>
        <v>0</v>
      </c>
      <c r="I220" s="24"/>
      <c r="J220" s="24">
        <f>IF(Source!BC59&lt;&gt; 0, Source!BC59, 1)</f>
        <v>6.9</v>
      </c>
      <c r="K220" s="23">
        <f>Source!O59</f>
        <v>0</v>
      </c>
      <c r="L220" s="25"/>
      <c r="S220">
        <f>ROUND((Source!FX59/100)*((ROUND(Source!AF59*Source!I59, 2)+ROUND(Source!AE59*Source!I59, 2))), 2)</f>
        <v>0</v>
      </c>
      <c r="T220">
        <f>Source!X59</f>
        <v>0</v>
      </c>
      <c r="U220">
        <f>ROUND((Source!FY59/100)*((ROUND(Source!AF59*Source!I59, 2)+ROUND(Source!AE59*Source!I59, 2))), 2)</f>
        <v>0</v>
      </c>
      <c r="V220">
        <f>Source!Y59</f>
        <v>0</v>
      </c>
      <c r="W220">
        <f>IF(Source!BI59&lt;=1,H220, 0)</f>
        <v>0</v>
      </c>
      <c r="X220">
        <f>IF(Source!BI59=2,H220, 0)</f>
        <v>0</v>
      </c>
      <c r="Y220">
        <f>IF(Source!BI59=3,H220, 0)</f>
        <v>0</v>
      </c>
      <c r="Z220">
        <f>IF(Source!BI59=4,H220, 0)</f>
        <v>0</v>
      </c>
    </row>
    <row r="221" spans="1:26" ht="14.25" x14ac:dyDescent="0.2">
      <c r="A221" s="38" t="str">
        <f>Source!E60</f>
        <v>20,3</v>
      </c>
      <c r="B221" s="39" t="str">
        <f>Source!F60</f>
        <v>03.1.01.01-0002</v>
      </c>
      <c r="C221" s="39" t="str">
        <f>Source!G60</f>
        <v>Гипсовые вяжущие, марка Г3</v>
      </c>
      <c r="D221" s="22" t="str">
        <f>Source!H60</f>
        <v>т</v>
      </c>
      <c r="E221" s="10">
        <f>Source!I60</f>
        <v>-0.17346</v>
      </c>
      <c r="F221" s="23">
        <f>Source!AL60+Source!AM60+Source!AO60</f>
        <v>729.98</v>
      </c>
      <c r="G221" s="35" t="s">
        <v>3</v>
      </c>
      <c r="H221" s="23">
        <f>ROUND(Source!AC60*Source!I60, 2)+ROUND(Source!AD60*Source!I60, 2)+ROUND(Source!AF60*Source!I60, 2)</f>
        <v>-126.62</v>
      </c>
      <c r="I221" s="24"/>
      <c r="J221" s="24">
        <f>IF(Source!BC60&lt;&gt; 0, Source!BC60, 1)</f>
        <v>6.9</v>
      </c>
      <c r="K221" s="23">
        <f>Source!O60</f>
        <v>-873.69</v>
      </c>
      <c r="L221" s="25"/>
      <c r="S221">
        <f>ROUND((Source!FX60/100)*((ROUND(Source!AF60*Source!I60, 2)+ROUND(Source!AE60*Source!I60, 2))), 2)</f>
        <v>0</v>
      </c>
      <c r="T221">
        <f>Source!X60</f>
        <v>0</v>
      </c>
      <c r="U221">
        <f>ROUND((Source!FY60/100)*((ROUND(Source!AF60*Source!I60, 2)+ROUND(Source!AE60*Source!I60, 2))), 2)</f>
        <v>0</v>
      </c>
      <c r="V221">
        <f>Source!Y60</f>
        <v>0</v>
      </c>
      <c r="W221">
        <f>IF(Source!BI60&lt;=1,H221, 0)</f>
        <v>-126.62</v>
      </c>
      <c r="X221">
        <f>IF(Source!BI60=2,H221, 0)</f>
        <v>0</v>
      </c>
      <c r="Y221">
        <f>IF(Source!BI60=3,H221, 0)</f>
        <v>0</v>
      </c>
      <c r="Z221">
        <f>IF(Source!BI60=4,H221, 0)</f>
        <v>0</v>
      </c>
    </row>
    <row r="222" spans="1:26" ht="28.5" x14ac:dyDescent="0.2">
      <c r="A222" s="38" t="str">
        <f>Source!E61</f>
        <v>20,4</v>
      </c>
      <c r="B222" s="39" t="str">
        <f>Source!F61</f>
        <v>04.3.01.07-0012</v>
      </c>
      <c r="C222" s="39" t="str">
        <f>Source!G61</f>
        <v>Раствор готовый отделочный тяжелый, известковый 1:2,5</v>
      </c>
      <c r="D222" s="22" t="str">
        <f>Source!H61</f>
        <v>м3</v>
      </c>
      <c r="E222" s="10">
        <f>Source!I61</f>
        <v>-2.1239999999999998E-2</v>
      </c>
      <c r="F222" s="23">
        <f>Source!AL61+Source!AM61+Source!AO61</f>
        <v>510.4</v>
      </c>
      <c r="G222" s="35" t="s">
        <v>3</v>
      </c>
      <c r="H222" s="23">
        <f>ROUND(Source!AC61*Source!I61, 2)+ROUND(Source!AD61*Source!I61, 2)+ROUND(Source!AF61*Source!I61, 2)</f>
        <v>-10.84</v>
      </c>
      <c r="I222" s="24"/>
      <c r="J222" s="24">
        <f>IF(Source!BC61&lt;&gt; 0, Source!BC61, 1)</f>
        <v>6.9</v>
      </c>
      <c r="K222" s="23">
        <f>Source!O61</f>
        <v>-74.8</v>
      </c>
      <c r="L222" s="25"/>
      <c r="S222">
        <f>ROUND((Source!FX61/100)*((ROUND(Source!AF61*Source!I61, 2)+ROUND(Source!AE61*Source!I61, 2))), 2)</f>
        <v>0</v>
      </c>
      <c r="T222">
        <f>Source!X61</f>
        <v>0</v>
      </c>
      <c r="U222">
        <f>ROUND((Source!FY61/100)*((ROUND(Source!AF61*Source!I61, 2)+ROUND(Source!AE61*Source!I61, 2))), 2)</f>
        <v>0</v>
      </c>
      <c r="V222">
        <f>Source!Y61</f>
        <v>0</v>
      </c>
      <c r="W222">
        <f>IF(Source!BI61&lt;=1,H222, 0)</f>
        <v>-10.84</v>
      </c>
      <c r="X222">
        <f>IF(Source!BI61=2,H222, 0)</f>
        <v>0</v>
      </c>
      <c r="Y222">
        <f>IF(Source!BI61=3,H222, 0)</f>
        <v>0</v>
      </c>
      <c r="Z222">
        <f>IF(Source!BI61=4,H222, 0)</f>
        <v>0</v>
      </c>
    </row>
    <row r="223" spans="1:26" ht="14.25" x14ac:dyDescent="0.2">
      <c r="A223" s="38" t="str">
        <f>Source!E62</f>
        <v>20,5</v>
      </c>
      <c r="B223" s="39" t="str">
        <f>Source!F62</f>
        <v>01.7.15.06-0064</v>
      </c>
      <c r="C223" s="39" t="str">
        <f>Source!G62</f>
        <v>Гвозди отделочные круглые 1,6x25 мм</v>
      </c>
      <c r="D223" s="22" t="str">
        <f>Source!H62</f>
        <v>т</v>
      </c>
      <c r="E223" s="10">
        <f>Source!I62</f>
        <v>-7.0799999999999997E-4</v>
      </c>
      <c r="F223" s="23">
        <f>Source!AL62+Source!AM62+Source!AO62</f>
        <v>9713.4</v>
      </c>
      <c r="G223" s="35" t="s">
        <v>3</v>
      </c>
      <c r="H223" s="23">
        <f>ROUND(Source!AC62*Source!I62, 2)+ROUND(Source!AD62*Source!I62, 2)+ROUND(Source!AF62*Source!I62, 2)</f>
        <v>-6.88</v>
      </c>
      <c r="I223" s="24"/>
      <c r="J223" s="24">
        <f>IF(Source!BC62&lt;&gt; 0, Source!BC62, 1)</f>
        <v>6.9</v>
      </c>
      <c r="K223" s="23">
        <f>Source!O62</f>
        <v>-47.45</v>
      </c>
      <c r="L223" s="25"/>
      <c r="S223">
        <f>ROUND((Source!FX62/100)*((ROUND(Source!AF62*Source!I62, 2)+ROUND(Source!AE62*Source!I62, 2))), 2)</f>
        <v>0</v>
      </c>
      <c r="T223">
        <f>Source!X62</f>
        <v>0</v>
      </c>
      <c r="U223">
        <f>ROUND((Source!FY62/100)*((ROUND(Source!AF62*Source!I62, 2)+ROUND(Source!AE62*Source!I62, 2))), 2)</f>
        <v>0</v>
      </c>
      <c r="V223">
        <f>Source!Y62</f>
        <v>0</v>
      </c>
      <c r="W223">
        <f>IF(Source!BI62&lt;=1,H223, 0)</f>
        <v>-6.88</v>
      </c>
      <c r="X223">
        <f>IF(Source!BI62=2,H223, 0)</f>
        <v>0</v>
      </c>
      <c r="Y223">
        <f>IF(Source!BI62=3,H223, 0)</f>
        <v>0</v>
      </c>
      <c r="Z223">
        <f>IF(Source!BI62=4,H223, 0)</f>
        <v>0</v>
      </c>
    </row>
    <row r="224" spans="1:26" ht="14.25" x14ac:dyDescent="0.2">
      <c r="A224" s="40" t="str">
        <f>Source!E63</f>
        <v>20,6</v>
      </c>
      <c r="B224" s="41" t="str">
        <f>Source!F63</f>
        <v>14.1.01.01-0001</v>
      </c>
      <c r="C224" s="41" t="str">
        <f>Source!G63</f>
        <v>Клей казеиновый</v>
      </c>
      <c r="D224" s="28" t="str">
        <f>Source!H63</f>
        <v>т</v>
      </c>
      <c r="E224" s="29">
        <f>Source!I63</f>
        <v>-1.5219999999999999E-3</v>
      </c>
      <c r="F224" s="30">
        <f>Source!AL63+Source!AM63+Source!AO63</f>
        <v>26500</v>
      </c>
      <c r="G224" s="36" t="s">
        <v>3</v>
      </c>
      <c r="H224" s="30">
        <f>ROUND(Source!AC63*Source!I63, 2)+ROUND(Source!AD63*Source!I63, 2)+ROUND(Source!AF63*Source!I63, 2)</f>
        <v>-40.33</v>
      </c>
      <c r="I224" s="31"/>
      <c r="J224" s="31">
        <f>IF(Source!BC63&lt;&gt; 0, Source!BC63, 1)</f>
        <v>6.9</v>
      </c>
      <c r="K224" s="30">
        <f>Source!O63</f>
        <v>-278.3</v>
      </c>
      <c r="L224" s="37"/>
      <c r="S224">
        <f>ROUND((Source!FX63/100)*((ROUND(Source!AF63*Source!I63, 2)+ROUND(Source!AE63*Source!I63, 2))), 2)</f>
        <v>0</v>
      </c>
      <c r="T224">
        <f>Source!X63</f>
        <v>0</v>
      </c>
      <c r="U224">
        <f>ROUND((Source!FY63/100)*((ROUND(Source!AF63*Source!I63, 2)+ROUND(Source!AE63*Source!I63, 2))), 2)</f>
        <v>0</v>
      </c>
      <c r="V224">
        <f>Source!Y63</f>
        <v>0</v>
      </c>
      <c r="W224">
        <f>IF(Source!BI63&lt;=1,H224, 0)</f>
        <v>-40.33</v>
      </c>
      <c r="X224">
        <f>IF(Source!BI63=2,H224, 0)</f>
        <v>0</v>
      </c>
      <c r="Y224">
        <f>IF(Source!BI63=3,H224, 0)</f>
        <v>0</v>
      </c>
      <c r="Z224">
        <f>IF(Source!BI63=4,H224, 0)</f>
        <v>0</v>
      </c>
    </row>
    <row r="225" spans="1:26" ht="15" x14ac:dyDescent="0.25">
      <c r="G225" s="44">
        <f>H212+H213+H215+H216+H217+SUM(H219:H224)</f>
        <v>1584.1999999999998</v>
      </c>
      <c r="H225" s="44"/>
      <c r="J225" s="44">
        <f>K212+K213+K215+K216+K217+SUM(K219:K224)</f>
        <v>10942.779999999999</v>
      </c>
      <c r="K225" s="44"/>
      <c r="L225" s="33">
        <f>Source!U57</f>
        <v>24.735395999999998</v>
      </c>
      <c r="O225" s="19">
        <f>G225</f>
        <v>1584.1999999999998</v>
      </c>
      <c r="P225" s="19">
        <f>J225</f>
        <v>10942.779999999999</v>
      </c>
      <c r="Q225" s="19">
        <f>L225</f>
        <v>24.735395999999998</v>
      </c>
      <c r="W225">
        <f>IF(Source!BI57&lt;=1,H212+H213+H215+H216+H217, 0)</f>
        <v>754.5</v>
      </c>
      <c r="X225">
        <f>IF(Source!BI57=2,H212+H213+H215+H216+H217, 0)</f>
        <v>0</v>
      </c>
      <c r="Y225">
        <f>IF(Source!BI57=3,H212+H213+H215+H216+H217, 0)</f>
        <v>0</v>
      </c>
      <c r="Z225">
        <f>IF(Source!BI57=4,H212+H213+H215+H216+H217, 0)</f>
        <v>0</v>
      </c>
    </row>
    <row r="226" spans="1:26" ht="42.75" x14ac:dyDescent="0.2">
      <c r="A226" s="38" t="str">
        <f>Source!E64</f>
        <v>21</v>
      </c>
      <c r="B226" s="39" t="str">
        <f>Source!F64</f>
        <v>20-02-002-02 прим.</v>
      </c>
      <c r="C226" s="39" t="str">
        <f>Source!G64</f>
        <v>Установка решеток жалюзийных площадью в свету до 1,0 м2 (радиаторные решётки)</v>
      </c>
      <c r="D226" s="22" t="str">
        <f>Source!H64</f>
        <v>ШТ</v>
      </c>
      <c r="E226" s="10">
        <f>Source!I64</f>
        <v>8</v>
      </c>
      <c r="F226" s="23">
        <f>Source!AL64+Source!AM64+Source!AO64</f>
        <v>26.28</v>
      </c>
      <c r="G226" s="24"/>
      <c r="H226" s="23"/>
      <c r="I226" s="24" t="str">
        <f>Source!BO64</f>
        <v/>
      </c>
      <c r="J226" s="24"/>
      <c r="K226" s="23"/>
      <c r="L226" s="25"/>
      <c r="S226">
        <f>ROUND((Source!FX64/100)*((ROUND(Source!AF64*Source!I64, 2)+ROUND(Source!AE64*Source!I64, 2))), 2)</f>
        <v>172.34</v>
      </c>
      <c r="T226">
        <f>Source!X64</f>
        <v>1187.08</v>
      </c>
      <c r="U226">
        <f>ROUND((Source!FY64/100)*((ROUND(Source!AF64*Source!I64, 2)+ROUND(Source!AE64*Source!I64, 2))), 2)</f>
        <v>105.54</v>
      </c>
      <c r="V226">
        <f>Source!Y64</f>
        <v>732.89</v>
      </c>
    </row>
    <row r="227" spans="1:26" ht="14.25" x14ac:dyDescent="0.2">
      <c r="A227" s="38"/>
      <c r="B227" s="39"/>
      <c r="C227" s="39" t="s">
        <v>812</v>
      </c>
      <c r="D227" s="22"/>
      <c r="E227" s="10"/>
      <c r="F227" s="23">
        <f>Source!AO64</f>
        <v>15.97</v>
      </c>
      <c r="G227" s="24" t="str">
        <f>Source!DG64</f>
        <v>)*1,15</v>
      </c>
      <c r="H227" s="23">
        <f>ROUND(Source!AF64*Source!I64, 2)</f>
        <v>146.96</v>
      </c>
      <c r="I227" s="24"/>
      <c r="J227" s="24">
        <f>IF(Source!BA64&lt;&gt; 0, Source!BA64, 1)</f>
        <v>6.9</v>
      </c>
      <c r="K227" s="23">
        <f>Source!S64</f>
        <v>1014.02</v>
      </c>
      <c r="L227" s="25"/>
      <c r="R227">
        <f>H227</f>
        <v>146.96</v>
      </c>
    </row>
    <row r="228" spans="1:26" ht="14.25" x14ac:dyDescent="0.2">
      <c r="A228" s="38"/>
      <c r="B228" s="39"/>
      <c r="C228" s="39" t="s">
        <v>417</v>
      </c>
      <c r="D228" s="22"/>
      <c r="E228" s="10"/>
      <c r="F228" s="23">
        <f>Source!AM64</f>
        <v>2.75</v>
      </c>
      <c r="G228" s="24" t="str">
        <f>Source!DE64</f>
        <v>)*1,25</v>
      </c>
      <c r="H228" s="23">
        <f>ROUND(Source!AD64*Source!I64, 2)</f>
        <v>27.52</v>
      </c>
      <c r="I228" s="24"/>
      <c r="J228" s="24">
        <f>IF(Source!BB64&lt;&gt; 0, Source!BB64, 1)</f>
        <v>6.9</v>
      </c>
      <c r="K228" s="23">
        <f>Source!Q64</f>
        <v>189.89</v>
      </c>
      <c r="L228" s="25"/>
    </row>
    <row r="229" spans="1:26" ht="14.25" x14ac:dyDescent="0.2">
      <c r="A229" s="38"/>
      <c r="B229" s="39"/>
      <c r="C229" s="39" t="s">
        <v>813</v>
      </c>
      <c r="D229" s="22"/>
      <c r="E229" s="10"/>
      <c r="F229" s="23">
        <f>Source!AN64</f>
        <v>0.26</v>
      </c>
      <c r="G229" s="24" t="str">
        <f>Source!DF64</f>
        <v>)*1,25</v>
      </c>
      <c r="H229" s="26">
        <f>ROUND(Source!AE64*Source!I64, 2)</f>
        <v>2.64</v>
      </c>
      <c r="I229" s="24"/>
      <c r="J229" s="24">
        <f>IF(Source!BS64&lt;&gt; 0, Source!BS64, 1)</f>
        <v>6.9</v>
      </c>
      <c r="K229" s="26">
        <f>Source!R64</f>
        <v>18.22</v>
      </c>
      <c r="L229" s="25"/>
      <c r="R229">
        <f>H229</f>
        <v>2.64</v>
      </c>
    </row>
    <row r="230" spans="1:26" ht="14.25" x14ac:dyDescent="0.2">
      <c r="A230" s="38"/>
      <c r="B230" s="39"/>
      <c r="C230" s="39" t="s">
        <v>819</v>
      </c>
      <c r="D230" s="22"/>
      <c r="E230" s="10"/>
      <c r="F230" s="23">
        <f>Source!AL64</f>
        <v>7.56</v>
      </c>
      <c r="G230" s="24" t="str">
        <f>Source!DD64</f>
        <v/>
      </c>
      <c r="H230" s="23">
        <f>ROUND(Source!AC64*Source!I64, 2)</f>
        <v>60.48</v>
      </c>
      <c r="I230" s="24"/>
      <c r="J230" s="24">
        <f>IF(Source!BC64&lt;&gt; 0, Source!BC64, 1)</f>
        <v>6.9</v>
      </c>
      <c r="K230" s="23">
        <f>Source!P64</f>
        <v>417.31</v>
      </c>
      <c r="L230" s="25"/>
    </row>
    <row r="231" spans="1:26" ht="14.25" x14ac:dyDescent="0.2">
      <c r="A231" s="38"/>
      <c r="B231" s="39"/>
      <c r="C231" s="39" t="s">
        <v>814</v>
      </c>
      <c r="D231" s="22" t="s">
        <v>815</v>
      </c>
      <c r="E231" s="10">
        <f>Source!BZ64</f>
        <v>128</v>
      </c>
      <c r="F231" s="45" t="str">
        <f>CONCATENATE(" )", Source!DL64, Source!FT64, "=", Source!FX64)</f>
        <v xml:space="preserve"> )*0,9=115,2</v>
      </c>
      <c r="G231" s="46"/>
      <c r="H231" s="23">
        <f>SUM(S226:S235)</f>
        <v>172.34</v>
      </c>
      <c r="I231" s="27"/>
      <c r="J231" s="21">
        <f>Source!AT64</f>
        <v>115</v>
      </c>
      <c r="K231" s="23">
        <f>SUM(T226:T235)</f>
        <v>1187.08</v>
      </c>
      <c r="L231" s="25"/>
    </row>
    <row r="232" spans="1:26" ht="14.25" x14ac:dyDescent="0.2">
      <c r="A232" s="38"/>
      <c r="B232" s="39"/>
      <c r="C232" s="39" t="s">
        <v>816</v>
      </c>
      <c r="D232" s="22" t="s">
        <v>815</v>
      </c>
      <c r="E232" s="10">
        <f>Source!CA64</f>
        <v>83</v>
      </c>
      <c r="F232" s="45" t="str">
        <f>CONCATENATE(" )", Source!DM64, Source!FU64, "=", Source!FY64)</f>
        <v xml:space="preserve"> )*0,85=70,55</v>
      </c>
      <c r="G232" s="46"/>
      <c r="H232" s="23">
        <f>SUM(U226:U235)</f>
        <v>105.54</v>
      </c>
      <c r="I232" s="27"/>
      <c r="J232" s="21">
        <f>Source!AU64</f>
        <v>71</v>
      </c>
      <c r="K232" s="23">
        <f>SUM(V226:V235)</f>
        <v>732.89</v>
      </c>
      <c r="L232" s="25"/>
    </row>
    <row r="233" spans="1:26" ht="14.25" x14ac:dyDescent="0.2">
      <c r="A233" s="38"/>
      <c r="B233" s="39"/>
      <c r="C233" s="39" t="s">
        <v>817</v>
      </c>
      <c r="D233" s="22" t="s">
        <v>818</v>
      </c>
      <c r="E233" s="10">
        <f>Source!AQ64</f>
        <v>1.78</v>
      </c>
      <c r="F233" s="23"/>
      <c r="G233" s="24" t="str">
        <f>Source!DI64</f>
        <v>)*1,15</v>
      </c>
      <c r="H233" s="23"/>
      <c r="I233" s="24"/>
      <c r="J233" s="24"/>
      <c r="K233" s="23"/>
      <c r="L233" s="34">
        <f>Source!U64</f>
        <v>16.375999999999998</v>
      </c>
    </row>
    <row r="234" spans="1:26" ht="28.5" x14ac:dyDescent="0.2">
      <c r="A234" s="38" t="str">
        <f>Source!E65</f>
        <v>21,1</v>
      </c>
      <c r="B234" s="39" t="str">
        <f>Source!F65</f>
        <v>11.3.03.12-0002</v>
      </c>
      <c r="C234" s="39" t="str">
        <f>Source!G65</f>
        <v>Решетка радиаторная ПВХ, размером 0,6х0,9 м</v>
      </c>
      <c r="D234" s="22" t="str">
        <f>Source!H65</f>
        <v>м2</v>
      </c>
      <c r="E234" s="10">
        <f>Source!I65</f>
        <v>4.32</v>
      </c>
      <c r="F234" s="23">
        <f>Source!AL65+Source!AM65+Source!AO65</f>
        <v>65</v>
      </c>
      <c r="G234" s="35" t="s">
        <v>3</v>
      </c>
      <c r="H234" s="23">
        <f>ROUND(Source!AC65*Source!I65, 2)+ROUND(Source!AD65*Source!I65, 2)+ROUND(Source!AF65*Source!I65, 2)</f>
        <v>280.8</v>
      </c>
      <c r="I234" s="24"/>
      <c r="J234" s="24">
        <f>IF(Source!BC65&lt;&gt; 0, Source!BC65, 1)</f>
        <v>6.9</v>
      </c>
      <c r="K234" s="23">
        <f>Source!O65</f>
        <v>1937.52</v>
      </c>
      <c r="L234" s="25"/>
      <c r="S234">
        <f>ROUND((Source!FX65/100)*((ROUND(Source!AF65*Source!I65, 2)+ROUND(Source!AE65*Source!I65, 2))), 2)</f>
        <v>0</v>
      </c>
      <c r="T234">
        <f>Source!X65</f>
        <v>0</v>
      </c>
      <c r="U234">
        <f>ROUND((Source!FY65/100)*((ROUND(Source!AF65*Source!I65, 2)+ROUND(Source!AE65*Source!I65, 2))), 2)</f>
        <v>0</v>
      </c>
      <c r="V234">
        <f>Source!Y65</f>
        <v>0</v>
      </c>
      <c r="W234">
        <f>IF(Source!BI65&lt;=1,H234, 0)</f>
        <v>280.8</v>
      </c>
      <c r="X234">
        <f>IF(Source!BI65=2,H234, 0)</f>
        <v>0</v>
      </c>
      <c r="Y234">
        <f>IF(Source!BI65=3,H234, 0)</f>
        <v>0</v>
      </c>
      <c r="Z234">
        <f>IF(Source!BI65=4,H234, 0)</f>
        <v>0</v>
      </c>
    </row>
    <row r="235" spans="1:26" ht="14.25" x14ac:dyDescent="0.2">
      <c r="A235" s="40" t="str">
        <f>Source!E66</f>
        <v>21,2</v>
      </c>
      <c r="B235" s="41" t="str">
        <f>Source!F66</f>
        <v>19.2.03.09</v>
      </c>
      <c r="C235" s="41" t="str">
        <f>Source!G66</f>
        <v>Решетки жалюзийные</v>
      </c>
      <c r="D235" s="28" t="str">
        <f>Source!H66</f>
        <v>шт.</v>
      </c>
      <c r="E235" s="29">
        <f>Source!I66</f>
        <v>8</v>
      </c>
      <c r="F235" s="30">
        <f>Source!AL66+Source!AM66+Source!AO66</f>
        <v>0</v>
      </c>
      <c r="G235" s="36" t="s">
        <v>3</v>
      </c>
      <c r="H235" s="30">
        <f>ROUND(Source!AC66*Source!I66, 2)+ROUND(Source!AD66*Source!I66, 2)+ROUND(Source!AF66*Source!I66, 2)</f>
        <v>0</v>
      </c>
      <c r="I235" s="31"/>
      <c r="J235" s="31">
        <f>IF(Source!BC66&lt;&gt; 0, Source!BC66, 1)</f>
        <v>6.9</v>
      </c>
      <c r="K235" s="30">
        <f>Source!O66</f>
        <v>0</v>
      </c>
      <c r="L235" s="37"/>
      <c r="S235">
        <f>ROUND((Source!FX66/100)*((ROUND(Source!AF66*Source!I66, 2)+ROUND(Source!AE66*Source!I66, 2))), 2)</f>
        <v>0</v>
      </c>
      <c r="T235">
        <f>Source!X66</f>
        <v>0</v>
      </c>
      <c r="U235">
        <f>ROUND((Source!FY66/100)*((ROUND(Source!AF66*Source!I66, 2)+ROUND(Source!AE66*Source!I66, 2))), 2)</f>
        <v>0</v>
      </c>
      <c r="V235">
        <f>Source!Y66</f>
        <v>0</v>
      </c>
      <c r="W235">
        <f>IF(Source!BI66&lt;=1,H235, 0)</f>
        <v>0</v>
      </c>
      <c r="X235">
        <f>IF(Source!BI66=2,H235, 0)</f>
        <v>0</v>
      </c>
      <c r="Y235">
        <f>IF(Source!BI66=3,H235, 0)</f>
        <v>0</v>
      </c>
      <c r="Z235">
        <f>IF(Source!BI66=4,H235, 0)</f>
        <v>0</v>
      </c>
    </row>
    <row r="236" spans="1:26" ht="15" x14ac:dyDescent="0.25">
      <c r="G236" s="44">
        <f>H227+H228+H230+H231+H232+SUM(H234:H235)</f>
        <v>793.6400000000001</v>
      </c>
      <c r="H236" s="44"/>
      <c r="J236" s="44">
        <f>K227+K228+K230+K231+K232+SUM(K234:K235)</f>
        <v>5478.7099999999991</v>
      </c>
      <c r="K236" s="44"/>
      <c r="L236" s="33">
        <f>Source!U64</f>
        <v>16.375999999999998</v>
      </c>
      <c r="O236" s="19">
        <f>G236</f>
        <v>793.6400000000001</v>
      </c>
      <c r="P236" s="19">
        <f>J236</f>
        <v>5478.7099999999991</v>
      </c>
      <c r="Q236" s="19">
        <f>L236</f>
        <v>16.375999999999998</v>
      </c>
      <c r="W236">
        <f>IF(Source!BI64&lt;=1,H227+H228+H230+H231+H232, 0)</f>
        <v>512.84</v>
      </c>
      <c r="X236">
        <f>IF(Source!BI64=2,H227+H228+H230+H231+H232, 0)</f>
        <v>0</v>
      </c>
      <c r="Y236">
        <f>IF(Source!BI64=3,H227+H228+H230+H231+H232, 0)</f>
        <v>0</v>
      </c>
      <c r="Z236">
        <f>IF(Source!BI64=4,H227+H228+H230+H231+H232, 0)</f>
        <v>0</v>
      </c>
    </row>
    <row r="237" spans="1:26" ht="42.75" x14ac:dyDescent="0.2">
      <c r="A237" s="38" t="str">
        <f>Source!E67</f>
        <v>22</v>
      </c>
      <c r="B237" s="39" t="str">
        <f>Source!F67</f>
        <v>15-06-001-01</v>
      </c>
      <c r="C237" s="39" t="str">
        <f>Source!G67</f>
        <v>Оклейка обоями стен по монолитной штукатурке и бетону простыми и средней плотности</v>
      </c>
      <c r="D237" s="22" t="str">
        <f>Source!H67</f>
        <v>100 м2</v>
      </c>
      <c r="E237" s="10">
        <f>Source!I67</f>
        <v>0.92</v>
      </c>
      <c r="F237" s="23">
        <f>Source!AL67+Source!AM67+Source!AO67</f>
        <v>419.87</v>
      </c>
      <c r="G237" s="24"/>
      <c r="H237" s="23"/>
      <c r="I237" s="24" t="str">
        <f>Source!BO67</f>
        <v/>
      </c>
      <c r="J237" s="24"/>
      <c r="K237" s="23"/>
      <c r="L237" s="25"/>
      <c r="S237">
        <f>ROUND((Source!FX67/100)*((ROUND(Source!AF67*Source!I67, 2)+ROUND(Source!AE67*Source!I67, 2))), 2)</f>
        <v>298.19</v>
      </c>
      <c r="T237">
        <f>Source!X67</f>
        <v>2068.37</v>
      </c>
      <c r="U237">
        <f>ROUND((Source!FY67/100)*((ROUND(Source!AF67*Source!I67, 2)+ROUND(Source!AE67*Source!I67, 2))), 2)</f>
        <v>147.51</v>
      </c>
      <c r="V237">
        <f>Source!Y67</f>
        <v>1023.3</v>
      </c>
    </row>
    <row r="238" spans="1:26" x14ac:dyDescent="0.2">
      <c r="C238" s="18" t="str">
        <f>"Объем: "&amp;Source!I67&amp;"=92/"&amp;"100"</f>
        <v>Объем: 0,92=92/100</v>
      </c>
    </row>
    <row r="239" spans="1:26" ht="14.25" x14ac:dyDescent="0.2">
      <c r="A239" s="38"/>
      <c r="B239" s="39"/>
      <c r="C239" s="39" t="s">
        <v>812</v>
      </c>
      <c r="D239" s="22"/>
      <c r="E239" s="10"/>
      <c r="F239" s="23">
        <f>Source!AO67</f>
        <v>297.95999999999998</v>
      </c>
      <c r="G239" s="24" t="str">
        <f>Source!DG67</f>
        <v>)*1,15</v>
      </c>
      <c r="H239" s="23">
        <f>ROUND(Source!AF67*Source!I67, 2)</f>
        <v>315.24</v>
      </c>
      <c r="I239" s="24"/>
      <c r="J239" s="24">
        <f>IF(Source!BA67&lt;&gt; 0, Source!BA67, 1)</f>
        <v>6.9</v>
      </c>
      <c r="K239" s="23">
        <f>Source!S67</f>
        <v>2175.14</v>
      </c>
      <c r="L239" s="25"/>
      <c r="R239">
        <f>H239</f>
        <v>315.24</v>
      </c>
    </row>
    <row r="240" spans="1:26" ht="14.25" x14ac:dyDescent="0.2">
      <c r="A240" s="38"/>
      <c r="B240" s="39"/>
      <c r="C240" s="39" t="s">
        <v>417</v>
      </c>
      <c r="D240" s="22"/>
      <c r="E240" s="10"/>
      <c r="F240" s="23">
        <f>Source!AM67</f>
        <v>0.97</v>
      </c>
      <c r="G240" s="24" t="str">
        <f>Source!DE67</f>
        <v>)*1,25</v>
      </c>
      <c r="H240" s="23">
        <f>ROUND(Source!AD67*Source!I67, 2)</f>
        <v>1.1200000000000001</v>
      </c>
      <c r="I240" s="24"/>
      <c r="J240" s="24">
        <f>IF(Source!BB67&lt;&gt; 0, Source!BB67, 1)</f>
        <v>6.9</v>
      </c>
      <c r="K240" s="23">
        <f>Source!Q67</f>
        <v>7.74</v>
      </c>
      <c r="L240" s="25"/>
    </row>
    <row r="241" spans="1:26" ht="14.25" x14ac:dyDescent="0.2">
      <c r="A241" s="38"/>
      <c r="B241" s="39"/>
      <c r="C241" s="39" t="s">
        <v>813</v>
      </c>
      <c r="D241" s="22"/>
      <c r="E241" s="10"/>
      <c r="F241" s="23">
        <f>Source!AN67</f>
        <v>0.26</v>
      </c>
      <c r="G241" s="24" t="str">
        <f>Source!DF67</f>
        <v>)*1,25</v>
      </c>
      <c r="H241" s="26">
        <f>ROUND(Source!AE67*Source!I67, 2)</f>
        <v>0.3</v>
      </c>
      <c r="I241" s="24"/>
      <c r="J241" s="24">
        <f>IF(Source!BS67&lt;&gt; 0, Source!BS67, 1)</f>
        <v>6.9</v>
      </c>
      <c r="K241" s="26">
        <f>Source!R67</f>
        <v>2.09</v>
      </c>
      <c r="L241" s="25"/>
      <c r="R241">
        <f>H241</f>
        <v>0.3</v>
      </c>
    </row>
    <row r="242" spans="1:26" ht="14.25" x14ac:dyDescent="0.2">
      <c r="A242" s="38"/>
      <c r="B242" s="39"/>
      <c r="C242" s="39" t="s">
        <v>819</v>
      </c>
      <c r="D242" s="22"/>
      <c r="E242" s="10"/>
      <c r="F242" s="23">
        <f>Source!AL67</f>
        <v>120.94</v>
      </c>
      <c r="G242" s="24" t="str">
        <f>Source!DD67</f>
        <v/>
      </c>
      <c r="H242" s="23">
        <f>ROUND(Source!AC67*Source!I67, 2)</f>
        <v>111.26</v>
      </c>
      <c r="I242" s="24"/>
      <c r="J242" s="24">
        <f>IF(Source!BC67&lt;&gt; 0, Source!BC67, 1)</f>
        <v>6.9</v>
      </c>
      <c r="K242" s="23">
        <f>Source!P67</f>
        <v>767.73</v>
      </c>
      <c r="L242" s="25"/>
    </row>
    <row r="243" spans="1:26" ht="14.25" x14ac:dyDescent="0.2">
      <c r="A243" s="38"/>
      <c r="B243" s="39"/>
      <c r="C243" s="39" t="s">
        <v>814</v>
      </c>
      <c r="D243" s="22" t="s">
        <v>815</v>
      </c>
      <c r="E243" s="10">
        <f>Source!BZ67</f>
        <v>105</v>
      </c>
      <c r="F243" s="45" t="str">
        <f>CONCATENATE(" )", Source!DL67, Source!FT67, "=", Source!FX67)</f>
        <v xml:space="preserve"> )*0,9=94,5</v>
      </c>
      <c r="G243" s="46"/>
      <c r="H243" s="23">
        <f>SUM(S237:S247)</f>
        <v>298.19</v>
      </c>
      <c r="I243" s="27"/>
      <c r="J243" s="21">
        <f>Source!AT67</f>
        <v>95</v>
      </c>
      <c r="K243" s="23">
        <f>SUM(T237:T247)</f>
        <v>2068.37</v>
      </c>
      <c r="L243" s="25"/>
    </row>
    <row r="244" spans="1:26" ht="14.25" x14ac:dyDescent="0.2">
      <c r="A244" s="38"/>
      <c r="B244" s="39"/>
      <c r="C244" s="39" t="s">
        <v>816</v>
      </c>
      <c r="D244" s="22" t="s">
        <v>815</v>
      </c>
      <c r="E244" s="10">
        <f>Source!CA67</f>
        <v>55</v>
      </c>
      <c r="F244" s="45" t="str">
        <f>CONCATENATE(" )", Source!DM67, Source!FU67, "=", Source!FY67)</f>
        <v xml:space="preserve"> )*0,85=46,75</v>
      </c>
      <c r="G244" s="46"/>
      <c r="H244" s="23">
        <f>SUM(U237:U247)</f>
        <v>147.51</v>
      </c>
      <c r="I244" s="27"/>
      <c r="J244" s="21">
        <f>Source!AU67</f>
        <v>47</v>
      </c>
      <c r="K244" s="23">
        <f>SUM(V237:V247)</f>
        <v>1023.3</v>
      </c>
      <c r="L244" s="25"/>
    </row>
    <row r="245" spans="1:26" ht="14.25" x14ac:dyDescent="0.2">
      <c r="A245" s="38"/>
      <c r="B245" s="39"/>
      <c r="C245" s="39" t="s">
        <v>817</v>
      </c>
      <c r="D245" s="22" t="s">
        <v>818</v>
      </c>
      <c r="E245" s="10">
        <f>Source!AQ67</f>
        <v>33.630000000000003</v>
      </c>
      <c r="F245" s="23"/>
      <c r="G245" s="24" t="str">
        <f>Source!DI67</f>
        <v>)*1,15</v>
      </c>
      <c r="H245" s="23"/>
      <c r="I245" s="24"/>
      <c r="J245" s="24"/>
      <c r="K245" s="23"/>
      <c r="L245" s="34">
        <f>Source!U67</f>
        <v>35.580540000000006</v>
      </c>
    </row>
    <row r="246" spans="1:26" ht="28.5" x14ac:dyDescent="0.2">
      <c r="A246" s="38" t="str">
        <f>Source!E68</f>
        <v>22,1</v>
      </c>
      <c r="B246" s="39" t="str">
        <f>Source!F68</f>
        <v>01.6.02.02-0011</v>
      </c>
      <c r="C246" s="39" t="str">
        <f>Source!G68</f>
        <v>Стеклообои VITRULAN, рогожка крупная</v>
      </c>
      <c r="D246" s="22" t="str">
        <f>Source!H68</f>
        <v>10 м2</v>
      </c>
      <c r="E246" s="10">
        <f>Source!I68</f>
        <v>10.396000000000001</v>
      </c>
      <c r="F246" s="23">
        <f>Source!AL68+Source!AM68+Source!AO68</f>
        <v>47.95</v>
      </c>
      <c r="G246" s="35" t="s">
        <v>3</v>
      </c>
      <c r="H246" s="23">
        <f>ROUND(Source!AC68*Source!I68, 2)+ROUND(Source!AD68*Source!I68, 2)+ROUND(Source!AF68*Source!I68, 2)</f>
        <v>498.49</v>
      </c>
      <c r="I246" s="24"/>
      <c r="J246" s="24">
        <f>IF(Source!BC68&lt;&gt; 0, Source!BC68, 1)</f>
        <v>6.9</v>
      </c>
      <c r="K246" s="23">
        <f>Source!O68</f>
        <v>3439.57</v>
      </c>
      <c r="L246" s="25"/>
      <c r="S246">
        <f>ROUND((Source!FX68/100)*((ROUND(Source!AF68*Source!I68, 2)+ROUND(Source!AE68*Source!I68, 2))), 2)</f>
        <v>0</v>
      </c>
      <c r="T246">
        <f>Source!X68</f>
        <v>0</v>
      </c>
      <c r="U246">
        <f>ROUND((Source!FY68/100)*((ROUND(Source!AF68*Source!I68, 2)+ROUND(Source!AE68*Source!I68, 2))), 2)</f>
        <v>0</v>
      </c>
      <c r="V246">
        <f>Source!Y68</f>
        <v>0</v>
      </c>
      <c r="W246">
        <f>IF(Source!BI68&lt;=1,H246, 0)</f>
        <v>498.49</v>
      </c>
      <c r="X246">
        <f>IF(Source!BI68=2,H246, 0)</f>
        <v>0</v>
      </c>
      <c r="Y246">
        <f>IF(Source!BI68=3,H246, 0)</f>
        <v>0</v>
      </c>
      <c r="Z246">
        <f>IF(Source!BI68=4,H246, 0)</f>
        <v>0</v>
      </c>
    </row>
    <row r="247" spans="1:26" ht="14.25" x14ac:dyDescent="0.2">
      <c r="A247" s="40" t="str">
        <f>Source!E69</f>
        <v>22,2</v>
      </c>
      <c r="B247" s="41" t="str">
        <f>Source!F69</f>
        <v>01.6.02.01</v>
      </c>
      <c r="C247" s="41" t="str">
        <f>Source!G69</f>
        <v>Обои</v>
      </c>
      <c r="D247" s="28" t="str">
        <f>Source!H69</f>
        <v>100 м2</v>
      </c>
      <c r="E247" s="29">
        <f>Source!I69</f>
        <v>1.0395999999999999</v>
      </c>
      <c r="F247" s="30">
        <f>Source!AL69+Source!AM69+Source!AO69</f>
        <v>0</v>
      </c>
      <c r="G247" s="36" t="s">
        <v>3</v>
      </c>
      <c r="H247" s="30">
        <f>ROUND(Source!AC69*Source!I69, 2)+ROUND(Source!AD69*Source!I69, 2)+ROUND(Source!AF69*Source!I69, 2)</f>
        <v>0</v>
      </c>
      <c r="I247" s="31"/>
      <c r="J247" s="31">
        <f>IF(Source!BC69&lt;&gt; 0, Source!BC69, 1)</f>
        <v>6.9</v>
      </c>
      <c r="K247" s="30">
        <f>Source!O69</f>
        <v>0</v>
      </c>
      <c r="L247" s="37"/>
      <c r="S247">
        <f>ROUND((Source!FX69/100)*((ROUND(Source!AF69*Source!I69, 2)+ROUND(Source!AE69*Source!I69, 2))), 2)</f>
        <v>0</v>
      </c>
      <c r="T247">
        <f>Source!X69</f>
        <v>0</v>
      </c>
      <c r="U247">
        <f>ROUND((Source!FY69/100)*((ROUND(Source!AF69*Source!I69, 2)+ROUND(Source!AE69*Source!I69, 2))), 2)</f>
        <v>0</v>
      </c>
      <c r="V247">
        <f>Source!Y69</f>
        <v>0</v>
      </c>
      <c r="W247">
        <f>IF(Source!BI69&lt;=1,H247, 0)</f>
        <v>0</v>
      </c>
      <c r="X247">
        <f>IF(Source!BI69=2,H247, 0)</f>
        <v>0</v>
      </c>
      <c r="Y247">
        <f>IF(Source!BI69=3,H247, 0)</f>
        <v>0</v>
      </c>
      <c r="Z247">
        <f>IF(Source!BI69=4,H247, 0)</f>
        <v>0</v>
      </c>
    </row>
    <row r="248" spans="1:26" ht="15" x14ac:dyDescent="0.25">
      <c r="G248" s="44">
        <f>H239+H240+H242+H243+H244+SUM(H246:H247)</f>
        <v>1371.81</v>
      </c>
      <c r="H248" s="44"/>
      <c r="J248" s="44">
        <f>K239+K240+K242+K243+K244+SUM(K246:K247)</f>
        <v>9481.85</v>
      </c>
      <c r="K248" s="44"/>
      <c r="L248" s="33">
        <f>Source!U67</f>
        <v>35.580540000000006</v>
      </c>
      <c r="O248" s="19">
        <f>G248</f>
        <v>1371.81</v>
      </c>
      <c r="P248" s="19">
        <f>J248</f>
        <v>9481.85</v>
      </c>
      <c r="Q248" s="19">
        <f>L248</f>
        <v>35.580540000000006</v>
      </c>
      <c r="W248">
        <f>IF(Source!BI67&lt;=1,H239+H240+H242+H243+H244, 0)</f>
        <v>873.31999999999994</v>
      </c>
      <c r="X248">
        <f>IF(Source!BI67=2,H239+H240+H242+H243+H244, 0)</f>
        <v>0</v>
      </c>
      <c r="Y248">
        <f>IF(Source!BI67=3,H239+H240+H242+H243+H244, 0)</f>
        <v>0</v>
      </c>
      <c r="Z248">
        <f>IF(Source!BI67=4,H239+H240+H242+H243+H244, 0)</f>
        <v>0</v>
      </c>
    </row>
    <row r="249" spans="1:26" ht="57" x14ac:dyDescent="0.2">
      <c r="A249" s="38" t="str">
        <f>Source!E70</f>
        <v>23</v>
      </c>
      <c r="B249" s="39" t="str">
        <f>Source!F70</f>
        <v>15-06-001-04</v>
      </c>
      <c r="C249" s="39" t="str">
        <f>Source!G70</f>
        <v>Оклейка обоями стен по листовым материалам, гипсобетонным и гипсолитовым поверхностям простыми и средней плотности</v>
      </c>
      <c r="D249" s="22" t="str">
        <f>Source!H70</f>
        <v>100 м2</v>
      </c>
      <c r="E249" s="10">
        <f>Source!I70</f>
        <v>0.31080000000000002</v>
      </c>
      <c r="F249" s="23">
        <f>Source!AL70+Source!AM70+Source!AO70</f>
        <v>289.71999999999997</v>
      </c>
      <c r="G249" s="24"/>
      <c r="H249" s="23"/>
      <c r="I249" s="24" t="str">
        <f>Source!BO70</f>
        <v/>
      </c>
      <c r="J249" s="24"/>
      <c r="K249" s="23"/>
      <c r="L249" s="25"/>
      <c r="S249">
        <f>ROUND((Source!FX70/100)*((ROUND(Source!AF70*Source!I70, 2)+ROUND(Source!AE70*Source!I70, 2))), 2)</f>
        <v>82.81</v>
      </c>
      <c r="T249">
        <f>Source!X70</f>
        <v>574.41999999999996</v>
      </c>
      <c r="U249">
        <f>ROUND((Source!FY70/100)*((ROUND(Source!AF70*Source!I70, 2)+ROUND(Source!AE70*Source!I70, 2))), 2)</f>
        <v>40.97</v>
      </c>
      <c r="V249">
        <f>Source!Y70</f>
        <v>284.19</v>
      </c>
    </row>
    <row r="250" spans="1:26" x14ac:dyDescent="0.2">
      <c r="C250" s="18" t="str">
        <f>"Объем: "&amp;Source!I70&amp;"=31,08/"&amp;"100"</f>
        <v>Объем: 0,3108=31,08/100</v>
      </c>
    </row>
    <row r="251" spans="1:26" ht="14.25" x14ac:dyDescent="0.2">
      <c r="A251" s="38"/>
      <c r="B251" s="39"/>
      <c r="C251" s="39" t="s">
        <v>812</v>
      </c>
      <c r="D251" s="22"/>
      <c r="E251" s="10"/>
      <c r="F251" s="23">
        <f>Source!AO70</f>
        <v>244.89</v>
      </c>
      <c r="G251" s="24" t="str">
        <f>Source!DG70</f>
        <v>)*1,15</v>
      </c>
      <c r="H251" s="23">
        <f>ROUND(Source!AF70*Source!I70, 2)</f>
        <v>87.53</v>
      </c>
      <c r="I251" s="24"/>
      <c r="J251" s="24">
        <f>IF(Source!BA70&lt;&gt; 0, Source!BA70, 1)</f>
        <v>6.9</v>
      </c>
      <c r="K251" s="23">
        <f>Source!S70</f>
        <v>603.94000000000005</v>
      </c>
      <c r="L251" s="25"/>
      <c r="R251">
        <f>H251</f>
        <v>87.53</v>
      </c>
    </row>
    <row r="252" spans="1:26" ht="14.25" x14ac:dyDescent="0.2">
      <c r="A252" s="38"/>
      <c r="B252" s="39"/>
      <c r="C252" s="39" t="s">
        <v>417</v>
      </c>
      <c r="D252" s="22"/>
      <c r="E252" s="10"/>
      <c r="F252" s="23">
        <f>Source!AM70</f>
        <v>0.97</v>
      </c>
      <c r="G252" s="24" t="str">
        <f>Source!DE70</f>
        <v>)*1,25</v>
      </c>
      <c r="H252" s="23">
        <f>ROUND(Source!AD70*Source!I70, 2)</f>
        <v>0.38</v>
      </c>
      <c r="I252" s="24"/>
      <c r="J252" s="24">
        <f>IF(Source!BB70&lt;&gt; 0, Source!BB70, 1)</f>
        <v>6.9</v>
      </c>
      <c r="K252" s="23">
        <f>Source!Q70</f>
        <v>2.62</v>
      </c>
      <c r="L252" s="25"/>
    </row>
    <row r="253" spans="1:26" ht="14.25" x14ac:dyDescent="0.2">
      <c r="A253" s="38"/>
      <c r="B253" s="39"/>
      <c r="C253" s="39" t="s">
        <v>813</v>
      </c>
      <c r="D253" s="22"/>
      <c r="E253" s="10"/>
      <c r="F253" s="23">
        <f>Source!AN70</f>
        <v>0.26</v>
      </c>
      <c r="G253" s="24" t="str">
        <f>Source!DF70</f>
        <v>)*1,25</v>
      </c>
      <c r="H253" s="26">
        <f>ROUND(Source!AE70*Source!I70, 2)</f>
        <v>0.1</v>
      </c>
      <c r="I253" s="24"/>
      <c r="J253" s="24">
        <f>IF(Source!BS70&lt;&gt; 0, Source!BS70, 1)</f>
        <v>6.9</v>
      </c>
      <c r="K253" s="26">
        <f>Source!R70</f>
        <v>0.71</v>
      </c>
      <c r="L253" s="25"/>
      <c r="R253">
        <f>H253</f>
        <v>0.1</v>
      </c>
    </row>
    <row r="254" spans="1:26" ht="14.25" x14ac:dyDescent="0.2">
      <c r="A254" s="38"/>
      <c r="B254" s="39"/>
      <c r="C254" s="39" t="s">
        <v>819</v>
      </c>
      <c r="D254" s="22"/>
      <c r="E254" s="10"/>
      <c r="F254" s="23">
        <f>Source!AL70</f>
        <v>43.86</v>
      </c>
      <c r="G254" s="24" t="str">
        <f>Source!DD70</f>
        <v/>
      </c>
      <c r="H254" s="23">
        <f>ROUND(Source!AC70*Source!I70, 2)</f>
        <v>13.63</v>
      </c>
      <c r="I254" s="24"/>
      <c r="J254" s="24">
        <f>IF(Source!BC70&lt;&gt; 0, Source!BC70, 1)</f>
        <v>6.9</v>
      </c>
      <c r="K254" s="23">
        <f>Source!P70</f>
        <v>94.06</v>
      </c>
      <c r="L254" s="25"/>
    </row>
    <row r="255" spans="1:26" ht="14.25" x14ac:dyDescent="0.2">
      <c r="A255" s="38"/>
      <c r="B255" s="39"/>
      <c r="C255" s="39" t="s">
        <v>814</v>
      </c>
      <c r="D255" s="22" t="s">
        <v>815</v>
      </c>
      <c r="E255" s="10">
        <f>Source!BZ70</f>
        <v>105</v>
      </c>
      <c r="F255" s="45" t="str">
        <f>CONCATENATE(" )", Source!DL70, Source!FT70, "=", Source!FX70)</f>
        <v xml:space="preserve"> )*0,9=94,5</v>
      </c>
      <c r="G255" s="46"/>
      <c r="H255" s="23">
        <f>SUM(S249:S259)</f>
        <v>82.81</v>
      </c>
      <c r="I255" s="27"/>
      <c r="J255" s="21">
        <f>Source!AT70</f>
        <v>95</v>
      </c>
      <c r="K255" s="23">
        <f>SUM(T249:T259)</f>
        <v>574.41999999999996</v>
      </c>
      <c r="L255" s="25"/>
    </row>
    <row r="256" spans="1:26" ht="14.25" x14ac:dyDescent="0.2">
      <c r="A256" s="38"/>
      <c r="B256" s="39"/>
      <c r="C256" s="39" t="s">
        <v>816</v>
      </c>
      <c r="D256" s="22" t="s">
        <v>815</v>
      </c>
      <c r="E256" s="10">
        <f>Source!CA70</f>
        <v>55</v>
      </c>
      <c r="F256" s="45" t="str">
        <f>CONCATENATE(" )", Source!DM70, Source!FU70, "=", Source!FY70)</f>
        <v xml:space="preserve"> )*0,85=46,75</v>
      </c>
      <c r="G256" s="46"/>
      <c r="H256" s="23">
        <f>SUM(U249:U259)</f>
        <v>40.97</v>
      </c>
      <c r="I256" s="27"/>
      <c r="J256" s="21">
        <f>Source!AU70</f>
        <v>47</v>
      </c>
      <c r="K256" s="23">
        <f>SUM(V249:V259)</f>
        <v>284.19</v>
      </c>
      <c r="L256" s="25"/>
    </row>
    <row r="257" spans="1:26" ht="14.25" x14ac:dyDescent="0.2">
      <c r="A257" s="38"/>
      <c r="B257" s="39"/>
      <c r="C257" s="39" t="s">
        <v>817</v>
      </c>
      <c r="D257" s="22" t="s">
        <v>818</v>
      </c>
      <c r="E257" s="10">
        <f>Source!AQ70</f>
        <v>27.64</v>
      </c>
      <c r="F257" s="23"/>
      <c r="G257" s="24" t="str">
        <f>Source!DI70</f>
        <v>)*1,15</v>
      </c>
      <c r="H257" s="23"/>
      <c r="I257" s="24"/>
      <c r="J257" s="24"/>
      <c r="K257" s="23"/>
      <c r="L257" s="34">
        <f>Source!U70</f>
        <v>9.8790887999999999</v>
      </c>
    </row>
    <row r="258" spans="1:26" ht="28.5" x14ac:dyDescent="0.2">
      <c r="A258" s="38" t="str">
        <f>Source!E71</f>
        <v>23,1</v>
      </c>
      <c r="B258" s="39" t="str">
        <f>Source!F71</f>
        <v>01.6.02.02-0011</v>
      </c>
      <c r="C258" s="39" t="str">
        <f>Source!G71</f>
        <v>Стеклообои VITRULAN, рогожка крупная</v>
      </c>
      <c r="D258" s="22" t="str">
        <f>Source!H71</f>
        <v>10 м2</v>
      </c>
      <c r="E258" s="10">
        <f>Source!I71</f>
        <v>3.5120399999999998</v>
      </c>
      <c r="F258" s="23">
        <f>Source!AL71+Source!AM71+Source!AO71</f>
        <v>47.95</v>
      </c>
      <c r="G258" s="35" t="s">
        <v>3</v>
      </c>
      <c r="H258" s="23">
        <f>ROUND(Source!AC71*Source!I71, 2)+ROUND(Source!AD71*Source!I71, 2)+ROUND(Source!AF71*Source!I71, 2)</f>
        <v>168.4</v>
      </c>
      <c r="I258" s="24"/>
      <c r="J258" s="24">
        <f>IF(Source!BC71&lt;&gt; 0, Source!BC71, 1)</f>
        <v>6.9</v>
      </c>
      <c r="K258" s="23">
        <f>Source!O71</f>
        <v>1161.98</v>
      </c>
      <c r="L258" s="25"/>
      <c r="S258">
        <f>ROUND((Source!FX71/100)*((ROUND(Source!AF71*Source!I71, 2)+ROUND(Source!AE71*Source!I71, 2))), 2)</f>
        <v>0</v>
      </c>
      <c r="T258">
        <f>Source!X71</f>
        <v>0</v>
      </c>
      <c r="U258">
        <f>ROUND((Source!FY71/100)*((ROUND(Source!AF71*Source!I71, 2)+ROUND(Source!AE71*Source!I71, 2))), 2)</f>
        <v>0</v>
      </c>
      <c r="V258">
        <f>Source!Y71</f>
        <v>0</v>
      </c>
      <c r="W258">
        <f>IF(Source!BI71&lt;=1,H258, 0)</f>
        <v>168.4</v>
      </c>
      <c r="X258">
        <f>IF(Source!BI71=2,H258, 0)</f>
        <v>0</v>
      </c>
      <c r="Y258">
        <f>IF(Source!BI71=3,H258, 0)</f>
        <v>0</v>
      </c>
      <c r="Z258">
        <f>IF(Source!BI71=4,H258, 0)</f>
        <v>0</v>
      </c>
    </row>
    <row r="259" spans="1:26" ht="14.25" x14ac:dyDescent="0.2">
      <c r="A259" s="40" t="str">
        <f>Source!E72</f>
        <v>23,2</v>
      </c>
      <c r="B259" s="41" t="str">
        <f>Source!F72</f>
        <v>01.6.02.01</v>
      </c>
      <c r="C259" s="41" t="str">
        <f>Source!G72</f>
        <v>Обои</v>
      </c>
      <c r="D259" s="28" t="str">
        <f>Source!H72</f>
        <v>100 м2</v>
      </c>
      <c r="E259" s="29">
        <f>Source!I72</f>
        <v>0.35120400000000002</v>
      </c>
      <c r="F259" s="30">
        <f>Source!AL72+Source!AM72+Source!AO72</f>
        <v>0</v>
      </c>
      <c r="G259" s="36" t="s">
        <v>3</v>
      </c>
      <c r="H259" s="30">
        <f>ROUND(Source!AC72*Source!I72, 2)+ROUND(Source!AD72*Source!I72, 2)+ROUND(Source!AF72*Source!I72, 2)</f>
        <v>0</v>
      </c>
      <c r="I259" s="31"/>
      <c r="J259" s="31">
        <f>IF(Source!BC72&lt;&gt; 0, Source!BC72, 1)</f>
        <v>6.9</v>
      </c>
      <c r="K259" s="30">
        <f>Source!O72</f>
        <v>0</v>
      </c>
      <c r="L259" s="37"/>
      <c r="S259">
        <f>ROUND((Source!FX72/100)*((ROUND(Source!AF72*Source!I72, 2)+ROUND(Source!AE72*Source!I72, 2))), 2)</f>
        <v>0</v>
      </c>
      <c r="T259">
        <f>Source!X72</f>
        <v>0</v>
      </c>
      <c r="U259">
        <f>ROUND((Source!FY72/100)*((ROUND(Source!AF72*Source!I72, 2)+ROUND(Source!AE72*Source!I72, 2))), 2)</f>
        <v>0</v>
      </c>
      <c r="V259">
        <f>Source!Y72</f>
        <v>0</v>
      </c>
      <c r="W259">
        <f>IF(Source!BI72&lt;=1,H259, 0)</f>
        <v>0</v>
      </c>
      <c r="X259">
        <f>IF(Source!BI72=2,H259, 0)</f>
        <v>0</v>
      </c>
      <c r="Y259">
        <f>IF(Source!BI72=3,H259, 0)</f>
        <v>0</v>
      </c>
      <c r="Z259">
        <f>IF(Source!BI72=4,H259, 0)</f>
        <v>0</v>
      </c>
    </row>
    <row r="260" spans="1:26" ht="15" x14ac:dyDescent="0.25">
      <c r="G260" s="44">
        <f>H251+H252+H254+H255+H256+SUM(H258:H259)</f>
        <v>393.72</v>
      </c>
      <c r="H260" s="44"/>
      <c r="J260" s="44">
        <f>K251+K252+K254+K255+K256+SUM(K258:K259)</f>
        <v>2721.21</v>
      </c>
      <c r="K260" s="44"/>
      <c r="L260" s="33">
        <f>Source!U70</f>
        <v>9.8790887999999999</v>
      </c>
      <c r="O260" s="19">
        <f>G260</f>
        <v>393.72</v>
      </c>
      <c r="P260" s="19">
        <f>J260</f>
        <v>2721.21</v>
      </c>
      <c r="Q260" s="19">
        <f>L260</f>
        <v>9.8790887999999999</v>
      </c>
      <c r="W260">
        <f>IF(Source!BI70&lt;=1,H251+H252+H254+H255+H256, 0)</f>
        <v>225.32</v>
      </c>
      <c r="X260">
        <f>IF(Source!BI70=2,H251+H252+H254+H255+H256, 0)</f>
        <v>0</v>
      </c>
      <c r="Y260">
        <f>IF(Source!BI70=3,H251+H252+H254+H255+H256, 0)</f>
        <v>0</v>
      </c>
      <c r="Z260">
        <f>IF(Source!BI70=4,H251+H252+H254+H255+H256, 0)</f>
        <v>0</v>
      </c>
    </row>
    <row r="261" spans="1:26" ht="71.25" x14ac:dyDescent="0.2">
      <c r="A261" s="38" t="str">
        <f>Source!E73</f>
        <v>24</v>
      </c>
      <c r="B261" s="39" t="str">
        <f>Source!F73</f>
        <v>15-04-007-03</v>
      </c>
      <c r="C261" s="39" t="str">
        <f>Source!G73</f>
        <v>Окраска водно-дисперсионными акриловыми составами улучшенная по сборным конструкциям стен, подготовленным под окраску (по обоям)</v>
      </c>
      <c r="D261" s="22" t="str">
        <f>Source!H73</f>
        <v>100 м2</v>
      </c>
      <c r="E261" s="10">
        <f>Source!I73</f>
        <v>1.2307999999999999</v>
      </c>
      <c r="F261" s="23">
        <f>Source!AL73+Source!AM73+Source!AO73</f>
        <v>415.14</v>
      </c>
      <c r="G261" s="24"/>
      <c r="H261" s="23"/>
      <c r="I261" s="24" t="str">
        <f>Source!BO73</f>
        <v/>
      </c>
      <c r="J261" s="24"/>
      <c r="K261" s="23"/>
      <c r="L261" s="25"/>
      <c r="S261">
        <f>ROUND((Source!FX73/100)*((ROUND(Source!AF73*Source!I73, 2)+ROUND(Source!AE73*Source!I73, 2))), 2)</f>
        <v>389.75</v>
      </c>
      <c r="T261">
        <f>Source!X73</f>
        <v>2703.47</v>
      </c>
      <c r="U261">
        <f>ROUND((Source!FY73/100)*((ROUND(Source!AF73*Source!I73, 2)+ROUND(Source!AE73*Source!I73, 2))), 2)</f>
        <v>192.81</v>
      </c>
      <c r="V261">
        <f>Source!Y73</f>
        <v>1337.51</v>
      </c>
    </row>
    <row r="262" spans="1:26" x14ac:dyDescent="0.2">
      <c r="C262" s="18" t="str">
        <f>"Объем: "&amp;Source!I73&amp;"=123,08/"&amp;"100"</f>
        <v>Объем: 1,2308=123,08/100</v>
      </c>
    </row>
    <row r="263" spans="1:26" ht="14.25" x14ac:dyDescent="0.2">
      <c r="A263" s="38"/>
      <c r="B263" s="39"/>
      <c r="C263" s="39" t="s">
        <v>812</v>
      </c>
      <c r="D263" s="22"/>
      <c r="E263" s="10"/>
      <c r="F263" s="23">
        <f>Source!AO73</f>
        <v>289.99</v>
      </c>
      <c r="G263" s="24" t="str">
        <f>Source!DG73</f>
        <v>)*1,15</v>
      </c>
      <c r="H263" s="23">
        <f>ROUND(Source!AF73*Source!I73, 2)</f>
        <v>410.46</v>
      </c>
      <c r="I263" s="24"/>
      <c r="J263" s="24">
        <f>IF(Source!BA73&lt;&gt; 0, Source!BA73, 1)</f>
        <v>6.9</v>
      </c>
      <c r="K263" s="23">
        <f>Source!S73</f>
        <v>2832.17</v>
      </c>
      <c r="L263" s="25"/>
      <c r="R263">
        <f>H263</f>
        <v>410.46</v>
      </c>
    </row>
    <row r="264" spans="1:26" ht="14.25" x14ac:dyDescent="0.2">
      <c r="A264" s="38"/>
      <c r="B264" s="39"/>
      <c r="C264" s="39" t="s">
        <v>417</v>
      </c>
      <c r="D264" s="22"/>
      <c r="E264" s="10"/>
      <c r="F264" s="23">
        <f>Source!AM73</f>
        <v>6.85</v>
      </c>
      <c r="G264" s="24" t="str">
        <f>Source!DE73</f>
        <v>)*1,25</v>
      </c>
      <c r="H264" s="23">
        <f>ROUND(Source!AD73*Source!I73, 2)</f>
        <v>10.54</v>
      </c>
      <c r="I264" s="24"/>
      <c r="J264" s="24">
        <f>IF(Source!BB73&lt;&gt; 0, Source!BB73, 1)</f>
        <v>6.9</v>
      </c>
      <c r="K264" s="23">
        <f>Source!Q73</f>
        <v>72.7</v>
      </c>
      <c r="L264" s="25"/>
    </row>
    <row r="265" spans="1:26" ht="14.25" x14ac:dyDescent="0.2">
      <c r="A265" s="38"/>
      <c r="B265" s="39"/>
      <c r="C265" s="39" t="s">
        <v>813</v>
      </c>
      <c r="D265" s="22"/>
      <c r="E265" s="10"/>
      <c r="F265" s="23">
        <f>Source!AN73</f>
        <v>1.28</v>
      </c>
      <c r="G265" s="24" t="str">
        <f>Source!DF73</f>
        <v>)*1,25</v>
      </c>
      <c r="H265" s="26">
        <f>ROUND(Source!AE73*Source!I73, 2)</f>
        <v>1.97</v>
      </c>
      <c r="I265" s="24"/>
      <c r="J265" s="24">
        <f>IF(Source!BS73&lt;&gt; 0, Source!BS73, 1)</f>
        <v>6.9</v>
      </c>
      <c r="K265" s="26">
        <f>Source!R73</f>
        <v>13.59</v>
      </c>
      <c r="L265" s="25"/>
      <c r="R265">
        <f>H265</f>
        <v>1.97</v>
      </c>
    </row>
    <row r="266" spans="1:26" ht="14.25" x14ac:dyDescent="0.2">
      <c r="A266" s="38"/>
      <c r="B266" s="39"/>
      <c r="C266" s="39" t="s">
        <v>819</v>
      </c>
      <c r="D266" s="22"/>
      <c r="E266" s="10"/>
      <c r="F266" s="23">
        <f>Source!AL73</f>
        <v>118.3</v>
      </c>
      <c r="G266" s="24" t="str">
        <f>Source!DD73</f>
        <v/>
      </c>
      <c r="H266" s="23">
        <f>ROUND(Source!AC73*Source!I73, 2)</f>
        <v>145.6</v>
      </c>
      <c r="I266" s="24"/>
      <c r="J266" s="24">
        <f>IF(Source!BC73&lt;&gt; 0, Source!BC73, 1)</f>
        <v>6.9</v>
      </c>
      <c r="K266" s="23">
        <f>Source!P73</f>
        <v>1004.67</v>
      </c>
      <c r="L266" s="25"/>
    </row>
    <row r="267" spans="1:26" ht="14.25" x14ac:dyDescent="0.2">
      <c r="A267" s="38"/>
      <c r="B267" s="39"/>
      <c r="C267" s="39" t="s">
        <v>814</v>
      </c>
      <c r="D267" s="22" t="s">
        <v>815</v>
      </c>
      <c r="E267" s="10">
        <f>Source!BZ73</f>
        <v>105</v>
      </c>
      <c r="F267" s="45" t="str">
        <f>CONCATENATE(" )", Source!DL73, Source!FT73, "=", Source!FX73)</f>
        <v xml:space="preserve"> )*0,9=94,5</v>
      </c>
      <c r="G267" s="46"/>
      <c r="H267" s="23">
        <f>SUM(S261:S273)</f>
        <v>389.75</v>
      </c>
      <c r="I267" s="27"/>
      <c r="J267" s="21">
        <f>Source!AT73</f>
        <v>95</v>
      </c>
      <c r="K267" s="23">
        <f>SUM(T261:T273)</f>
        <v>2703.47</v>
      </c>
      <c r="L267" s="25"/>
    </row>
    <row r="268" spans="1:26" ht="14.25" x14ac:dyDescent="0.2">
      <c r="A268" s="38"/>
      <c r="B268" s="39"/>
      <c r="C268" s="39" t="s">
        <v>816</v>
      </c>
      <c r="D268" s="22" t="s">
        <v>815</v>
      </c>
      <c r="E268" s="10">
        <f>Source!CA73</f>
        <v>55</v>
      </c>
      <c r="F268" s="45" t="str">
        <f>CONCATENATE(" )", Source!DM73, Source!FU73, "=", Source!FY73)</f>
        <v xml:space="preserve"> )*0,85=46,75</v>
      </c>
      <c r="G268" s="46"/>
      <c r="H268" s="23">
        <f>SUM(U261:U273)</f>
        <v>192.81</v>
      </c>
      <c r="I268" s="27"/>
      <c r="J268" s="21">
        <f>Source!AU73</f>
        <v>47</v>
      </c>
      <c r="K268" s="23">
        <f>SUM(V261:V273)</f>
        <v>1337.51</v>
      </c>
      <c r="L268" s="25"/>
    </row>
    <row r="269" spans="1:26" ht="14.25" x14ac:dyDescent="0.2">
      <c r="A269" s="38"/>
      <c r="B269" s="39"/>
      <c r="C269" s="39" t="s">
        <v>817</v>
      </c>
      <c r="D269" s="22" t="s">
        <v>818</v>
      </c>
      <c r="E269" s="10">
        <f>Source!AQ73</f>
        <v>32.729999999999997</v>
      </c>
      <c r="F269" s="23"/>
      <c r="G269" s="24" t="str">
        <f>Source!DI73</f>
        <v>)*1,15</v>
      </c>
      <c r="H269" s="23"/>
      <c r="I269" s="24"/>
      <c r="J269" s="24"/>
      <c r="K269" s="23"/>
      <c r="L269" s="34">
        <f>Source!U73</f>
        <v>46.326696599999984</v>
      </c>
    </row>
    <row r="270" spans="1:26" ht="14.25" x14ac:dyDescent="0.2">
      <c r="A270" s="38" t="str">
        <f>Source!E74</f>
        <v>24,1</v>
      </c>
      <c r="B270" s="39" t="str">
        <f>Source!F74</f>
        <v>14.3.02.01-0005</v>
      </c>
      <c r="C270" s="39" t="str">
        <f>Source!G74</f>
        <v>Краска LUJA, ТИККУРИЛА</v>
      </c>
      <c r="D270" s="22" t="str">
        <f>Source!H74</f>
        <v>л</v>
      </c>
      <c r="E270" s="10">
        <f>Source!I74</f>
        <v>36.923999999999999</v>
      </c>
      <c r="F270" s="23">
        <f>Source!AL74+Source!AM74+Source!AO74</f>
        <v>85.77</v>
      </c>
      <c r="G270" s="35" t="s">
        <v>3</v>
      </c>
      <c r="H270" s="23">
        <f>ROUND(Source!AC74*Source!I74, 2)+ROUND(Source!AD74*Source!I74, 2)+ROUND(Source!AF74*Source!I74, 2)</f>
        <v>3166.97</v>
      </c>
      <c r="I270" s="24"/>
      <c r="J270" s="24">
        <f>IF(Source!BC74&lt;&gt; 0, Source!BC74, 1)</f>
        <v>6.9</v>
      </c>
      <c r="K270" s="23">
        <f>Source!O74</f>
        <v>21852.1</v>
      </c>
      <c r="L270" s="25"/>
      <c r="S270">
        <f>ROUND((Source!FX74/100)*((ROUND(Source!AF74*Source!I74, 2)+ROUND(Source!AE74*Source!I74, 2))), 2)</f>
        <v>0</v>
      </c>
      <c r="T270">
        <f>Source!X74</f>
        <v>0</v>
      </c>
      <c r="U270">
        <f>ROUND((Source!FY74/100)*((ROUND(Source!AF74*Source!I74, 2)+ROUND(Source!AE74*Source!I74, 2))), 2)</f>
        <v>0</v>
      </c>
      <c r="V270">
        <f>Source!Y74</f>
        <v>0</v>
      </c>
      <c r="W270">
        <f>IF(Source!BI74&lt;=1,H270, 0)</f>
        <v>3166.97</v>
      </c>
      <c r="X270">
        <f>IF(Source!BI74=2,H270, 0)</f>
        <v>0</v>
      </c>
      <c r="Y270">
        <f>IF(Source!BI74=3,H270, 0)</f>
        <v>0</v>
      </c>
      <c r="Z270">
        <f>IF(Source!BI74=4,H270, 0)</f>
        <v>0</v>
      </c>
    </row>
    <row r="271" spans="1:26" ht="14.25" x14ac:dyDescent="0.2">
      <c r="A271" s="38" t="str">
        <f>Source!E75</f>
        <v>24,2</v>
      </c>
      <c r="B271" s="39" t="str">
        <f>Source!F75</f>
        <v>14.4.01.02-0113</v>
      </c>
      <c r="C271" s="39" t="str">
        <f>Source!G75</f>
        <v>Грунтовка акриловая НОРТЕКС-ГРУНТ</v>
      </c>
      <c r="D271" s="22" t="str">
        <f>Source!H75</f>
        <v>кг</v>
      </c>
      <c r="E271" s="10">
        <f>Source!I75</f>
        <v>24.616</v>
      </c>
      <c r="F271" s="23">
        <f>Source!AL75+Source!AM75+Source!AO75</f>
        <v>15.25</v>
      </c>
      <c r="G271" s="35" t="s">
        <v>3</v>
      </c>
      <c r="H271" s="23">
        <f>ROUND(Source!AC75*Source!I75, 2)+ROUND(Source!AD75*Source!I75, 2)+ROUND(Source!AF75*Source!I75, 2)</f>
        <v>375.39</v>
      </c>
      <c r="I271" s="24"/>
      <c r="J271" s="24">
        <f>IF(Source!BC75&lt;&gt; 0, Source!BC75, 1)</f>
        <v>6.9</v>
      </c>
      <c r="K271" s="23">
        <f>Source!O75</f>
        <v>2590.2199999999998</v>
      </c>
      <c r="L271" s="25"/>
      <c r="S271">
        <f>ROUND((Source!FX75/100)*((ROUND(Source!AF75*Source!I75, 2)+ROUND(Source!AE75*Source!I75, 2))), 2)</f>
        <v>0</v>
      </c>
      <c r="T271">
        <f>Source!X75</f>
        <v>0</v>
      </c>
      <c r="U271">
        <f>ROUND((Source!FY75/100)*((ROUND(Source!AF75*Source!I75, 2)+ROUND(Source!AE75*Source!I75, 2))), 2)</f>
        <v>0</v>
      </c>
      <c r="V271">
        <f>Source!Y75</f>
        <v>0</v>
      </c>
      <c r="W271">
        <f>IF(Source!BI75&lt;=1,H271, 0)</f>
        <v>375.39</v>
      </c>
      <c r="X271">
        <f>IF(Source!BI75=2,H271, 0)</f>
        <v>0</v>
      </c>
      <c r="Y271">
        <f>IF(Source!BI75=3,H271, 0)</f>
        <v>0</v>
      </c>
      <c r="Z271">
        <f>IF(Source!BI75=4,H271, 0)</f>
        <v>0</v>
      </c>
    </row>
    <row r="272" spans="1:26" ht="14.25" x14ac:dyDescent="0.2">
      <c r="A272" s="38" t="str">
        <f>Source!E76</f>
        <v>24,3</v>
      </c>
      <c r="B272" s="39" t="str">
        <f>Source!F76</f>
        <v>14.3.02.01</v>
      </c>
      <c r="C272" s="39" t="str">
        <f>Source!G76</f>
        <v>Краска акриловая</v>
      </c>
      <c r="D272" s="22" t="str">
        <f>Source!H76</f>
        <v>т</v>
      </c>
      <c r="E272" s="10">
        <f>Source!I76</f>
        <v>3.6923999999999998E-2</v>
      </c>
      <c r="F272" s="23">
        <f>Source!AL76+Source!AM76+Source!AO76</f>
        <v>0</v>
      </c>
      <c r="G272" s="35" t="s">
        <v>3</v>
      </c>
      <c r="H272" s="23">
        <f>ROUND(Source!AC76*Source!I76, 2)+ROUND(Source!AD76*Source!I76, 2)+ROUND(Source!AF76*Source!I76, 2)</f>
        <v>0</v>
      </c>
      <c r="I272" s="24"/>
      <c r="J272" s="24">
        <f>IF(Source!BC76&lt;&gt; 0, Source!BC76, 1)</f>
        <v>6.9</v>
      </c>
      <c r="K272" s="23">
        <f>Source!O76</f>
        <v>0</v>
      </c>
      <c r="L272" s="25"/>
      <c r="S272">
        <f>ROUND((Source!FX76/100)*((ROUND(Source!AF76*Source!I76, 2)+ROUND(Source!AE76*Source!I76, 2))), 2)</f>
        <v>0</v>
      </c>
      <c r="T272">
        <f>Source!X76</f>
        <v>0</v>
      </c>
      <c r="U272">
        <f>ROUND((Source!FY76/100)*((ROUND(Source!AF76*Source!I76, 2)+ROUND(Source!AE76*Source!I76, 2))), 2)</f>
        <v>0</v>
      </c>
      <c r="V272">
        <f>Source!Y76</f>
        <v>0</v>
      </c>
      <c r="W272">
        <f>IF(Source!BI76&lt;=1,H272, 0)</f>
        <v>0</v>
      </c>
      <c r="X272">
        <f>IF(Source!BI76=2,H272, 0)</f>
        <v>0</v>
      </c>
      <c r="Y272">
        <f>IF(Source!BI76=3,H272, 0)</f>
        <v>0</v>
      </c>
      <c r="Z272">
        <f>IF(Source!BI76=4,H272, 0)</f>
        <v>0</v>
      </c>
    </row>
    <row r="273" spans="1:26" ht="14.25" x14ac:dyDescent="0.2">
      <c r="A273" s="40" t="str">
        <f>Source!E77</f>
        <v>24,4</v>
      </c>
      <c r="B273" s="41" t="str">
        <f>Source!F77</f>
        <v>14.4.01.21</v>
      </c>
      <c r="C273" s="41" t="str">
        <f>Source!G77</f>
        <v>Грунтовка</v>
      </c>
      <c r="D273" s="28" t="str">
        <f>Source!H77</f>
        <v>т</v>
      </c>
      <c r="E273" s="29">
        <f>Source!I77</f>
        <v>2.4615999999999999E-2</v>
      </c>
      <c r="F273" s="30">
        <f>Source!AL77+Source!AM77+Source!AO77</f>
        <v>0</v>
      </c>
      <c r="G273" s="36" t="s">
        <v>3</v>
      </c>
      <c r="H273" s="30">
        <f>ROUND(Source!AC77*Source!I77, 2)+ROUND(Source!AD77*Source!I77, 2)+ROUND(Source!AF77*Source!I77, 2)</f>
        <v>0</v>
      </c>
      <c r="I273" s="31"/>
      <c r="J273" s="31">
        <f>IF(Source!BC77&lt;&gt; 0, Source!BC77, 1)</f>
        <v>6.9</v>
      </c>
      <c r="K273" s="30">
        <f>Source!O77</f>
        <v>0</v>
      </c>
      <c r="L273" s="37"/>
      <c r="S273">
        <f>ROUND((Source!FX77/100)*((ROUND(Source!AF77*Source!I77, 2)+ROUND(Source!AE77*Source!I77, 2))), 2)</f>
        <v>0</v>
      </c>
      <c r="T273">
        <f>Source!X77</f>
        <v>0</v>
      </c>
      <c r="U273">
        <f>ROUND((Source!FY77/100)*((ROUND(Source!AF77*Source!I77, 2)+ROUND(Source!AE77*Source!I77, 2))), 2)</f>
        <v>0</v>
      </c>
      <c r="V273">
        <f>Source!Y77</f>
        <v>0</v>
      </c>
      <c r="W273">
        <f>IF(Source!BI77&lt;=1,H273, 0)</f>
        <v>0</v>
      </c>
      <c r="X273">
        <f>IF(Source!BI77=2,H273, 0)</f>
        <v>0</v>
      </c>
      <c r="Y273">
        <f>IF(Source!BI77=3,H273, 0)</f>
        <v>0</v>
      </c>
      <c r="Z273">
        <f>IF(Source!BI77=4,H273, 0)</f>
        <v>0</v>
      </c>
    </row>
    <row r="274" spans="1:26" ht="15" x14ac:dyDescent="0.25">
      <c r="G274" s="44">
        <f>H263+H264+H266+H267+H268+SUM(H270:H273)</f>
        <v>4691.5199999999995</v>
      </c>
      <c r="H274" s="44"/>
      <c r="J274" s="44">
        <f>K263+K264+K266+K267+K268+SUM(K270:K273)</f>
        <v>32392.84</v>
      </c>
      <c r="K274" s="44"/>
      <c r="L274" s="33">
        <f>Source!U73</f>
        <v>46.326696599999984</v>
      </c>
      <c r="O274" s="19">
        <f>G274</f>
        <v>4691.5199999999995</v>
      </c>
      <c r="P274" s="19">
        <f>J274</f>
        <v>32392.84</v>
      </c>
      <c r="Q274" s="19">
        <f>L274</f>
        <v>46.326696599999984</v>
      </c>
      <c r="W274">
        <f>IF(Source!BI73&lt;=1,H263+H264+H266+H267+H268, 0)</f>
        <v>1149.1600000000001</v>
      </c>
      <c r="X274">
        <f>IF(Source!BI73=2,H263+H264+H266+H267+H268, 0)</f>
        <v>0</v>
      </c>
      <c r="Y274">
        <f>IF(Source!BI73=3,H263+H264+H266+H267+H268, 0)</f>
        <v>0</v>
      </c>
      <c r="Z274">
        <f>IF(Source!BI73=4,H263+H264+H266+H267+H268, 0)</f>
        <v>0</v>
      </c>
    </row>
    <row r="275" spans="1:26" ht="28.5" x14ac:dyDescent="0.2">
      <c r="A275" s="38" t="str">
        <f>Source!E78</f>
        <v>25</v>
      </c>
      <c r="B275" s="39" t="str">
        <f>Source!F78</f>
        <v>15-06-004-01</v>
      </c>
      <c r="C275" s="39" t="str">
        <f>Source!G78</f>
        <v>Вторая окраска стен, оклееных стеклообоями, красками</v>
      </c>
      <c r="D275" s="22" t="str">
        <f>Source!H78</f>
        <v>100 м2</v>
      </c>
      <c r="E275" s="10">
        <f>Source!I78</f>
        <v>1.2307999999999999</v>
      </c>
      <c r="F275" s="23">
        <f>Source!AL78+Source!AM78+Source!AO78</f>
        <v>80.62</v>
      </c>
      <c r="G275" s="24"/>
      <c r="H275" s="23"/>
      <c r="I275" s="24" t="str">
        <f>Source!BO78</f>
        <v/>
      </c>
      <c r="J275" s="24"/>
      <c r="K275" s="23"/>
      <c r="L275" s="25"/>
      <c r="S275">
        <f>ROUND((Source!FX78/100)*((ROUND(Source!AF78*Source!I78, 2)+ROUND(Source!AE78*Source!I78, 2))), 2)</f>
        <v>107.83</v>
      </c>
      <c r="T275">
        <f>Source!X78</f>
        <v>747.97</v>
      </c>
      <c r="U275">
        <f>ROUND((Source!FY78/100)*((ROUND(Source!AF78*Source!I78, 2)+ROUND(Source!AE78*Source!I78, 2))), 2)</f>
        <v>53.35</v>
      </c>
      <c r="V275">
        <f>Source!Y78</f>
        <v>370.05</v>
      </c>
    </row>
    <row r="276" spans="1:26" x14ac:dyDescent="0.2">
      <c r="C276" s="18" t="str">
        <f>"Объем: "&amp;Source!I78&amp;"=123,08/"&amp;"100"</f>
        <v>Объем: 1,2308=123,08/100</v>
      </c>
    </row>
    <row r="277" spans="1:26" ht="14.25" x14ac:dyDescent="0.2">
      <c r="A277" s="38"/>
      <c r="B277" s="39"/>
      <c r="C277" s="39" t="s">
        <v>812</v>
      </c>
      <c r="D277" s="22"/>
      <c r="E277" s="10"/>
      <c r="F277" s="23">
        <f>Source!AO78</f>
        <v>80.62</v>
      </c>
      <c r="G277" s="24" t="str">
        <f>Source!DG78</f>
        <v>)*1,15</v>
      </c>
      <c r="H277" s="23">
        <f>ROUND(Source!AF78*Source!I78, 2)</f>
        <v>114.11</v>
      </c>
      <c r="I277" s="24"/>
      <c r="J277" s="24">
        <f>IF(Source!BA78&lt;&gt; 0, Source!BA78, 1)</f>
        <v>6.9</v>
      </c>
      <c r="K277" s="23">
        <f>Source!S78</f>
        <v>787.34</v>
      </c>
      <c r="L277" s="25"/>
      <c r="R277">
        <f>H277</f>
        <v>114.11</v>
      </c>
    </row>
    <row r="278" spans="1:26" ht="14.25" x14ac:dyDescent="0.2">
      <c r="A278" s="38"/>
      <c r="B278" s="39"/>
      <c r="C278" s="39" t="s">
        <v>814</v>
      </c>
      <c r="D278" s="22" t="s">
        <v>815</v>
      </c>
      <c r="E278" s="10">
        <f>Source!BZ78</f>
        <v>105</v>
      </c>
      <c r="F278" s="45" t="str">
        <f>CONCATENATE(" )", Source!DL78, Source!FT78, "=", Source!FX78)</f>
        <v xml:space="preserve"> )*0,9=94,5</v>
      </c>
      <c r="G278" s="46"/>
      <c r="H278" s="23">
        <f>SUM(S275:S282)</f>
        <v>107.83</v>
      </c>
      <c r="I278" s="27"/>
      <c r="J278" s="21">
        <f>Source!AT78</f>
        <v>95</v>
      </c>
      <c r="K278" s="23">
        <f>SUM(T275:T282)</f>
        <v>747.97</v>
      </c>
      <c r="L278" s="25"/>
    </row>
    <row r="279" spans="1:26" ht="14.25" x14ac:dyDescent="0.2">
      <c r="A279" s="38"/>
      <c r="B279" s="39"/>
      <c r="C279" s="39" t="s">
        <v>816</v>
      </c>
      <c r="D279" s="22" t="s">
        <v>815</v>
      </c>
      <c r="E279" s="10">
        <f>Source!CA78</f>
        <v>55</v>
      </c>
      <c r="F279" s="45" t="str">
        <f>CONCATENATE(" )", Source!DM78, Source!FU78, "=", Source!FY78)</f>
        <v xml:space="preserve"> )*0,85=46,75</v>
      </c>
      <c r="G279" s="46"/>
      <c r="H279" s="23">
        <f>SUM(U275:U282)</f>
        <v>53.35</v>
      </c>
      <c r="I279" s="27"/>
      <c r="J279" s="21">
        <f>Source!AU78</f>
        <v>47</v>
      </c>
      <c r="K279" s="23">
        <f>SUM(V275:V282)</f>
        <v>370.05</v>
      </c>
      <c r="L279" s="25"/>
    </row>
    <row r="280" spans="1:26" ht="14.25" x14ac:dyDescent="0.2">
      <c r="A280" s="38"/>
      <c r="B280" s="39"/>
      <c r="C280" s="39" t="s">
        <v>817</v>
      </c>
      <c r="D280" s="22" t="s">
        <v>818</v>
      </c>
      <c r="E280" s="10">
        <f>Source!AQ78</f>
        <v>8.3800000000000008</v>
      </c>
      <c r="F280" s="23"/>
      <c r="G280" s="24" t="str">
        <f>Source!DI78</f>
        <v>)*1,15</v>
      </c>
      <c r="H280" s="23"/>
      <c r="I280" s="24"/>
      <c r="J280" s="24"/>
      <c r="K280" s="23"/>
      <c r="L280" s="34">
        <f>Source!U78</f>
        <v>11.8612196</v>
      </c>
    </row>
    <row r="281" spans="1:26" ht="14.25" x14ac:dyDescent="0.2">
      <c r="A281" s="38" t="str">
        <f>Source!E79</f>
        <v>25,1</v>
      </c>
      <c r="B281" s="39" t="str">
        <f>Source!F79</f>
        <v>14.3.02.01-0005</v>
      </c>
      <c r="C281" s="39" t="str">
        <f>Source!G79</f>
        <v>Краска LUJA, ТИККУРИЛА</v>
      </c>
      <c r="D281" s="22" t="str">
        <f>Source!H79</f>
        <v>л</v>
      </c>
      <c r="E281" s="10">
        <f>Source!I79</f>
        <v>19.692799999999998</v>
      </c>
      <c r="F281" s="23">
        <f>Source!AL79+Source!AM79+Source!AO79</f>
        <v>85.77</v>
      </c>
      <c r="G281" s="35" t="s">
        <v>3</v>
      </c>
      <c r="H281" s="23">
        <f>ROUND(Source!AC79*Source!I79, 2)+ROUND(Source!AD79*Source!I79, 2)+ROUND(Source!AF79*Source!I79, 2)</f>
        <v>1689.05</v>
      </c>
      <c r="I281" s="24"/>
      <c r="J281" s="24">
        <f>IF(Source!BC79&lt;&gt; 0, Source!BC79, 1)</f>
        <v>6.9</v>
      </c>
      <c r="K281" s="23">
        <f>Source!O79</f>
        <v>11654.46</v>
      </c>
      <c r="L281" s="25"/>
      <c r="S281">
        <f>ROUND((Source!FX79/100)*((ROUND(Source!AF79*Source!I79, 2)+ROUND(Source!AE79*Source!I79, 2))), 2)</f>
        <v>0</v>
      </c>
      <c r="T281">
        <f>Source!X79</f>
        <v>0</v>
      </c>
      <c r="U281">
        <f>ROUND((Source!FY79/100)*((ROUND(Source!AF79*Source!I79, 2)+ROUND(Source!AE79*Source!I79, 2))), 2)</f>
        <v>0</v>
      </c>
      <c r="V281">
        <f>Source!Y79</f>
        <v>0</v>
      </c>
      <c r="W281">
        <f>IF(Source!BI79&lt;=1,H281, 0)</f>
        <v>1689.05</v>
      </c>
      <c r="X281">
        <f>IF(Source!BI79=2,H281, 0)</f>
        <v>0</v>
      </c>
      <c r="Y281">
        <f>IF(Source!BI79=3,H281, 0)</f>
        <v>0</v>
      </c>
      <c r="Z281">
        <f>IF(Source!BI79=4,H281, 0)</f>
        <v>0</v>
      </c>
    </row>
    <row r="282" spans="1:26" ht="14.25" x14ac:dyDescent="0.2">
      <c r="A282" s="40" t="str">
        <f>Source!E80</f>
        <v>25,2</v>
      </c>
      <c r="B282" s="41" t="str">
        <f>Source!F80</f>
        <v>14.4.02.09</v>
      </c>
      <c r="C282" s="41" t="str">
        <f>Source!G80</f>
        <v>Краска</v>
      </c>
      <c r="D282" s="28" t="str">
        <f>Source!H80</f>
        <v>т</v>
      </c>
      <c r="E282" s="29">
        <f>Source!I80</f>
        <v>1.9692999999999999E-2</v>
      </c>
      <c r="F282" s="30">
        <f>Source!AL80+Source!AM80+Source!AO80</f>
        <v>0</v>
      </c>
      <c r="G282" s="36" t="s">
        <v>3</v>
      </c>
      <c r="H282" s="30">
        <f>ROUND(Source!AC80*Source!I80, 2)+ROUND(Source!AD80*Source!I80, 2)+ROUND(Source!AF80*Source!I80, 2)</f>
        <v>0</v>
      </c>
      <c r="I282" s="31"/>
      <c r="J282" s="31">
        <f>IF(Source!BC80&lt;&gt; 0, Source!BC80, 1)</f>
        <v>6.9</v>
      </c>
      <c r="K282" s="30">
        <f>Source!O80</f>
        <v>0</v>
      </c>
      <c r="L282" s="37"/>
      <c r="S282">
        <f>ROUND((Source!FX80/100)*((ROUND(Source!AF80*Source!I80, 2)+ROUND(Source!AE80*Source!I80, 2))), 2)</f>
        <v>0</v>
      </c>
      <c r="T282">
        <f>Source!X80</f>
        <v>0</v>
      </c>
      <c r="U282">
        <f>ROUND((Source!FY80/100)*((ROUND(Source!AF80*Source!I80, 2)+ROUND(Source!AE80*Source!I80, 2))), 2)</f>
        <v>0</v>
      </c>
      <c r="V282">
        <f>Source!Y80</f>
        <v>0</v>
      </c>
      <c r="W282">
        <f>IF(Source!BI80&lt;=1,H282, 0)</f>
        <v>0</v>
      </c>
      <c r="X282">
        <f>IF(Source!BI80=2,H282, 0)</f>
        <v>0</v>
      </c>
      <c r="Y282">
        <f>IF(Source!BI80=3,H282, 0)</f>
        <v>0</v>
      </c>
      <c r="Z282">
        <f>IF(Source!BI80=4,H282, 0)</f>
        <v>0</v>
      </c>
    </row>
    <row r="283" spans="1:26" ht="15" x14ac:dyDescent="0.25">
      <c r="G283" s="44">
        <f>H277+H278+H279+SUM(H281:H282)</f>
        <v>1964.34</v>
      </c>
      <c r="H283" s="44"/>
      <c r="J283" s="44">
        <f>K277+K278+K279+SUM(K281:K282)</f>
        <v>13559.82</v>
      </c>
      <c r="K283" s="44"/>
      <c r="L283" s="33">
        <f>Source!U78</f>
        <v>11.8612196</v>
      </c>
      <c r="O283" s="19">
        <f>G283</f>
        <v>1964.34</v>
      </c>
      <c r="P283" s="19">
        <f>J283</f>
        <v>13559.82</v>
      </c>
      <c r="Q283" s="19">
        <f>L283</f>
        <v>11.8612196</v>
      </c>
      <c r="W283">
        <f>IF(Source!BI78&lt;=1,H277+H278+H279, 0)</f>
        <v>275.29000000000002</v>
      </c>
      <c r="X283">
        <f>IF(Source!BI78=2,H277+H278+H279, 0)</f>
        <v>0</v>
      </c>
      <c r="Y283">
        <f>IF(Source!BI78=3,H277+H278+H279, 0)</f>
        <v>0</v>
      </c>
      <c r="Z283">
        <f>IF(Source!BI78=4,H277+H278+H279, 0)</f>
        <v>0</v>
      </c>
    </row>
    <row r="284" spans="1:26" ht="42.75" x14ac:dyDescent="0.2">
      <c r="A284" s="38" t="str">
        <f>Source!E81</f>
        <v>26</v>
      </c>
      <c r="B284" s="39" t="str">
        <f>Source!F81</f>
        <v>09-03-046-01</v>
      </c>
      <c r="C284" s="39" t="str">
        <f>Source!G81</f>
        <v>Монтаж перегородок из алюминиевых сплавов сборно-разборных с остеклением</v>
      </c>
      <c r="D284" s="22" t="str">
        <f>Source!H81</f>
        <v>100 м2</v>
      </c>
      <c r="E284" s="10">
        <f>Source!I81</f>
        <v>0.27989999999999998</v>
      </c>
      <c r="F284" s="23">
        <f>Source!AL81+Source!AM81+Source!AO81</f>
        <v>4111.26</v>
      </c>
      <c r="G284" s="24"/>
      <c r="H284" s="23"/>
      <c r="I284" s="24" t="str">
        <f>Source!BO81</f>
        <v/>
      </c>
      <c r="J284" s="24"/>
      <c r="K284" s="23"/>
      <c r="L284" s="25"/>
      <c r="S284">
        <f>ROUND((Source!FX81/100)*((ROUND(Source!AF81*Source!I81, 2)+ROUND(Source!AE81*Source!I81, 2))), 2)</f>
        <v>861.31</v>
      </c>
      <c r="T284">
        <f>Source!X81</f>
        <v>5943.05</v>
      </c>
      <c r="U284">
        <f>ROUND((Source!FY81/100)*((ROUND(Source!AF81*Source!I81, 2)+ROUND(Source!AE81*Source!I81, 2))), 2)</f>
        <v>768.27</v>
      </c>
      <c r="V284">
        <f>Source!Y81</f>
        <v>5282.71</v>
      </c>
    </row>
    <row r="285" spans="1:26" x14ac:dyDescent="0.2">
      <c r="C285" s="18" t="str">
        <f>"Объем: "&amp;Source!I81&amp;"=27,99/"&amp;"100"</f>
        <v>Объем: 0,2799=27,99/100</v>
      </c>
    </row>
    <row r="286" spans="1:26" ht="14.25" x14ac:dyDescent="0.2">
      <c r="A286" s="38"/>
      <c r="B286" s="39"/>
      <c r="C286" s="39" t="s">
        <v>812</v>
      </c>
      <c r="D286" s="22"/>
      <c r="E286" s="10"/>
      <c r="F286" s="23">
        <f>Source!AO81</f>
        <v>3267.69</v>
      </c>
      <c r="G286" s="24" t="str">
        <f>Source!DG81</f>
        <v>)*1,15</v>
      </c>
      <c r="H286" s="23">
        <f>ROUND(Source!AF81*Source!I81, 2)</f>
        <v>1051.82</v>
      </c>
      <c r="I286" s="24"/>
      <c r="J286" s="24">
        <f>IF(Source!BA81&lt;&gt; 0, Source!BA81, 1)</f>
        <v>6.9</v>
      </c>
      <c r="K286" s="23">
        <f>Source!S81</f>
        <v>7257.55</v>
      </c>
      <c r="L286" s="25"/>
      <c r="R286">
        <f>H286</f>
        <v>1051.82</v>
      </c>
    </row>
    <row r="287" spans="1:26" ht="14.25" x14ac:dyDescent="0.2">
      <c r="A287" s="38"/>
      <c r="B287" s="39"/>
      <c r="C287" s="39" t="s">
        <v>417</v>
      </c>
      <c r="D287" s="22"/>
      <c r="E287" s="10"/>
      <c r="F287" s="23">
        <f>Source!AM81</f>
        <v>567.69000000000005</v>
      </c>
      <c r="G287" s="24" t="str">
        <f>Source!DE81</f>
        <v>)*1,25</v>
      </c>
      <c r="H287" s="23">
        <f>ROUND(Source!AD81*Source!I81, 2)</f>
        <v>198.62</v>
      </c>
      <c r="I287" s="24"/>
      <c r="J287" s="24">
        <f>IF(Source!BB81&lt;&gt; 0, Source!BB81, 1)</f>
        <v>6.9</v>
      </c>
      <c r="K287" s="23">
        <f>Source!Q81</f>
        <v>1370.5</v>
      </c>
      <c r="L287" s="25"/>
    </row>
    <row r="288" spans="1:26" ht="14.25" x14ac:dyDescent="0.2">
      <c r="A288" s="38"/>
      <c r="B288" s="39"/>
      <c r="C288" s="39" t="s">
        <v>813</v>
      </c>
      <c r="D288" s="22"/>
      <c r="E288" s="10"/>
      <c r="F288" s="23">
        <f>Source!AN81</f>
        <v>32.950000000000003</v>
      </c>
      <c r="G288" s="24" t="str">
        <f>Source!DF81</f>
        <v>)*1,25</v>
      </c>
      <c r="H288" s="26">
        <f>ROUND(Source!AE81*Source!I81, 2)</f>
        <v>11.53</v>
      </c>
      <c r="I288" s="24"/>
      <c r="J288" s="24">
        <f>IF(Source!BS81&lt;&gt; 0, Source!BS81, 1)</f>
        <v>6.9</v>
      </c>
      <c r="K288" s="26">
        <f>Source!R81</f>
        <v>79.55</v>
      </c>
      <c r="L288" s="25"/>
      <c r="R288">
        <f>H288</f>
        <v>11.53</v>
      </c>
    </row>
    <row r="289" spans="1:26" ht="14.25" x14ac:dyDescent="0.2">
      <c r="A289" s="38"/>
      <c r="B289" s="39"/>
      <c r="C289" s="39" t="s">
        <v>819</v>
      </c>
      <c r="D289" s="22"/>
      <c r="E289" s="10"/>
      <c r="F289" s="23">
        <f>Source!AL81</f>
        <v>275.88</v>
      </c>
      <c r="G289" s="24" t="str">
        <f>Source!DD81</f>
        <v/>
      </c>
      <c r="H289" s="23">
        <f>ROUND(Source!AC81*Source!I81, 2)</f>
        <v>77.22</v>
      </c>
      <c r="I289" s="24"/>
      <c r="J289" s="24">
        <f>IF(Source!BC81&lt;&gt; 0, Source!BC81, 1)</f>
        <v>6.9</v>
      </c>
      <c r="K289" s="23">
        <f>Source!P81</f>
        <v>532.80999999999995</v>
      </c>
      <c r="L289" s="25"/>
    </row>
    <row r="290" spans="1:26" ht="14.25" x14ac:dyDescent="0.2">
      <c r="A290" s="38"/>
      <c r="B290" s="39"/>
      <c r="C290" s="39" t="s">
        <v>814</v>
      </c>
      <c r="D290" s="22" t="s">
        <v>815</v>
      </c>
      <c r="E290" s="10">
        <f>Source!BZ81</f>
        <v>90</v>
      </c>
      <c r="F290" s="45" t="str">
        <f>CONCATENATE(" )", Source!DL81, Source!FT81, "=", Source!FX81)</f>
        <v xml:space="preserve"> )*0,9=81</v>
      </c>
      <c r="G290" s="46"/>
      <c r="H290" s="23">
        <f>SUM(S284:S298)</f>
        <v>861.31</v>
      </c>
      <c r="I290" s="27"/>
      <c r="J290" s="21">
        <f>Source!AT81</f>
        <v>81</v>
      </c>
      <c r="K290" s="23">
        <f>SUM(T284:T298)</f>
        <v>5943.05</v>
      </c>
      <c r="L290" s="25"/>
    </row>
    <row r="291" spans="1:26" ht="14.25" x14ac:dyDescent="0.2">
      <c r="A291" s="38"/>
      <c r="B291" s="39"/>
      <c r="C291" s="39" t="s">
        <v>816</v>
      </c>
      <c r="D291" s="22" t="s">
        <v>815</v>
      </c>
      <c r="E291" s="10">
        <f>Source!CA81</f>
        <v>85</v>
      </c>
      <c r="F291" s="45" t="str">
        <f>CONCATENATE(" )", Source!DM81, Source!FU81, "=", Source!FY81)</f>
        <v xml:space="preserve"> )*0,85=72,25</v>
      </c>
      <c r="G291" s="46"/>
      <c r="H291" s="23">
        <f>SUM(U284:U298)</f>
        <v>768.27</v>
      </c>
      <c r="I291" s="27"/>
      <c r="J291" s="21">
        <f>Source!AU81</f>
        <v>72</v>
      </c>
      <c r="K291" s="23">
        <f>SUM(V284:V298)</f>
        <v>5282.71</v>
      </c>
      <c r="L291" s="25"/>
    </row>
    <row r="292" spans="1:26" ht="14.25" x14ac:dyDescent="0.2">
      <c r="A292" s="38"/>
      <c r="B292" s="39"/>
      <c r="C292" s="39" t="s">
        <v>817</v>
      </c>
      <c r="D292" s="22" t="s">
        <v>818</v>
      </c>
      <c r="E292" s="10">
        <f>Source!AQ81</f>
        <v>324.82</v>
      </c>
      <c r="F292" s="23"/>
      <c r="G292" s="24" t="str">
        <f>Source!DI81</f>
        <v>)*1,15</v>
      </c>
      <c r="H292" s="23"/>
      <c r="I292" s="24"/>
      <c r="J292" s="24"/>
      <c r="K292" s="23"/>
      <c r="L292" s="34">
        <f>Source!U81</f>
        <v>104.55468569999998</v>
      </c>
    </row>
    <row r="293" spans="1:26" ht="42.75" x14ac:dyDescent="0.2">
      <c r="A293" s="38" t="str">
        <f>Source!E82</f>
        <v>26,1</v>
      </c>
      <c r="B293" s="39" t="str">
        <f>Source!F82</f>
        <v>09.1.02.02-0104</v>
      </c>
      <c r="C293" s="39" t="str">
        <f>Source!G82</f>
        <v>Тамбурные перегородки   размером 3730х3000мм с одной качающейся дверью прим.</v>
      </c>
      <c r="D293" s="22" t="str">
        <f>Source!H82</f>
        <v>шт.</v>
      </c>
      <c r="E293" s="10">
        <f>Source!I82</f>
        <v>1</v>
      </c>
      <c r="F293" s="23">
        <f>Source!AL82+Source!AM82+Source!AO82</f>
        <v>11385</v>
      </c>
      <c r="G293" s="35" t="s">
        <v>3</v>
      </c>
      <c r="H293" s="23">
        <f>ROUND(Source!AC82*Source!I82, 2)+ROUND(Source!AD82*Source!I82, 2)+ROUND(Source!AF82*Source!I82, 2)</f>
        <v>11385</v>
      </c>
      <c r="I293" s="24"/>
      <c r="J293" s="24">
        <f>IF(Source!BC82&lt;&gt; 0, Source!BC82, 1)</f>
        <v>6.9</v>
      </c>
      <c r="K293" s="23">
        <f>Source!O82</f>
        <v>78556.5</v>
      </c>
      <c r="L293" s="25"/>
      <c r="S293">
        <f>ROUND((Source!FX82/100)*((ROUND(Source!AF82*Source!I82, 2)+ROUND(Source!AE82*Source!I82, 2))), 2)</f>
        <v>0</v>
      </c>
      <c r="T293">
        <f>Source!X82</f>
        <v>0</v>
      </c>
      <c r="U293">
        <f>ROUND((Source!FY82/100)*((ROUND(Source!AF82*Source!I82, 2)+ROUND(Source!AE82*Source!I82, 2))), 2)</f>
        <v>0</v>
      </c>
      <c r="V293">
        <f>Source!Y82</f>
        <v>0</v>
      </c>
      <c r="W293">
        <f>IF(Source!BI82&lt;=1,H293, 0)</f>
        <v>11385</v>
      </c>
      <c r="X293">
        <f>IF(Source!BI82=2,H293, 0)</f>
        <v>0</v>
      </c>
      <c r="Y293">
        <f>IF(Source!BI82=3,H293, 0)</f>
        <v>0</v>
      </c>
      <c r="Z293">
        <f>IF(Source!BI82=4,H293, 0)</f>
        <v>0</v>
      </c>
    </row>
    <row r="294" spans="1:26" ht="28.5" x14ac:dyDescent="0.2">
      <c r="A294" s="38" t="str">
        <f>Source!E83</f>
        <v>26,2</v>
      </c>
      <c r="B294" s="39" t="str">
        <f>Source!F83</f>
        <v>09.1.02.02-0108</v>
      </c>
      <c r="C294" s="39" t="str">
        <f>Source!G83</f>
        <v>Тамбурные перегородки 5600х3000мм  с одной качающейся дверью прим.</v>
      </c>
      <c r="D294" s="22" t="str">
        <f>Source!H83</f>
        <v>шт.</v>
      </c>
      <c r="E294" s="10">
        <f>Source!I83</f>
        <v>1</v>
      </c>
      <c r="F294" s="23">
        <f>Source!AL83+Source!AM83+Source!AO83</f>
        <v>12745.28</v>
      </c>
      <c r="G294" s="35" t="s">
        <v>3</v>
      </c>
      <c r="H294" s="23">
        <f>ROUND(Source!AC83*Source!I83, 2)+ROUND(Source!AD83*Source!I83, 2)+ROUND(Source!AF83*Source!I83, 2)</f>
        <v>12745.28</v>
      </c>
      <c r="I294" s="24"/>
      <c r="J294" s="24">
        <f>IF(Source!BC83&lt;&gt; 0, Source!BC83, 1)</f>
        <v>6.9</v>
      </c>
      <c r="K294" s="23">
        <f>Source!O83</f>
        <v>87942.43</v>
      </c>
      <c r="L294" s="25"/>
      <c r="S294">
        <f>ROUND((Source!FX83/100)*((ROUND(Source!AF83*Source!I83, 2)+ROUND(Source!AE83*Source!I83, 2))), 2)</f>
        <v>0</v>
      </c>
      <c r="T294">
        <f>Source!X83</f>
        <v>0</v>
      </c>
      <c r="U294">
        <f>ROUND((Source!FY83/100)*((ROUND(Source!AF83*Source!I83, 2)+ROUND(Source!AE83*Source!I83, 2))), 2)</f>
        <v>0</v>
      </c>
      <c r="V294">
        <f>Source!Y83</f>
        <v>0</v>
      </c>
      <c r="W294">
        <f>IF(Source!BI83&lt;=1,H294, 0)</f>
        <v>12745.28</v>
      </c>
      <c r="X294">
        <f>IF(Source!BI83=2,H294, 0)</f>
        <v>0</v>
      </c>
      <c r="Y294">
        <f>IF(Source!BI83=3,H294, 0)</f>
        <v>0</v>
      </c>
      <c r="Z294">
        <f>IF(Source!BI83=4,H294, 0)</f>
        <v>0</v>
      </c>
    </row>
    <row r="295" spans="1:26" ht="28.5" x14ac:dyDescent="0.2">
      <c r="A295" s="38" t="str">
        <f>Source!E84</f>
        <v>26,3</v>
      </c>
      <c r="B295" s="39" t="str">
        <f>Source!F84</f>
        <v>01.7.04.04-0012</v>
      </c>
      <c r="C295" s="39" t="str">
        <f>Source!G84</f>
        <v>Замок врезной оцинкованный с цилиндровым механизмом из латуни</v>
      </c>
      <c r="D295" s="22" t="str">
        <f>Source!H84</f>
        <v>компл.</v>
      </c>
      <c r="E295" s="10">
        <f>Source!I84</f>
        <v>2</v>
      </c>
      <c r="F295" s="23">
        <f>Source!AL84+Source!AM84+Source!AO84</f>
        <v>92.52</v>
      </c>
      <c r="G295" s="35" t="s">
        <v>3</v>
      </c>
      <c r="H295" s="23">
        <f>ROUND(Source!AC84*Source!I84, 2)+ROUND(Source!AD84*Source!I84, 2)+ROUND(Source!AF84*Source!I84, 2)</f>
        <v>185.04</v>
      </c>
      <c r="I295" s="24"/>
      <c r="J295" s="24">
        <f>IF(Source!BC84&lt;&gt; 0, Source!BC84, 1)</f>
        <v>6.9</v>
      </c>
      <c r="K295" s="23">
        <f>Source!O84</f>
        <v>1276.78</v>
      </c>
      <c r="L295" s="25"/>
      <c r="S295">
        <f>ROUND((Source!FX84/100)*((ROUND(Source!AF84*Source!I84, 2)+ROUND(Source!AE84*Source!I84, 2))), 2)</f>
        <v>0</v>
      </c>
      <c r="T295">
        <f>Source!X84</f>
        <v>0</v>
      </c>
      <c r="U295">
        <f>ROUND((Source!FY84/100)*((ROUND(Source!AF84*Source!I84, 2)+ROUND(Source!AE84*Source!I84, 2))), 2)</f>
        <v>0</v>
      </c>
      <c r="V295">
        <f>Source!Y84</f>
        <v>0</v>
      </c>
      <c r="W295">
        <f>IF(Source!BI84&lt;=1,H295, 0)</f>
        <v>185.04</v>
      </c>
      <c r="X295">
        <f>IF(Source!BI84=2,H295, 0)</f>
        <v>0</v>
      </c>
      <c r="Y295">
        <f>IF(Source!BI84=3,H295, 0)</f>
        <v>0</v>
      </c>
      <c r="Z295">
        <f>IF(Source!BI84=4,H295, 0)</f>
        <v>0</v>
      </c>
    </row>
    <row r="296" spans="1:26" ht="42.75" x14ac:dyDescent="0.2">
      <c r="A296" s="38" t="str">
        <f>Source!E85</f>
        <v>26,4</v>
      </c>
      <c r="B296" s="39" t="str">
        <f>Source!F85</f>
        <v>01.7.04.07-0002</v>
      </c>
      <c r="C296" s="39" t="str">
        <f>Source!G85</f>
        <v>Скобяные изделия для блоков входных дверей в помещение двупольных</v>
      </c>
      <c r="D296" s="22" t="str">
        <f>Source!H85</f>
        <v>компл.</v>
      </c>
      <c r="E296" s="10">
        <f>Source!I85</f>
        <v>2</v>
      </c>
      <c r="F296" s="23">
        <f>Source!AL85+Source!AM85+Source!AO85</f>
        <v>94.68</v>
      </c>
      <c r="G296" s="35" t="s">
        <v>3</v>
      </c>
      <c r="H296" s="23">
        <f>ROUND(Source!AC85*Source!I85, 2)+ROUND(Source!AD85*Source!I85, 2)+ROUND(Source!AF85*Source!I85, 2)</f>
        <v>189.36</v>
      </c>
      <c r="I296" s="24"/>
      <c r="J296" s="24">
        <f>IF(Source!BC85&lt;&gt; 0, Source!BC85, 1)</f>
        <v>6.9</v>
      </c>
      <c r="K296" s="23">
        <f>Source!O85</f>
        <v>1306.58</v>
      </c>
      <c r="L296" s="25"/>
      <c r="S296">
        <f>ROUND((Source!FX85/100)*((ROUND(Source!AF85*Source!I85, 2)+ROUND(Source!AE85*Source!I85, 2))), 2)</f>
        <v>0</v>
      </c>
      <c r="T296">
        <f>Source!X85</f>
        <v>0</v>
      </c>
      <c r="U296">
        <f>ROUND((Source!FY85/100)*((ROUND(Source!AF85*Source!I85, 2)+ROUND(Source!AE85*Source!I85, 2))), 2)</f>
        <v>0</v>
      </c>
      <c r="V296">
        <f>Source!Y85</f>
        <v>0</v>
      </c>
      <c r="W296">
        <f>IF(Source!BI85&lt;=1,H296, 0)</f>
        <v>189.36</v>
      </c>
      <c r="X296">
        <f>IF(Source!BI85=2,H296, 0)</f>
        <v>0</v>
      </c>
      <c r="Y296">
        <f>IF(Source!BI85=3,H296, 0)</f>
        <v>0</v>
      </c>
      <c r="Z296">
        <f>IF(Source!BI85=4,H296, 0)</f>
        <v>0</v>
      </c>
    </row>
    <row r="297" spans="1:26" ht="28.5" x14ac:dyDescent="0.2">
      <c r="A297" s="38" t="str">
        <f>Source!E86</f>
        <v>26,5</v>
      </c>
      <c r="B297" s="39" t="str">
        <f>Source!F86</f>
        <v>01.8.02.08-0002</v>
      </c>
      <c r="C297" s="39" t="str">
        <f>Source!G86</f>
        <v>Стеклопакеты с одним «Триплексом», толщиной 6 мм</v>
      </c>
      <c r="D297" s="22" t="str">
        <f>Source!H86</f>
        <v>м2</v>
      </c>
      <c r="E297" s="10">
        <f>Source!I86</f>
        <v>27.99</v>
      </c>
      <c r="F297" s="23">
        <f>Source!AL86+Source!AM86+Source!AO86</f>
        <v>253.8</v>
      </c>
      <c r="G297" s="35" t="s">
        <v>3</v>
      </c>
      <c r="H297" s="23">
        <f>ROUND(Source!AC86*Source!I86, 2)+ROUND(Source!AD86*Source!I86, 2)+ROUND(Source!AF86*Source!I86, 2)</f>
        <v>7103.86</v>
      </c>
      <c r="I297" s="24"/>
      <c r="J297" s="24">
        <f>IF(Source!BC86&lt;&gt; 0, Source!BC86, 1)</f>
        <v>6.9</v>
      </c>
      <c r="K297" s="23">
        <f>Source!O86</f>
        <v>49016.65</v>
      </c>
      <c r="L297" s="25"/>
      <c r="S297">
        <f>ROUND((Source!FX86/100)*((ROUND(Source!AF86*Source!I86, 2)+ROUND(Source!AE86*Source!I86, 2))), 2)</f>
        <v>0</v>
      </c>
      <c r="T297">
        <f>Source!X86</f>
        <v>0</v>
      </c>
      <c r="U297">
        <f>ROUND((Source!FY86/100)*((ROUND(Source!AF86*Source!I86, 2)+ROUND(Source!AE86*Source!I86, 2))), 2)</f>
        <v>0</v>
      </c>
      <c r="V297">
        <f>Source!Y86</f>
        <v>0</v>
      </c>
      <c r="W297">
        <f>IF(Source!BI86&lt;=1,H297, 0)</f>
        <v>7103.86</v>
      </c>
      <c r="X297">
        <f>IF(Source!BI86=2,H297, 0)</f>
        <v>0</v>
      </c>
      <c r="Y297">
        <f>IF(Source!BI86=3,H297, 0)</f>
        <v>0</v>
      </c>
      <c r="Z297">
        <f>IF(Source!BI86=4,H297, 0)</f>
        <v>0</v>
      </c>
    </row>
    <row r="298" spans="1:26" ht="14.25" x14ac:dyDescent="0.2">
      <c r="A298" s="40" t="str">
        <f>Source!E87</f>
        <v>26,6</v>
      </c>
      <c r="B298" s="41" t="str">
        <f>Source!F87</f>
        <v>01.7.19.07-0003</v>
      </c>
      <c r="C298" s="41" t="str">
        <f>Source!G87</f>
        <v>Резина прессованная</v>
      </c>
      <c r="D298" s="28" t="str">
        <f>Source!H87</f>
        <v>кг</v>
      </c>
      <c r="E298" s="29">
        <f>Source!I87</f>
        <v>1.2</v>
      </c>
      <c r="F298" s="30">
        <f>Source!AL87+Source!AM87+Source!AO87</f>
        <v>28.26</v>
      </c>
      <c r="G298" s="36" t="s">
        <v>3</v>
      </c>
      <c r="H298" s="30">
        <f>ROUND(Source!AC87*Source!I87, 2)+ROUND(Source!AD87*Source!I87, 2)+ROUND(Source!AF87*Source!I87, 2)</f>
        <v>33.909999999999997</v>
      </c>
      <c r="I298" s="31"/>
      <c r="J298" s="31">
        <f>IF(Source!BC87&lt;&gt; 0, Source!BC87, 1)</f>
        <v>6.9</v>
      </c>
      <c r="K298" s="30">
        <f>Source!O87</f>
        <v>233.99</v>
      </c>
      <c r="L298" s="37"/>
      <c r="S298">
        <f>ROUND((Source!FX87/100)*((ROUND(Source!AF87*Source!I87, 2)+ROUND(Source!AE87*Source!I87, 2))), 2)</f>
        <v>0</v>
      </c>
      <c r="T298">
        <f>Source!X87</f>
        <v>0</v>
      </c>
      <c r="U298">
        <f>ROUND((Source!FY87/100)*((ROUND(Source!AF87*Source!I87, 2)+ROUND(Source!AE87*Source!I87, 2))), 2)</f>
        <v>0</v>
      </c>
      <c r="V298">
        <f>Source!Y87</f>
        <v>0</v>
      </c>
      <c r="W298">
        <f>IF(Source!BI87&lt;=1,H298, 0)</f>
        <v>33.909999999999997</v>
      </c>
      <c r="X298">
        <f>IF(Source!BI87=2,H298, 0)</f>
        <v>0</v>
      </c>
      <c r="Y298">
        <f>IF(Source!BI87=3,H298, 0)</f>
        <v>0</v>
      </c>
      <c r="Z298">
        <f>IF(Source!BI87=4,H298, 0)</f>
        <v>0</v>
      </c>
    </row>
    <row r="299" spans="1:26" ht="15" x14ac:dyDescent="0.25">
      <c r="G299" s="44">
        <f>H286+H287+H289+H290+H291+SUM(H293:H298)</f>
        <v>34599.69</v>
      </c>
      <c r="H299" s="44"/>
      <c r="J299" s="44">
        <f>K286+K287+K289+K290+K291+SUM(K293:K298)</f>
        <v>238719.54999999996</v>
      </c>
      <c r="K299" s="44"/>
      <c r="L299" s="33">
        <f>Source!U81</f>
        <v>104.55468569999998</v>
      </c>
      <c r="O299" s="19">
        <f>G299</f>
        <v>34599.69</v>
      </c>
      <c r="P299" s="19">
        <f>J299</f>
        <v>238719.54999999996</v>
      </c>
      <c r="Q299" s="19">
        <f>L299</f>
        <v>104.55468569999998</v>
      </c>
      <c r="W299">
        <f>IF(Source!BI81&lt;=1,H286+H287+H289+H290+H291, 0)</f>
        <v>2957.2400000000002</v>
      </c>
      <c r="X299">
        <f>IF(Source!BI81=2,H286+H287+H289+H290+H291, 0)</f>
        <v>0</v>
      </c>
      <c r="Y299">
        <f>IF(Source!BI81=3,H286+H287+H289+H290+H291, 0)</f>
        <v>0</v>
      </c>
      <c r="Z299">
        <f>IF(Source!BI81=4,H286+H287+H289+H290+H291, 0)</f>
        <v>0</v>
      </c>
    </row>
    <row r="300" spans="1:26" ht="57" x14ac:dyDescent="0.2">
      <c r="A300" s="38" t="str">
        <f>Source!E88</f>
        <v>27</v>
      </c>
      <c r="B300" s="39" t="str">
        <f>Source!F88</f>
        <v>10-01-039-01</v>
      </c>
      <c r="C300" s="39" t="str">
        <f>Source!G88</f>
        <v>Установка блоков в наружных и внутренних дверных проемах в каменных стенах, площадь проема до 3 м2</v>
      </c>
      <c r="D300" s="22" t="str">
        <f>Source!H88</f>
        <v>100 м2</v>
      </c>
      <c r="E300" s="10">
        <f>Source!I88</f>
        <v>6.0900000000000003E-2</v>
      </c>
      <c r="F300" s="23">
        <f>Source!AL88+Source!AM88+Source!AO88</f>
        <v>3493.69</v>
      </c>
      <c r="G300" s="24"/>
      <c r="H300" s="23"/>
      <c r="I300" s="24" t="str">
        <f>Source!BO88</f>
        <v/>
      </c>
      <c r="J300" s="24"/>
      <c r="K300" s="23"/>
      <c r="L300" s="25"/>
      <c r="S300">
        <f>ROUND((Source!FX88/100)*((ROUND(Source!AF88*Source!I88, 2)+ROUND(Source!AE88*Source!I88, 2))), 2)</f>
        <v>73.58</v>
      </c>
      <c r="T300">
        <f>Source!X88</f>
        <v>506.69</v>
      </c>
      <c r="U300">
        <f>ROUND((Source!FY88/100)*((ROUND(Source!AF88*Source!I88, 2)+ROUND(Source!AE88*Source!I88, 2))), 2)</f>
        <v>37.1</v>
      </c>
      <c r="V300">
        <f>Source!Y88</f>
        <v>258.13</v>
      </c>
    </row>
    <row r="301" spans="1:26" x14ac:dyDescent="0.2">
      <c r="C301" s="18" t="str">
        <f>"Объем: "&amp;Source!I88&amp;"=6,09/"&amp;"100"</f>
        <v>Объем: 0,0609=6,09/100</v>
      </c>
    </row>
    <row r="302" spans="1:26" ht="14.25" x14ac:dyDescent="0.2">
      <c r="A302" s="38"/>
      <c r="B302" s="39"/>
      <c r="C302" s="39" t="s">
        <v>812</v>
      </c>
      <c r="D302" s="22"/>
      <c r="E302" s="10"/>
      <c r="F302" s="23">
        <f>Source!AO88</f>
        <v>821.89</v>
      </c>
      <c r="G302" s="24" t="str">
        <f>Source!DG88</f>
        <v>)*1,15</v>
      </c>
      <c r="H302" s="23">
        <f>ROUND(Source!AF88*Source!I88, 2)</f>
        <v>57.56</v>
      </c>
      <c r="I302" s="24"/>
      <c r="J302" s="24">
        <f>IF(Source!BA88&lt;&gt; 0, Source!BA88, 1)</f>
        <v>6.9</v>
      </c>
      <c r="K302" s="23">
        <f>Source!S88</f>
        <v>397.17</v>
      </c>
      <c r="L302" s="25"/>
      <c r="R302">
        <f>H302</f>
        <v>57.56</v>
      </c>
    </row>
    <row r="303" spans="1:26" ht="14.25" x14ac:dyDescent="0.2">
      <c r="A303" s="38"/>
      <c r="B303" s="39"/>
      <c r="C303" s="39" t="s">
        <v>417</v>
      </c>
      <c r="D303" s="22"/>
      <c r="E303" s="10"/>
      <c r="F303" s="23">
        <f>Source!AM88</f>
        <v>967.98</v>
      </c>
      <c r="G303" s="24" t="str">
        <f>Source!DE88</f>
        <v>)*1,25</v>
      </c>
      <c r="H303" s="23">
        <f>ROUND(Source!AD88*Source!I88, 2)</f>
        <v>73.69</v>
      </c>
      <c r="I303" s="24"/>
      <c r="J303" s="24">
        <f>IF(Source!BB88&lt;&gt; 0, Source!BB88, 1)</f>
        <v>6.9</v>
      </c>
      <c r="K303" s="23">
        <f>Source!Q88</f>
        <v>508.45</v>
      </c>
      <c r="L303" s="25"/>
    </row>
    <row r="304" spans="1:26" ht="14.25" x14ac:dyDescent="0.2">
      <c r="A304" s="38"/>
      <c r="B304" s="39"/>
      <c r="C304" s="39" t="s">
        <v>813</v>
      </c>
      <c r="D304" s="22"/>
      <c r="E304" s="10"/>
      <c r="F304" s="23">
        <f>Source!AN88</f>
        <v>153.9</v>
      </c>
      <c r="G304" s="24" t="str">
        <f>Source!DF88</f>
        <v>)*1,25</v>
      </c>
      <c r="H304" s="26">
        <f>ROUND(Source!AE88*Source!I88, 2)</f>
        <v>11.72</v>
      </c>
      <c r="I304" s="24"/>
      <c r="J304" s="24">
        <f>IF(Source!BS88&lt;&gt; 0, Source!BS88, 1)</f>
        <v>6.9</v>
      </c>
      <c r="K304" s="26">
        <f>Source!R88</f>
        <v>80.84</v>
      </c>
      <c r="L304" s="25"/>
      <c r="R304">
        <f>H304</f>
        <v>11.72</v>
      </c>
    </row>
    <row r="305" spans="1:26" ht="14.25" x14ac:dyDescent="0.2">
      <c r="A305" s="38"/>
      <c r="B305" s="39"/>
      <c r="C305" s="39" t="s">
        <v>819</v>
      </c>
      <c r="D305" s="22"/>
      <c r="E305" s="10"/>
      <c r="F305" s="23">
        <f>Source!AL88</f>
        <v>1703.82</v>
      </c>
      <c r="G305" s="24" t="str">
        <f>Source!DD88</f>
        <v/>
      </c>
      <c r="H305" s="23">
        <f>ROUND(Source!AC88*Source!I88, 2)</f>
        <v>103.76</v>
      </c>
      <c r="I305" s="24"/>
      <c r="J305" s="24">
        <f>IF(Source!BC88&lt;&gt; 0, Source!BC88, 1)</f>
        <v>6.9</v>
      </c>
      <c r="K305" s="23">
        <f>Source!P88</f>
        <v>715.96</v>
      </c>
      <c r="L305" s="25"/>
    </row>
    <row r="306" spans="1:26" ht="14.25" x14ac:dyDescent="0.2">
      <c r="A306" s="38"/>
      <c r="B306" s="39"/>
      <c r="C306" s="39" t="s">
        <v>814</v>
      </c>
      <c r="D306" s="22" t="s">
        <v>815</v>
      </c>
      <c r="E306" s="10">
        <f>Source!BZ88</f>
        <v>118</v>
      </c>
      <c r="F306" s="45" t="str">
        <f>CONCATENATE(" )", Source!DL88, Source!FT88, "=", Source!FX88)</f>
        <v xml:space="preserve"> )*0,9=106,2</v>
      </c>
      <c r="G306" s="46"/>
      <c r="H306" s="23">
        <f>SUM(S300:S314)</f>
        <v>73.58</v>
      </c>
      <c r="I306" s="27"/>
      <c r="J306" s="21">
        <f>Source!AT88</f>
        <v>106</v>
      </c>
      <c r="K306" s="23">
        <f>SUM(T300:T314)</f>
        <v>506.69</v>
      </c>
      <c r="L306" s="25"/>
    </row>
    <row r="307" spans="1:26" ht="14.25" x14ac:dyDescent="0.2">
      <c r="A307" s="38"/>
      <c r="B307" s="39"/>
      <c r="C307" s="39" t="s">
        <v>816</v>
      </c>
      <c r="D307" s="22" t="s">
        <v>815</v>
      </c>
      <c r="E307" s="10">
        <f>Source!CA88</f>
        <v>63</v>
      </c>
      <c r="F307" s="45" t="str">
        <f>CONCATENATE(" )", Source!DM88, Source!FU88, "=", Source!FY88)</f>
        <v xml:space="preserve"> )*0,85=53,55</v>
      </c>
      <c r="G307" s="46"/>
      <c r="H307" s="23">
        <f>SUM(U300:U314)</f>
        <v>37.1</v>
      </c>
      <c r="I307" s="27"/>
      <c r="J307" s="21">
        <f>Source!AU88</f>
        <v>54</v>
      </c>
      <c r="K307" s="23">
        <f>SUM(V300:V314)</f>
        <v>258.13</v>
      </c>
      <c r="L307" s="25"/>
    </row>
    <row r="308" spans="1:26" ht="14.25" x14ac:dyDescent="0.2">
      <c r="A308" s="38"/>
      <c r="B308" s="39"/>
      <c r="C308" s="39" t="s">
        <v>817</v>
      </c>
      <c r="D308" s="22" t="s">
        <v>818</v>
      </c>
      <c r="E308" s="10">
        <f>Source!AQ88</f>
        <v>89.53</v>
      </c>
      <c r="F308" s="23"/>
      <c r="G308" s="24" t="str">
        <f>Source!DI88</f>
        <v>)*1,15</v>
      </c>
      <c r="H308" s="23"/>
      <c r="I308" s="24"/>
      <c r="J308" s="24"/>
      <c r="K308" s="23"/>
      <c r="L308" s="34">
        <f>Source!U88</f>
        <v>6.2702335499999995</v>
      </c>
    </row>
    <row r="309" spans="1:26" ht="42.75" x14ac:dyDescent="0.2">
      <c r="A309" s="38" t="str">
        <f>Source!E89</f>
        <v>27,1</v>
      </c>
      <c r="B309" s="39" t="str">
        <f>Source!F89</f>
        <v>01.7.04.07-0002</v>
      </c>
      <c r="C309" s="39" t="str">
        <f>Source!G89</f>
        <v>Скобяные изделия для блоков входных дверей в помещение двупольных</v>
      </c>
      <c r="D309" s="22" t="str">
        <f>Source!H89</f>
        <v>компл.</v>
      </c>
      <c r="E309" s="10">
        <f>Source!I89</f>
        <v>1</v>
      </c>
      <c r="F309" s="23">
        <f>Source!AL89+Source!AM89+Source!AO89</f>
        <v>94.68</v>
      </c>
      <c r="G309" s="35" t="s">
        <v>3</v>
      </c>
      <c r="H309" s="23">
        <f>ROUND(Source!AC89*Source!I89, 2)+ROUND(Source!AD89*Source!I89, 2)+ROUND(Source!AF89*Source!I89, 2)</f>
        <v>94.68</v>
      </c>
      <c r="I309" s="24"/>
      <c r="J309" s="24">
        <f>IF(Source!BC89&lt;&gt; 0, Source!BC89, 1)</f>
        <v>6.9</v>
      </c>
      <c r="K309" s="23">
        <f>Source!O89</f>
        <v>653.29</v>
      </c>
      <c r="L309" s="25"/>
      <c r="S309">
        <f>ROUND((Source!FX89/100)*((ROUND(Source!AF89*Source!I89, 2)+ROUND(Source!AE89*Source!I89, 2))), 2)</f>
        <v>0</v>
      </c>
      <c r="T309">
        <f>Source!X89</f>
        <v>0</v>
      </c>
      <c r="U309">
        <f>ROUND((Source!FY89/100)*((ROUND(Source!AF89*Source!I89, 2)+ROUND(Source!AE89*Source!I89, 2))), 2)</f>
        <v>0</v>
      </c>
      <c r="V309">
        <f>Source!Y89</f>
        <v>0</v>
      </c>
      <c r="W309">
        <f>IF(Source!BI89&lt;=1,H309, 0)</f>
        <v>94.68</v>
      </c>
      <c r="X309">
        <f>IF(Source!BI89=2,H309, 0)</f>
        <v>0</v>
      </c>
      <c r="Y309">
        <f>IF(Source!BI89=3,H309, 0)</f>
        <v>0</v>
      </c>
      <c r="Z309">
        <f>IF(Source!BI89=4,H309, 0)</f>
        <v>0</v>
      </c>
    </row>
    <row r="310" spans="1:26" ht="42.75" x14ac:dyDescent="0.2">
      <c r="A310" s="38" t="str">
        <f>Source!E90</f>
        <v>27,2</v>
      </c>
      <c r="B310" s="39" t="str">
        <f>Source!F90</f>
        <v>01.7.04.07-0003</v>
      </c>
      <c r="C310" s="39" t="str">
        <f>Source!G90</f>
        <v>Скобяные изделия для блоков входных дверей в помещение однопольных</v>
      </c>
      <c r="D310" s="22" t="str">
        <f>Source!H90</f>
        <v>компл.</v>
      </c>
      <c r="E310" s="10">
        <f>Source!I90</f>
        <v>2</v>
      </c>
      <c r="F310" s="23">
        <f>Source!AL90+Source!AM90+Source!AO90</f>
        <v>94.68</v>
      </c>
      <c r="G310" s="35" t="s">
        <v>3</v>
      </c>
      <c r="H310" s="23">
        <f>ROUND(Source!AC90*Source!I90, 2)+ROUND(Source!AD90*Source!I90, 2)+ROUND(Source!AF90*Source!I90, 2)</f>
        <v>189.36</v>
      </c>
      <c r="I310" s="24"/>
      <c r="J310" s="24">
        <f>IF(Source!BC90&lt;&gt; 0, Source!BC90, 1)</f>
        <v>6.9</v>
      </c>
      <c r="K310" s="23">
        <f>Source!O90</f>
        <v>1306.58</v>
      </c>
      <c r="L310" s="25"/>
      <c r="S310">
        <f>ROUND((Source!FX90/100)*((ROUND(Source!AF90*Source!I90, 2)+ROUND(Source!AE90*Source!I90, 2))), 2)</f>
        <v>0</v>
      </c>
      <c r="T310">
        <f>Source!X90</f>
        <v>0</v>
      </c>
      <c r="U310">
        <f>ROUND((Source!FY90/100)*((ROUND(Source!AF90*Source!I90, 2)+ROUND(Source!AE90*Source!I90, 2))), 2)</f>
        <v>0</v>
      </c>
      <c r="V310">
        <f>Source!Y90</f>
        <v>0</v>
      </c>
      <c r="W310">
        <f>IF(Source!BI90&lt;=1,H310, 0)</f>
        <v>189.36</v>
      </c>
      <c r="X310">
        <f>IF(Source!BI90=2,H310, 0)</f>
        <v>0</v>
      </c>
      <c r="Y310">
        <f>IF(Source!BI90=3,H310, 0)</f>
        <v>0</v>
      </c>
      <c r="Z310">
        <f>IF(Source!BI90=4,H310, 0)</f>
        <v>0</v>
      </c>
    </row>
    <row r="311" spans="1:26" ht="42.75" x14ac:dyDescent="0.2">
      <c r="A311" s="38" t="str">
        <f>Source!E91</f>
        <v>27,3</v>
      </c>
      <c r="B311" s="39" t="str">
        <f>Source!F91</f>
        <v>11.2.02.01-0023</v>
      </c>
      <c r="C311" s="39" t="str">
        <f>Source!G91</f>
        <v>Блоки дверные внутренние двупольные глухие, фанерованные шпоном дуба</v>
      </c>
      <c r="D311" s="22" t="str">
        <f>Source!H91</f>
        <v>м2</v>
      </c>
      <c r="E311" s="10">
        <f>Source!I91</f>
        <v>2.73</v>
      </c>
      <c r="F311" s="23">
        <f>Source!AL91+Source!AM91+Source!AO91</f>
        <v>2426.35</v>
      </c>
      <c r="G311" s="35" t="s">
        <v>3</v>
      </c>
      <c r="H311" s="23">
        <f>ROUND(Source!AC91*Source!I91, 2)+ROUND(Source!AD91*Source!I91, 2)+ROUND(Source!AF91*Source!I91, 2)</f>
        <v>6623.94</v>
      </c>
      <c r="I311" s="24"/>
      <c r="J311" s="24">
        <f>IF(Source!BC91&lt;&gt; 0, Source!BC91, 1)</f>
        <v>6.9</v>
      </c>
      <c r="K311" s="23">
        <f>Source!O91</f>
        <v>45705.15</v>
      </c>
      <c r="L311" s="25"/>
      <c r="S311">
        <f>ROUND((Source!FX91/100)*((ROUND(Source!AF91*Source!I91, 2)+ROUND(Source!AE91*Source!I91, 2))), 2)</f>
        <v>0</v>
      </c>
      <c r="T311">
        <f>Source!X91</f>
        <v>0</v>
      </c>
      <c r="U311">
        <f>ROUND((Source!FY91/100)*((ROUND(Source!AF91*Source!I91, 2)+ROUND(Source!AE91*Source!I91, 2))), 2)</f>
        <v>0</v>
      </c>
      <c r="V311">
        <f>Source!Y91</f>
        <v>0</v>
      </c>
      <c r="W311">
        <f>IF(Source!BI91&lt;=1,H311, 0)</f>
        <v>6623.94</v>
      </c>
      <c r="X311">
        <f>IF(Source!BI91=2,H311, 0)</f>
        <v>0</v>
      </c>
      <c r="Y311">
        <f>IF(Source!BI91=3,H311, 0)</f>
        <v>0</v>
      </c>
      <c r="Z311">
        <f>IF(Source!BI91=4,H311, 0)</f>
        <v>0</v>
      </c>
    </row>
    <row r="312" spans="1:26" ht="42.75" x14ac:dyDescent="0.2">
      <c r="A312" s="38" t="str">
        <f>Source!E92</f>
        <v>27,4</v>
      </c>
      <c r="B312" s="39" t="str">
        <f>Source!F92</f>
        <v>11.2.02.01-0033</v>
      </c>
      <c r="C312" s="39" t="str">
        <f>Source!G92</f>
        <v>Блоки дверные внутренние однопольные глухие, фанерованные шпоном дуба</v>
      </c>
      <c r="D312" s="22" t="str">
        <f>Source!H92</f>
        <v>м2</v>
      </c>
      <c r="E312" s="10">
        <f>Source!I92</f>
        <v>3.36</v>
      </c>
      <c r="F312" s="23">
        <f>Source!AL92+Source!AM92+Source!AO92</f>
        <v>1271.6300000000001</v>
      </c>
      <c r="G312" s="35" t="s">
        <v>3</v>
      </c>
      <c r="H312" s="23">
        <f>ROUND(Source!AC92*Source!I92, 2)+ROUND(Source!AD92*Source!I92, 2)+ROUND(Source!AF92*Source!I92, 2)</f>
        <v>4272.68</v>
      </c>
      <c r="I312" s="24"/>
      <c r="J312" s="24">
        <f>IF(Source!BC92&lt;&gt; 0, Source!BC92, 1)</f>
        <v>6.9</v>
      </c>
      <c r="K312" s="23">
        <f>Source!O92</f>
        <v>29481.47</v>
      </c>
      <c r="L312" s="25"/>
      <c r="S312">
        <f>ROUND((Source!FX92/100)*((ROUND(Source!AF92*Source!I92, 2)+ROUND(Source!AE92*Source!I92, 2))), 2)</f>
        <v>0</v>
      </c>
      <c r="T312">
        <f>Source!X92</f>
        <v>0</v>
      </c>
      <c r="U312">
        <f>ROUND((Source!FY92/100)*((ROUND(Source!AF92*Source!I92, 2)+ROUND(Source!AE92*Source!I92, 2))), 2)</f>
        <v>0</v>
      </c>
      <c r="V312">
        <f>Source!Y92</f>
        <v>0</v>
      </c>
      <c r="W312">
        <f>IF(Source!BI92&lt;=1,H312, 0)</f>
        <v>4272.68</v>
      </c>
      <c r="X312">
        <f>IF(Source!BI92=2,H312, 0)</f>
        <v>0</v>
      </c>
      <c r="Y312">
        <f>IF(Source!BI92=3,H312, 0)</f>
        <v>0</v>
      </c>
      <c r="Z312">
        <f>IF(Source!BI92=4,H312, 0)</f>
        <v>0</v>
      </c>
    </row>
    <row r="313" spans="1:26" ht="28.5" x14ac:dyDescent="0.2">
      <c r="A313" s="38" t="str">
        <f>Source!E93</f>
        <v>27,5</v>
      </c>
      <c r="B313" s="39" t="str">
        <f>Source!F93</f>
        <v>01.7.04.04-0012</v>
      </c>
      <c r="C313" s="39" t="str">
        <f>Source!G93</f>
        <v>Замок врезной оцинкованный с цилиндровым механизмом из латуни</v>
      </c>
      <c r="D313" s="22" t="str">
        <f>Source!H93</f>
        <v>компл.</v>
      </c>
      <c r="E313" s="10">
        <f>Source!I93</f>
        <v>3</v>
      </c>
      <c r="F313" s="23">
        <f>Source!AL93+Source!AM93+Source!AO93</f>
        <v>92.52</v>
      </c>
      <c r="G313" s="35" t="s">
        <v>3</v>
      </c>
      <c r="H313" s="23">
        <f>ROUND(Source!AC93*Source!I93, 2)+ROUND(Source!AD93*Source!I93, 2)+ROUND(Source!AF93*Source!I93, 2)</f>
        <v>277.56</v>
      </c>
      <c r="I313" s="24"/>
      <c r="J313" s="24">
        <f>IF(Source!BC93&lt;&gt; 0, Source!BC93, 1)</f>
        <v>6.9</v>
      </c>
      <c r="K313" s="23">
        <f>Source!O93</f>
        <v>1915.16</v>
      </c>
      <c r="L313" s="25"/>
      <c r="S313">
        <f>ROUND((Source!FX93/100)*((ROUND(Source!AF93*Source!I93, 2)+ROUND(Source!AE93*Source!I93, 2))), 2)</f>
        <v>0</v>
      </c>
      <c r="T313">
        <f>Source!X93</f>
        <v>0</v>
      </c>
      <c r="U313">
        <f>ROUND((Source!FY93/100)*((ROUND(Source!AF93*Source!I93, 2)+ROUND(Source!AE93*Source!I93, 2))), 2)</f>
        <v>0</v>
      </c>
      <c r="V313">
        <f>Source!Y93</f>
        <v>0</v>
      </c>
      <c r="W313">
        <f>IF(Source!BI93&lt;=1,H313, 0)</f>
        <v>277.56</v>
      </c>
      <c r="X313">
        <f>IF(Source!BI93=2,H313, 0)</f>
        <v>0</v>
      </c>
      <c r="Y313">
        <f>IF(Source!BI93=3,H313, 0)</f>
        <v>0</v>
      </c>
      <c r="Z313">
        <f>IF(Source!BI93=4,H313, 0)</f>
        <v>0</v>
      </c>
    </row>
    <row r="314" spans="1:26" ht="14.25" x14ac:dyDescent="0.2">
      <c r="A314" s="40" t="str">
        <f>Source!E94</f>
        <v>27,6</v>
      </c>
      <c r="B314" s="41" t="str">
        <f>Source!F94</f>
        <v>11.2.02.01</v>
      </c>
      <c r="C314" s="41" t="str">
        <f>Source!G94</f>
        <v>Блоки дверные</v>
      </c>
      <c r="D314" s="28" t="str">
        <f>Source!H94</f>
        <v>м2</v>
      </c>
      <c r="E314" s="29">
        <f>Source!I94</f>
        <v>6.09</v>
      </c>
      <c r="F314" s="30">
        <f>Source!AL94+Source!AM94+Source!AO94</f>
        <v>0</v>
      </c>
      <c r="G314" s="36" t="s">
        <v>3</v>
      </c>
      <c r="H314" s="30">
        <f>ROUND(Source!AC94*Source!I94, 2)+ROUND(Source!AD94*Source!I94, 2)+ROUND(Source!AF94*Source!I94, 2)</f>
        <v>0</v>
      </c>
      <c r="I314" s="31"/>
      <c r="J314" s="31">
        <f>IF(Source!BC94&lt;&gt; 0, Source!BC94, 1)</f>
        <v>6.9</v>
      </c>
      <c r="K314" s="30">
        <f>Source!O94</f>
        <v>0</v>
      </c>
      <c r="L314" s="37"/>
      <c r="S314">
        <f>ROUND((Source!FX94/100)*((ROUND(Source!AF94*Source!I94, 2)+ROUND(Source!AE94*Source!I94, 2))), 2)</f>
        <v>0</v>
      </c>
      <c r="T314">
        <f>Source!X94</f>
        <v>0</v>
      </c>
      <c r="U314">
        <f>ROUND((Source!FY94/100)*((ROUND(Source!AF94*Source!I94, 2)+ROUND(Source!AE94*Source!I94, 2))), 2)</f>
        <v>0</v>
      </c>
      <c r="V314">
        <f>Source!Y94</f>
        <v>0</v>
      </c>
      <c r="W314">
        <f>IF(Source!BI94&lt;=1,H314, 0)</f>
        <v>0</v>
      </c>
      <c r="X314">
        <f>IF(Source!BI94=2,H314, 0)</f>
        <v>0</v>
      </c>
      <c r="Y314">
        <f>IF(Source!BI94=3,H314, 0)</f>
        <v>0</v>
      </c>
      <c r="Z314">
        <f>IF(Source!BI94=4,H314, 0)</f>
        <v>0</v>
      </c>
    </row>
    <row r="315" spans="1:26" ht="15" x14ac:dyDescent="0.25">
      <c r="G315" s="44">
        <f>H302+H303+H305+H306+H307+SUM(H309:H314)</f>
        <v>11803.91</v>
      </c>
      <c r="H315" s="44"/>
      <c r="J315" s="44">
        <f>K302+K303+K305+K306+K307+SUM(K309:K314)</f>
        <v>81448.05</v>
      </c>
      <c r="K315" s="44"/>
      <c r="L315" s="33">
        <f>Source!U88</f>
        <v>6.2702335499999995</v>
      </c>
      <c r="O315" s="19">
        <f>G315</f>
        <v>11803.91</v>
      </c>
      <c r="P315" s="19">
        <f>J315</f>
        <v>81448.05</v>
      </c>
      <c r="Q315" s="19">
        <f>L315</f>
        <v>6.2702335499999995</v>
      </c>
      <c r="W315">
        <f>IF(Source!BI88&lt;=1,H302+H303+H305+H306+H307, 0)</f>
        <v>345.69</v>
      </c>
      <c r="X315">
        <f>IF(Source!BI88=2,H302+H303+H305+H306+H307, 0)</f>
        <v>0</v>
      </c>
      <c r="Y315">
        <f>IF(Source!BI88=3,H302+H303+H305+H306+H307, 0)</f>
        <v>0</v>
      </c>
      <c r="Z315">
        <f>IF(Source!BI88=4,H302+H303+H305+H306+H307, 0)</f>
        <v>0</v>
      </c>
    </row>
    <row r="316" spans="1:26" ht="28.5" x14ac:dyDescent="0.2">
      <c r="A316" s="38" t="str">
        <f>Source!E95</f>
        <v>28</v>
      </c>
      <c r="B316" s="39" t="str">
        <f>Source!F95</f>
        <v>67-4-5</v>
      </c>
      <c r="C316" s="39" t="str">
        <f>Source!G95</f>
        <v>Демонтаж светильников для люминесцентных ламп</v>
      </c>
      <c r="D316" s="22" t="str">
        <f>Source!H95</f>
        <v>100 ШТ</v>
      </c>
      <c r="E316" s="10">
        <f>Source!I95</f>
        <v>0.28000000000000003</v>
      </c>
      <c r="F316" s="23">
        <f>Source!AL95+Source!AM95+Source!AO95</f>
        <v>145.97999999999999</v>
      </c>
      <c r="G316" s="24"/>
      <c r="H316" s="23"/>
      <c r="I316" s="24" t="str">
        <f>Source!BO95</f>
        <v/>
      </c>
      <c r="J316" s="24"/>
      <c r="K316" s="23"/>
      <c r="L316" s="25"/>
      <c r="S316">
        <f>ROUND((Source!FX95/100)*((ROUND(Source!AF95*Source!I95, 2)+ROUND(Source!AE95*Source!I95, 2))), 2)</f>
        <v>34.4</v>
      </c>
      <c r="T316">
        <f>Source!X95</f>
        <v>237.4</v>
      </c>
      <c r="U316">
        <f>ROUND((Source!FY95/100)*((ROUND(Source!AF95*Source!I95, 2)+ROUND(Source!AE95*Source!I95, 2))), 2)</f>
        <v>26.31</v>
      </c>
      <c r="V316">
        <f>Source!Y95</f>
        <v>181.54</v>
      </c>
    </row>
    <row r="317" spans="1:26" x14ac:dyDescent="0.2">
      <c r="C317" s="18" t="str">
        <f>"Объем: "&amp;Source!I95&amp;"=28/"&amp;"100"</f>
        <v>Объем: 0,28=28/100</v>
      </c>
    </row>
    <row r="318" spans="1:26" ht="14.25" x14ac:dyDescent="0.2">
      <c r="A318" s="38"/>
      <c r="B318" s="39"/>
      <c r="C318" s="39" t="s">
        <v>812</v>
      </c>
      <c r="D318" s="22"/>
      <c r="E318" s="10"/>
      <c r="F318" s="23">
        <f>Source!AO95</f>
        <v>143.47999999999999</v>
      </c>
      <c r="G318" s="24" t="str">
        <f>Source!DG95</f>
        <v/>
      </c>
      <c r="H318" s="23">
        <f>ROUND(Source!AF95*Source!I95, 2)</f>
        <v>40.17</v>
      </c>
      <c r="I318" s="24"/>
      <c r="J318" s="24">
        <f>IF(Source!BA95&lt;&gt; 0, Source!BA95, 1)</f>
        <v>6.9</v>
      </c>
      <c r="K318" s="23">
        <f>Source!S95</f>
        <v>277.2</v>
      </c>
      <c r="L318" s="25"/>
      <c r="R318">
        <f>H318</f>
        <v>40.17</v>
      </c>
    </row>
    <row r="319" spans="1:26" ht="14.25" x14ac:dyDescent="0.2">
      <c r="A319" s="38"/>
      <c r="B319" s="39"/>
      <c r="C319" s="39" t="s">
        <v>417</v>
      </c>
      <c r="D319" s="22"/>
      <c r="E319" s="10"/>
      <c r="F319" s="23">
        <f>Source!AM95</f>
        <v>2.5</v>
      </c>
      <c r="G319" s="24" t="str">
        <f>Source!DE95</f>
        <v/>
      </c>
      <c r="H319" s="23">
        <f>ROUND(Source!AD95*Source!I95, 2)</f>
        <v>0.7</v>
      </c>
      <c r="I319" s="24"/>
      <c r="J319" s="24">
        <f>IF(Source!BB95&lt;&gt; 0, Source!BB95, 1)</f>
        <v>6.9</v>
      </c>
      <c r="K319" s="23">
        <f>Source!Q95</f>
        <v>4.83</v>
      </c>
      <c r="L319" s="25"/>
    </row>
    <row r="320" spans="1:26" ht="14.25" x14ac:dyDescent="0.2">
      <c r="A320" s="38"/>
      <c r="B320" s="39"/>
      <c r="C320" s="39" t="s">
        <v>813</v>
      </c>
      <c r="D320" s="22"/>
      <c r="E320" s="10"/>
      <c r="F320" s="23">
        <f>Source!AN95</f>
        <v>1.08</v>
      </c>
      <c r="G320" s="24" t="str">
        <f>Source!DF95</f>
        <v/>
      </c>
      <c r="H320" s="26">
        <f>ROUND(Source!AE95*Source!I95, 2)</f>
        <v>0.3</v>
      </c>
      <c r="I320" s="24"/>
      <c r="J320" s="24">
        <f>IF(Source!BS95&lt;&gt; 0, Source!BS95, 1)</f>
        <v>6.9</v>
      </c>
      <c r="K320" s="26">
        <f>Source!R95</f>
        <v>2.09</v>
      </c>
      <c r="L320" s="25"/>
      <c r="R320">
        <f>H320</f>
        <v>0.3</v>
      </c>
    </row>
    <row r="321" spans="1:26" ht="14.25" x14ac:dyDescent="0.2">
      <c r="A321" s="38"/>
      <c r="B321" s="39"/>
      <c r="C321" s="39" t="s">
        <v>814</v>
      </c>
      <c r="D321" s="22" t="s">
        <v>815</v>
      </c>
      <c r="E321" s="10">
        <f>Source!BZ95</f>
        <v>85</v>
      </c>
      <c r="F321" s="42"/>
      <c r="G321" s="24"/>
      <c r="H321" s="23">
        <f>SUM(S316:S323)</f>
        <v>34.4</v>
      </c>
      <c r="I321" s="27"/>
      <c r="J321" s="21">
        <f>Source!AT95</f>
        <v>85</v>
      </c>
      <c r="K321" s="23">
        <f>SUM(T316:T323)</f>
        <v>237.4</v>
      </c>
      <c r="L321" s="25"/>
    </row>
    <row r="322" spans="1:26" ht="14.25" x14ac:dyDescent="0.2">
      <c r="A322" s="38"/>
      <c r="B322" s="39"/>
      <c r="C322" s="39" t="s">
        <v>816</v>
      </c>
      <c r="D322" s="22" t="s">
        <v>815</v>
      </c>
      <c r="E322" s="10">
        <f>Source!CA95</f>
        <v>65</v>
      </c>
      <c r="F322" s="42"/>
      <c r="G322" s="24"/>
      <c r="H322" s="23">
        <f>SUM(U316:U323)</f>
        <v>26.31</v>
      </c>
      <c r="I322" s="27"/>
      <c r="J322" s="21">
        <f>Source!AU95</f>
        <v>65</v>
      </c>
      <c r="K322" s="23">
        <f>SUM(V316:V323)</f>
        <v>181.54</v>
      </c>
      <c r="L322" s="25"/>
    </row>
    <row r="323" spans="1:26" ht="14.25" x14ac:dyDescent="0.2">
      <c r="A323" s="40"/>
      <c r="B323" s="41"/>
      <c r="C323" s="41" t="s">
        <v>817</v>
      </c>
      <c r="D323" s="28" t="s">
        <v>818</v>
      </c>
      <c r="E323" s="29">
        <f>Source!AQ95</f>
        <v>17.89</v>
      </c>
      <c r="F323" s="30"/>
      <c r="G323" s="31" t="str">
        <f>Source!DI95</f>
        <v/>
      </c>
      <c r="H323" s="30"/>
      <c r="I323" s="31"/>
      <c r="J323" s="31"/>
      <c r="K323" s="30"/>
      <c r="L323" s="32">
        <f>Source!U95</f>
        <v>5.0092000000000008</v>
      </c>
    </row>
    <row r="324" spans="1:26" ht="15" x14ac:dyDescent="0.25">
      <c r="G324" s="44">
        <f>H318+H319+H321+H322</f>
        <v>101.58000000000001</v>
      </c>
      <c r="H324" s="44"/>
      <c r="J324" s="44">
        <f>K318+K319+K321+K322</f>
        <v>700.96999999999991</v>
      </c>
      <c r="K324" s="44"/>
      <c r="L324" s="33">
        <f>Source!U95</f>
        <v>5.0092000000000008</v>
      </c>
      <c r="O324" s="19">
        <f>G324</f>
        <v>101.58000000000001</v>
      </c>
      <c r="P324" s="19">
        <f>J324</f>
        <v>700.96999999999991</v>
      </c>
      <c r="Q324" s="19">
        <f>L324</f>
        <v>5.0092000000000008</v>
      </c>
      <c r="W324">
        <f>IF(Source!BI95&lt;=1,H318+H319+H321+H322, 0)</f>
        <v>101.58000000000001</v>
      </c>
      <c r="X324">
        <f>IF(Source!BI95=2,H318+H319+H321+H322, 0)</f>
        <v>0</v>
      </c>
      <c r="Y324">
        <f>IF(Source!BI95=3,H318+H319+H321+H322, 0)</f>
        <v>0</v>
      </c>
      <c r="Z324">
        <f>IF(Source!BI95=4,H318+H319+H321+H322, 0)</f>
        <v>0</v>
      </c>
    </row>
    <row r="325" spans="1:26" ht="14.25" x14ac:dyDescent="0.2">
      <c r="A325" s="38" t="str">
        <f>Source!E96</f>
        <v>29</v>
      </c>
      <c r="B325" s="39" t="str">
        <f>Source!F96</f>
        <v>м08-03-593-19</v>
      </c>
      <c r="C325" s="39" t="str">
        <f>Source!G96</f>
        <v>Светильник в подвесных потолках</v>
      </c>
      <c r="D325" s="22" t="str">
        <f>Source!H96</f>
        <v>100 ШТ</v>
      </c>
      <c r="E325" s="10">
        <f>Source!I96</f>
        <v>0.28000000000000003</v>
      </c>
      <c r="F325" s="23">
        <f>Source!AL96+Source!AM96+Source!AO96</f>
        <v>1092.72</v>
      </c>
      <c r="G325" s="24"/>
      <c r="H325" s="23"/>
      <c r="I325" s="24" t="str">
        <f>Source!BO96</f>
        <v/>
      </c>
      <c r="J325" s="24"/>
      <c r="K325" s="23"/>
      <c r="L325" s="25"/>
      <c r="S325">
        <f>ROUND((Source!FX96/100)*((ROUND(Source!AF96*Source!I96, 2)+ROUND(Source!AE96*Source!I96, 2))), 2)</f>
        <v>250.44</v>
      </c>
      <c r="T325">
        <f>Source!X96</f>
        <v>1727.97</v>
      </c>
      <c r="U325">
        <f>ROUND((Source!FY96/100)*((ROUND(Source!AF96*Source!I96, 2)+ROUND(Source!AE96*Source!I96, 2))), 2)</f>
        <v>171.35</v>
      </c>
      <c r="V325">
        <f>Source!Y96</f>
        <v>1182.3</v>
      </c>
    </row>
    <row r="326" spans="1:26" x14ac:dyDescent="0.2">
      <c r="C326" s="18" t="str">
        <f>"Объем: "&amp;Source!I96&amp;"=28/"&amp;"100"</f>
        <v>Объем: 0,28=28/100</v>
      </c>
    </row>
    <row r="327" spans="1:26" ht="14.25" x14ac:dyDescent="0.2">
      <c r="A327" s="38"/>
      <c r="B327" s="39"/>
      <c r="C327" s="39" t="s">
        <v>812</v>
      </c>
      <c r="D327" s="22"/>
      <c r="E327" s="10"/>
      <c r="F327" s="23">
        <f>Source!AO96</f>
        <v>936.45</v>
      </c>
      <c r="G327" s="24" t="str">
        <f>Source!DG96</f>
        <v/>
      </c>
      <c r="H327" s="23">
        <f>ROUND(Source!AF96*Source!I96, 2)</f>
        <v>262.20999999999998</v>
      </c>
      <c r="I327" s="24"/>
      <c r="J327" s="24">
        <f>IF(Source!BA96&lt;&gt; 0, Source!BA96, 1)</f>
        <v>6.9</v>
      </c>
      <c r="K327" s="23">
        <f>Source!S96</f>
        <v>1809.22</v>
      </c>
      <c r="L327" s="25"/>
      <c r="R327">
        <f>H327</f>
        <v>262.20999999999998</v>
      </c>
    </row>
    <row r="328" spans="1:26" ht="14.25" x14ac:dyDescent="0.2">
      <c r="A328" s="38"/>
      <c r="B328" s="39"/>
      <c r="C328" s="39" t="s">
        <v>417</v>
      </c>
      <c r="D328" s="22"/>
      <c r="E328" s="10"/>
      <c r="F328" s="23">
        <f>Source!AM96</f>
        <v>35.54</v>
      </c>
      <c r="G328" s="24" t="str">
        <f>Source!DE96</f>
        <v/>
      </c>
      <c r="H328" s="23">
        <f>ROUND(Source!AD96*Source!I96, 2)</f>
        <v>9.9499999999999993</v>
      </c>
      <c r="I328" s="24"/>
      <c r="J328" s="24">
        <f>IF(Source!BB96&lt;&gt; 0, Source!BB96, 1)</f>
        <v>6.9</v>
      </c>
      <c r="K328" s="23">
        <f>Source!Q96</f>
        <v>68.66</v>
      </c>
      <c r="L328" s="25"/>
    </row>
    <row r="329" spans="1:26" ht="14.25" x14ac:dyDescent="0.2">
      <c r="A329" s="38"/>
      <c r="B329" s="39"/>
      <c r="C329" s="39" t="s">
        <v>813</v>
      </c>
      <c r="D329" s="22"/>
      <c r="E329" s="10"/>
      <c r="F329" s="23">
        <f>Source!AN96</f>
        <v>5.0199999999999996</v>
      </c>
      <c r="G329" s="24" t="str">
        <f>Source!DF96</f>
        <v/>
      </c>
      <c r="H329" s="26">
        <f>ROUND(Source!AE96*Source!I96, 2)</f>
        <v>1.41</v>
      </c>
      <c r="I329" s="24"/>
      <c r="J329" s="24">
        <f>IF(Source!BS96&lt;&gt; 0, Source!BS96, 1)</f>
        <v>6.9</v>
      </c>
      <c r="K329" s="26">
        <f>Source!R96</f>
        <v>9.6999999999999993</v>
      </c>
      <c r="L329" s="25"/>
      <c r="R329">
        <f>H329</f>
        <v>1.41</v>
      </c>
    </row>
    <row r="330" spans="1:26" ht="14.25" x14ac:dyDescent="0.2">
      <c r="A330" s="38"/>
      <c r="B330" s="39"/>
      <c r="C330" s="39" t="s">
        <v>819</v>
      </c>
      <c r="D330" s="22"/>
      <c r="E330" s="10"/>
      <c r="F330" s="23">
        <f>Source!AL96</f>
        <v>120.73</v>
      </c>
      <c r="G330" s="24" t="str">
        <f>Source!DD96</f>
        <v/>
      </c>
      <c r="H330" s="23">
        <f>ROUND(Source!AC96*Source!I96, 2)</f>
        <v>33.799999999999997</v>
      </c>
      <c r="I330" s="24"/>
      <c r="J330" s="24">
        <f>IF(Source!BC96&lt;&gt; 0, Source!BC96, 1)</f>
        <v>6.9</v>
      </c>
      <c r="K330" s="23">
        <f>Source!P96</f>
        <v>233.25</v>
      </c>
      <c r="L330" s="25"/>
    </row>
    <row r="331" spans="1:26" ht="14.25" x14ac:dyDescent="0.2">
      <c r="A331" s="38"/>
      <c r="B331" s="39"/>
      <c r="C331" s="39" t="s">
        <v>814</v>
      </c>
      <c r="D331" s="22" t="s">
        <v>815</v>
      </c>
      <c r="E331" s="10">
        <f>Source!BZ96</f>
        <v>95</v>
      </c>
      <c r="F331" s="42"/>
      <c r="G331" s="24"/>
      <c r="H331" s="23">
        <f>SUM(S325:S334)</f>
        <v>250.44</v>
      </c>
      <c r="I331" s="27"/>
      <c r="J331" s="21">
        <f>Source!AT96</f>
        <v>95</v>
      </c>
      <c r="K331" s="23">
        <f>SUM(T325:T334)</f>
        <v>1727.97</v>
      </c>
      <c r="L331" s="25"/>
    </row>
    <row r="332" spans="1:26" ht="14.25" x14ac:dyDescent="0.2">
      <c r="A332" s="38"/>
      <c r="B332" s="39"/>
      <c r="C332" s="39" t="s">
        <v>816</v>
      </c>
      <c r="D332" s="22" t="s">
        <v>815</v>
      </c>
      <c r="E332" s="10">
        <f>Source!CA96</f>
        <v>65</v>
      </c>
      <c r="F332" s="42"/>
      <c r="G332" s="24"/>
      <c r="H332" s="23">
        <f>SUM(U325:U334)</f>
        <v>171.35</v>
      </c>
      <c r="I332" s="27"/>
      <c r="J332" s="21">
        <f>Source!AU96</f>
        <v>65</v>
      </c>
      <c r="K332" s="23">
        <f>SUM(V325:V334)</f>
        <v>1182.3</v>
      </c>
      <c r="L332" s="25"/>
    </row>
    <row r="333" spans="1:26" ht="14.25" x14ac:dyDescent="0.2">
      <c r="A333" s="38"/>
      <c r="B333" s="39"/>
      <c r="C333" s="39" t="s">
        <v>817</v>
      </c>
      <c r="D333" s="22" t="s">
        <v>818</v>
      </c>
      <c r="E333" s="10">
        <f>Source!AQ96</f>
        <v>94.4</v>
      </c>
      <c r="F333" s="23"/>
      <c r="G333" s="24" t="str">
        <f>Source!DI96</f>
        <v/>
      </c>
      <c r="H333" s="23"/>
      <c r="I333" s="24"/>
      <c r="J333" s="24"/>
      <c r="K333" s="23"/>
      <c r="L333" s="34">
        <f>Source!U96</f>
        <v>26.432000000000006</v>
      </c>
    </row>
    <row r="334" spans="1:26" ht="28.5" x14ac:dyDescent="0.2">
      <c r="A334" s="40" t="str">
        <f>Source!E97</f>
        <v>29,1</v>
      </c>
      <c r="B334" s="41" t="str">
        <f>Source!F97</f>
        <v>20.3.03.04-0044</v>
      </c>
      <c r="C334" s="41" t="str">
        <f>Source!G97</f>
        <v>Светильник со светодиодными лампами "Вартон" прим.</v>
      </c>
      <c r="D334" s="28" t="str">
        <f>Source!H97</f>
        <v>шт.</v>
      </c>
      <c r="E334" s="29">
        <f>Source!I97</f>
        <v>28</v>
      </c>
      <c r="F334" s="30">
        <f>Source!AL97+Source!AM97+Source!AO97</f>
        <v>340.37</v>
      </c>
      <c r="G334" s="36" t="s">
        <v>3</v>
      </c>
      <c r="H334" s="30">
        <f>ROUND(Source!AC97*Source!I97, 2)+ROUND(Source!AD97*Source!I97, 2)+ROUND(Source!AF97*Source!I97, 2)</f>
        <v>9530.36</v>
      </c>
      <c r="I334" s="31"/>
      <c r="J334" s="31">
        <f>IF(Source!BC97&lt;&gt; 0, Source!BC97, 1)</f>
        <v>6.9</v>
      </c>
      <c r="K334" s="30">
        <f>Source!O97</f>
        <v>65759.48</v>
      </c>
      <c r="L334" s="37"/>
      <c r="S334">
        <f>ROUND((Source!FX97/100)*((ROUND(Source!AF97*Source!I97, 2)+ROUND(Source!AE97*Source!I97, 2))), 2)</f>
        <v>0</v>
      </c>
      <c r="T334">
        <f>Source!X97</f>
        <v>0</v>
      </c>
      <c r="U334">
        <f>ROUND((Source!FY97/100)*((ROUND(Source!AF97*Source!I97, 2)+ROUND(Source!AE97*Source!I97, 2))), 2)</f>
        <v>0</v>
      </c>
      <c r="V334">
        <f>Source!Y97</f>
        <v>0</v>
      </c>
      <c r="W334">
        <f>IF(Source!BI97&lt;=1,H334, 0)</f>
        <v>0</v>
      </c>
      <c r="X334">
        <f>IF(Source!BI97=2,H334, 0)</f>
        <v>9530.36</v>
      </c>
      <c r="Y334">
        <f>IF(Source!BI97=3,H334, 0)</f>
        <v>0</v>
      </c>
      <c r="Z334">
        <f>IF(Source!BI97=4,H334, 0)</f>
        <v>0</v>
      </c>
    </row>
    <row r="335" spans="1:26" ht="15" x14ac:dyDescent="0.25">
      <c r="G335" s="44">
        <f>H327+H328+H330+H331+H332+SUM(H334:H334)</f>
        <v>10258.11</v>
      </c>
      <c r="H335" s="44"/>
      <c r="J335" s="44">
        <f>K327+K328+K330+K331+K332+SUM(K334:K334)</f>
        <v>70780.87999999999</v>
      </c>
      <c r="K335" s="44"/>
      <c r="L335" s="33">
        <f>Source!U96</f>
        <v>26.432000000000006</v>
      </c>
      <c r="O335" s="19">
        <f>G335</f>
        <v>10258.11</v>
      </c>
      <c r="P335" s="19">
        <f>J335</f>
        <v>70780.87999999999</v>
      </c>
      <c r="Q335" s="19">
        <f>L335</f>
        <v>26.432000000000006</v>
      </c>
      <c r="W335">
        <f>IF(Source!BI96&lt;=1,H327+H328+H330+H331+H332, 0)</f>
        <v>0</v>
      </c>
      <c r="X335">
        <f>IF(Source!BI96=2,H327+H328+H330+H331+H332, 0)</f>
        <v>727.75</v>
      </c>
      <c r="Y335">
        <f>IF(Source!BI96=3,H327+H328+H330+H331+H332, 0)</f>
        <v>0</v>
      </c>
      <c r="Z335">
        <f>IF(Source!BI96=4,H327+H328+H330+H331+H332, 0)</f>
        <v>0</v>
      </c>
    </row>
    <row r="336" spans="1:26" ht="28.5" x14ac:dyDescent="0.2">
      <c r="A336" s="38" t="str">
        <f>Source!E98</f>
        <v>30</v>
      </c>
      <c r="B336" s="39" t="str">
        <f>Source!F98</f>
        <v>м08-10-010-01</v>
      </c>
      <c r="C336" s="39" t="str">
        <f>Source!G98</f>
        <v>Прокладка труб гофрированных ПВХ для защиты проводов и кабелей</v>
      </c>
      <c r="D336" s="22" t="str">
        <f>Source!H98</f>
        <v>100 м</v>
      </c>
      <c r="E336" s="10">
        <f>Source!I98</f>
        <v>1.48</v>
      </c>
      <c r="F336" s="23">
        <f>Source!AL98+Source!AM98+Source!AO98</f>
        <v>156.32999999999998</v>
      </c>
      <c r="G336" s="24"/>
      <c r="H336" s="23"/>
      <c r="I336" s="24" t="str">
        <f>Source!BO98</f>
        <v/>
      </c>
      <c r="J336" s="24"/>
      <c r="K336" s="23"/>
      <c r="L336" s="25"/>
      <c r="S336">
        <f>ROUND((Source!FX98/100)*((ROUND(Source!AF98*Source!I98, 2)+ROUND(Source!AE98*Source!I98, 2))), 2)</f>
        <v>196.19</v>
      </c>
      <c r="T336">
        <f>Source!X98</f>
        <v>1353.73</v>
      </c>
      <c r="U336">
        <f>ROUND((Source!FY98/100)*((ROUND(Source!AF98*Source!I98, 2)+ROUND(Source!AE98*Source!I98, 2))), 2)</f>
        <v>134.24</v>
      </c>
      <c r="V336">
        <f>Source!Y98</f>
        <v>926.24</v>
      </c>
    </row>
    <row r="337" spans="1:26" x14ac:dyDescent="0.2">
      <c r="C337" s="18" t="str">
        <f>"Объем: "&amp;Source!I98&amp;"=148/"&amp;"100"</f>
        <v>Объем: 1,48=148/100</v>
      </c>
    </row>
    <row r="338" spans="1:26" ht="14.25" x14ac:dyDescent="0.2">
      <c r="A338" s="38"/>
      <c r="B338" s="39"/>
      <c r="C338" s="39" t="s">
        <v>812</v>
      </c>
      <c r="D338" s="22"/>
      <c r="E338" s="10"/>
      <c r="F338" s="23">
        <f>Source!AO98</f>
        <v>139.54</v>
      </c>
      <c r="G338" s="24" t="str">
        <f>Source!DG98</f>
        <v/>
      </c>
      <c r="H338" s="23">
        <f>ROUND(Source!AF98*Source!I98, 2)</f>
        <v>206.52</v>
      </c>
      <c r="I338" s="24"/>
      <c r="J338" s="24">
        <f>IF(Source!BA98&lt;&gt; 0, Source!BA98, 1)</f>
        <v>6.9</v>
      </c>
      <c r="K338" s="23">
        <f>Source!S98</f>
        <v>1424.98</v>
      </c>
      <c r="L338" s="25"/>
      <c r="R338">
        <f>H338</f>
        <v>206.52</v>
      </c>
    </row>
    <row r="339" spans="1:26" ht="14.25" x14ac:dyDescent="0.2">
      <c r="A339" s="38"/>
      <c r="B339" s="39"/>
      <c r="C339" s="39" t="s">
        <v>819</v>
      </c>
      <c r="D339" s="22"/>
      <c r="E339" s="10"/>
      <c r="F339" s="23">
        <f>Source!AL98</f>
        <v>16.79</v>
      </c>
      <c r="G339" s="24" t="str">
        <f>Source!DD98</f>
        <v/>
      </c>
      <c r="H339" s="23">
        <f>ROUND(Source!AC98*Source!I98, 2)</f>
        <v>24.85</v>
      </c>
      <c r="I339" s="24"/>
      <c r="J339" s="24">
        <f>IF(Source!BC98&lt;&gt; 0, Source!BC98, 1)</f>
        <v>6.9</v>
      </c>
      <c r="K339" s="23">
        <f>Source!P98</f>
        <v>171.46</v>
      </c>
      <c r="L339" s="25"/>
    </row>
    <row r="340" spans="1:26" ht="14.25" x14ac:dyDescent="0.2">
      <c r="A340" s="38"/>
      <c r="B340" s="39"/>
      <c r="C340" s="39" t="s">
        <v>814</v>
      </c>
      <c r="D340" s="22" t="s">
        <v>815</v>
      </c>
      <c r="E340" s="10">
        <f>Source!BZ98</f>
        <v>95</v>
      </c>
      <c r="F340" s="42"/>
      <c r="G340" s="24"/>
      <c r="H340" s="23">
        <f>SUM(S336:S343)</f>
        <v>196.19</v>
      </c>
      <c r="I340" s="27"/>
      <c r="J340" s="21">
        <f>Source!AT98</f>
        <v>95</v>
      </c>
      <c r="K340" s="23">
        <f>SUM(T336:T343)</f>
        <v>1353.73</v>
      </c>
      <c r="L340" s="25"/>
    </row>
    <row r="341" spans="1:26" ht="14.25" x14ac:dyDescent="0.2">
      <c r="A341" s="38"/>
      <c r="B341" s="39"/>
      <c r="C341" s="39" t="s">
        <v>816</v>
      </c>
      <c r="D341" s="22" t="s">
        <v>815</v>
      </c>
      <c r="E341" s="10">
        <f>Source!CA98</f>
        <v>65</v>
      </c>
      <c r="F341" s="42"/>
      <c r="G341" s="24"/>
      <c r="H341" s="23">
        <f>SUM(U336:U343)</f>
        <v>134.24</v>
      </c>
      <c r="I341" s="27"/>
      <c r="J341" s="21">
        <f>Source!AU98</f>
        <v>65</v>
      </c>
      <c r="K341" s="23">
        <f>SUM(V336:V343)</f>
        <v>926.24</v>
      </c>
      <c r="L341" s="25"/>
    </row>
    <row r="342" spans="1:26" ht="14.25" x14ac:dyDescent="0.2">
      <c r="A342" s="38"/>
      <c r="B342" s="39"/>
      <c r="C342" s="39" t="s">
        <v>817</v>
      </c>
      <c r="D342" s="22" t="s">
        <v>818</v>
      </c>
      <c r="E342" s="10">
        <f>Source!AQ98</f>
        <v>15.2</v>
      </c>
      <c r="F342" s="23"/>
      <c r="G342" s="24" t="str">
        <f>Source!DI98</f>
        <v/>
      </c>
      <c r="H342" s="23"/>
      <c r="I342" s="24"/>
      <c r="J342" s="24"/>
      <c r="K342" s="23"/>
      <c r="L342" s="34">
        <f>Source!U98</f>
        <v>22.495999999999999</v>
      </c>
    </row>
    <row r="343" spans="1:26" ht="42.75" x14ac:dyDescent="0.2">
      <c r="A343" s="40" t="str">
        <f>Source!E99</f>
        <v>30,1</v>
      </c>
      <c r="B343" s="41" t="str">
        <f>Source!F99</f>
        <v>24.3.01.02-0022</v>
      </c>
      <c r="C343" s="41" t="str">
        <f>Source!G99</f>
        <v>Трубы гибкие гофрированные легкие из самозатухающего ПВХ (IP55) серии FL, с зондом, диаметром 20 мм</v>
      </c>
      <c r="D343" s="28" t="str">
        <f>Source!H99</f>
        <v>10 м</v>
      </c>
      <c r="E343" s="29">
        <f>Source!I99</f>
        <v>14.8</v>
      </c>
      <c r="F343" s="30">
        <f>Source!AL99+Source!AM99+Source!AO99</f>
        <v>21.2</v>
      </c>
      <c r="G343" s="36" t="s">
        <v>3</v>
      </c>
      <c r="H343" s="30">
        <f>ROUND(Source!AC99*Source!I99, 2)+ROUND(Source!AD99*Source!I99, 2)+ROUND(Source!AF99*Source!I99, 2)</f>
        <v>313.76</v>
      </c>
      <c r="I343" s="31"/>
      <c r="J343" s="31">
        <f>IF(Source!BC99&lt;&gt; 0, Source!BC99, 1)</f>
        <v>6.9</v>
      </c>
      <c r="K343" s="30">
        <f>Source!O99</f>
        <v>2164.94</v>
      </c>
      <c r="L343" s="37"/>
      <c r="S343">
        <f>ROUND((Source!FX99/100)*((ROUND(Source!AF99*Source!I99, 2)+ROUND(Source!AE99*Source!I99, 2))), 2)</f>
        <v>0</v>
      </c>
      <c r="T343">
        <f>Source!X99</f>
        <v>0</v>
      </c>
      <c r="U343">
        <f>ROUND((Source!FY99/100)*((ROUND(Source!AF99*Source!I99, 2)+ROUND(Source!AE99*Source!I99, 2))), 2)</f>
        <v>0</v>
      </c>
      <c r="V343">
        <f>Source!Y99</f>
        <v>0</v>
      </c>
      <c r="W343">
        <f>IF(Source!BI99&lt;=1,H343, 0)</f>
        <v>0</v>
      </c>
      <c r="X343">
        <f>IF(Source!BI99=2,H343, 0)</f>
        <v>313.76</v>
      </c>
      <c r="Y343">
        <f>IF(Source!BI99=3,H343, 0)</f>
        <v>0</v>
      </c>
      <c r="Z343">
        <f>IF(Source!BI99=4,H343, 0)</f>
        <v>0</v>
      </c>
    </row>
    <row r="344" spans="1:26" ht="15" x14ac:dyDescent="0.25">
      <c r="G344" s="44">
        <f>H338+H339+H340+H341+SUM(H343:H343)</f>
        <v>875.56</v>
      </c>
      <c r="H344" s="44"/>
      <c r="J344" s="44">
        <f>K338+K339+K340+K341+SUM(K343:K343)</f>
        <v>6041.35</v>
      </c>
      <c r="K344" s="44"/>
      <c r="L344" s="33">
        <f>Source!U98</f>
        <v>22.495999999999999</v>
      </c>
      <c r="O344" s="19">
        <f>G344</f>
        <v>875.56</v>
      </c>
      <c r="P344" s="19">
        <f>J344</f>
        <v>6041.35</v>
      </c>
      <c r="Q344" s="19">
        <f>L344</f>
        <v>22.495999999999999</v>
      </c>
      <c r="W344">
        <f>IF(Source!BI98&lt;=1,H338+H339+H340+H341, 0)</f>
        <v>0</v>
      </c>
      <c r="X344">
        <f>IF(Source!BI98=2,H338+H339+H340+H341, 0)</f>
        <v>561.79999999999995</v>
      </c>
      <c r="Y344">
        <f>IF(Source!BI98=3,H338+H339+H340+H341, 0)</f>
        <v>0</v>
      </c>
      <c r="Z344">
        <f>IF(Source!BI98=4,H338+H339+H340+H341, 0)</f>
        <v>0</v>
      </c>
    </row>
    <row r="345" spans="1:26" ht="71.25" x14ac:dyDescent="0.2">
      <c r="A345" s="38" t="str">
        <f>Source!E100</f>
        <v>31</v>
      </c>
      <c r="B345" s="39" t="str">
        <f>Source!F100</f>
        <v>м08-02-412-03</v>
      </c>
      <c r="C345" s="39" t="str">
        <f>Source!G100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345" s="22" t="str">
        <f>Source!H100</f>
        <v>100 м</v>
      </c>
      <c r="E345" s="10">
        <f>Source!I100</f>
        <v>1.28</v>
      </c>
      <c r="F345" s="23">
        <f>Source!AL100+Source!AM100+Source!AO100</f>
        <v>87.15</v>
      </c>
      <c r="G345" s="24"/>
      <c r="H345" s="23"/>
      <c r="I345" s="24" t="str">
        <f>Source!BO100</f>
        <v/>
      </c>
      <c r="J345" s="24"/>
      <c r="K345" s="23"/>
      <c r="L345" s="25"/>
      <c r="S345">
        <f>ROUND((Source!FX100/100)*((ROUND(Source!AF100*Source!I100, 2)+ROUND(Source!AE100*Source!I100, 2))), 2)</f>
        <v>72.83</v>
      </c>
      <c r="T345">
        <f>Source!X100</f>
        <v>502.5</v>
      </c>
      <c r="U345">
        <f>ROUND((Source!FY100/100)*((ROUND(Source!AF100*Source!I100, 2)+ROUND(Source!AE100*Source!I100, 2))), 2)</f>
        <v>49.83</v>
      </c>
      <c r="V345">
        <f>Source!Y100</f>
        <v>343.82</v>
      </c>
    </row>
    <row r="346" spans="1:26" x14ac:dyDescent="0.2">
      <c r="C346" s="18" t="str">
        <f>"Объем: "&amp;Source!I100&amp;"=128/"&amp;"100"</f>
        <v>Объем: 1,28=128/100</v>
      </c>
    </row>
    <row r="347" spans="1:26" ht="14.25" x14ac:dyDescent="0.2">
      <c r="A347" s="38"/>
      <c r="B347" s="39"/>
      <c r="C347" s="39" t="s">
        <v>812</v>
      </c>
      <c r="D347" s="22"/>
      <c r="E347" s="10"/>
      <c r="F347" s="23">
        <f>Source!AO100</f>
        <v>59.13</v>
      </c>
      <c r="G347" s="24" t="str">
        <f>Source!DG100</f>
        <v/>
      </c>
      <c r="H347" s="23">
        <f>ROUND(Source!AF100*Source!I100, 2)</f>
        <v>75.69</v>
      </c>
      <c r="I347" s="24"/>
      <c r="J347" s="24">
        <f>IF(Source!BA100&lt;&gt; 0, Source!BA100, 1)</f>
        <v>6.9</v>
      </c>
      <c r="K347" s="23">
        <f>Source!S100</f>
        <v>522.24</v>
      </c>
      <c r="L347" s="25"/>
      <c r="R347">
        <f>H347</f>
        <v>75.69</v>
      </c>
    </row>
    <row r="348" spans="1:26" ht="14.25" x14ac:dyDescent="0.2">
      <c r="A348" s="38"/>
      <c r="B348" s="39"/>
      <c r="C348" s="39" t="s">
        <v>417</v>
      </c>
      <c r="D348" s="22"/>
      <c r="E348" s="10"/>
      <c r="F348" s="23">
        <f>Source!AM100</f>
        <v>5.33</v>
      </c>
      <c r="G348" s="24" t="str">
        <f>Source!DE100</f>
        <v/>
      </c>
      <c r="H348" s="23">
        <f>ROUND(Source!AD100*Source!I100, 2)</f>
        <v>6.82</v>
      </c>
      <c r="I348" s="24"/>
      <c r="J348" s="24">
        <f>IF(Source!BB100&lt;&gt; 0, Source!BB100, 1)</f>
        <v>6.9</v>
      </c>
      <c r="K348" s="23">
        <f>Source!Q100</f>
        <v>47.07</v>
      </c>
      <c r="L348" s="25"/>
    </row>
    <row r="349" spans="1:26" ht="14.25" x14ac:dyDescent="0.2">
      <c r="A349" s="38"/>
      <c r="B349" s="39"/>
      <c r="C349" s="39" t="s">
        <v>813</v>
      </c>
      <c r="D349" s="22"/>
      <c r="E349" s="10"/>
      <c r="F349" s="23">
        <f>Source!AN100</f>
        <v>0.76</v>
      </c>
      <c r="G349" s="24" t="str">
        <f>Source!DF100</f>
        <v/>
      </c>
      <c r="H349" s="26">
        <f>ROUND(Source!AE100*Source!I100, 2)</f>
        <v>0.97</v>
      </c>
      <c r="I349" s="24"/>
      <c r="J349" s="24">
        <f>IF(Source!BS100&lt;&gt; 0, Source!BS100, 1)</f>
        <v>6.9</v>
      </c>
      <c r="K349" s="26">
        <f>Source!R100</f>
        <v>6.71</v>
      </c>
      <c r="L349" s="25"/>
      <c r="R349">
        <f>H349</f>
        <v>0.97</v>
      </c>
    </row>
    <row r="350" spans="1:26" ht="14.25" x14ac:dyDescent="0.2">
      <c r="A350" s="38"/>
      <c r="B350" s="39"/>
      <c r="C350" s="39" t="s">
        <v>819</v>
      </c>
      <c r="D350" s="22"/>
      <c r="E350" s="10"/>
      <c r="F350" s="23">
        <f>Source!AL100</f>
        <v>22.69</v>
      </c>
      <c r="G350" s="24" t="str">
        <f>Source!DD100</f>
        <v/>
      </c>
      <c r="H350" s="23">
        <f>ROUND(Source!AC100*Source!I100, 2)</f>
        <v>29.04</v>
      </c>
      <c r="I350" s="24"/>
      <c r="J350" s="24">
        <f>IF(Source!BC100&lt;&gt; 0, Source!BC100, 1)</f>
        <v>6.9</v>
      </c>
      <c r="K350" s="23">
        <f>Source!P100</f>
        <v>200.4</v>
      </c>
      <c r="L350" s="25"/>
    </row>
    <row r="351" spans="1:26" ht="14.25" x14ac:dyDescent="0.2">
      <c r="A351" s="38"/>
      <c r="B351" s="39"/>
      <c r="C351" s="39" t="s">
        <v>814</v>
      </c>
      <c r="D351" s="22" t="s">
        <v>815</v>
      </c>
      <c r="E351" s="10">
        <f>Source!BZ100</f>
        <v>95</v>
      </c>
      <c r="F351" s="42"/>
      <c r="G351" s="24"/>
      <c r="H351" s="23">
        <f>SUM(S345:S354)</f>
        <v>72.83</v>
      </c>
      <c r="I351" s="27"/>
      <c r="J351" s="21">
        <f>Source!AT100</f>
        <v>95</v>
      </c>
      <c r="K351" s="23">
        <f>SUM(T345:T354)</f>
        <v>502.5</v>
      </c>
      <c r="L351" s="25"/>
    </row>
    <row r="352" spans="1:26" ht="14.25" x14ac:dyDescent="0.2">
      <c r="A352" s="38"/>
      <c r="B352" s="39"/>
      <c r="C352" s="39" t="s">
        <v>816</v>
      </c>
      <c r="D352" s="22" t="s">
        <v>815</v>
      </c>
      <c r="E352" s="10">
        <f>Source!CA100</f>
        <v>65</v>
      </c>
      <c r="F352" s="42"/>
      <c r="G352" s="24"/>
      <c r="H352" s="23">
        <f>SUM(U345:U354)</f>
        <v>49.83</v>
      </c>
      <c r="I352" s="27"/>
      <c r="J352" s="21">
        <f>Source!AU100</f>
        <v>65</v>
      </c>
      <c r="K352" s="23">
        <f>SUM(V345:V354)</f>
        <v>343.82</v>
      </c>
      <c r="L352" s="25"/>
    </row>
    <row r="353" spans="1:26" ht="14.25" x14ac:dyDescent="0.2">
      <c r="A353" s="38"/>
      <c r="B353" s="39"/>
      <c r="C353" s="39" t="s">
        <v>817</v>
      </c>
      <c r="D353" s="22" t="s">
        <v>818</v>
      </c>
      <c r="E353" s="10">
        <f>Source!AQ100</f>
        <v>6.29</v>
      </c>
      <c r="F353" s="23"/>
      <c r="G353" s="24" t="str">
        <f>Source!DI100</f>
        <v/>
      </c>
      <c r="H353" s="23"/>
      <c r="I353" s="24"/>
      <c r="J353" s="24"/>
      <c r="K353" s="23"/>
      <c r="L353" s="34">
        <f>Source!U100</f>
        <v>8.0511999999999997</v>
      </c>
    </row>
    <row r="354" spans="1:26" ht="85.5" x14ac:dyDescent="0.2">
      <c r="A354" s="40" t="str">
        <f>Source!E101</f>
        <v>31,1</v>
      </c>
      <c r="B354" s="41" t="str">
        <f>Source!F101</f>
        <v>21.1.06.09-0100</v>
      </c>
      <c r="C354" s="41" t="str">
        <f>Source!G101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v>
      </c>
      <c r="D354" s="28" t="str">
        <f>Source!H101</f>
        <v>1000 м</v>
      </c>
      <c r="E354" s="29">
        <f>Source!I101</f>
        <v>0.128</v>
      </c>
      <c r="F354" s="30">
        <f>Source!AL101+Source!AM101+Source!AO101</f>
        <v>4814.0200000000004</v>
      </c>
      <c r="G354" s="36" t="s">
        <v>3</v>
      </c>
      <c r="H354" s="30">
        <f>ROUND(Source!AC101*Source!I101, 2)+ROUND(Source!AD101*Source!I101, 2)+ROUND(Source!AF101*Source!I101, 2)</f>
        <v>616.19000000000005</v>
      </c>
      <c r="I354" s="31"/>
      <c r="J354" s="31">
        <f>IF(Source!BC101&lt;&gt; 0, Source!BC101, 1)</f>
        <v>6.9</v>
      </c>
      <c r="K354" s="30">
        <f>Source!O101</f>
        <v>4251.74</v>
      </c>
      <c r="L354" s="37"/>
      <c r="S354">
        <f>ROUND((Source!FX101/100)*((ROUND(Source!AF101*Source!I101, 2)+ROUND(Source!AE101*Source!I101, 2))), 2)</f>
        <v>0</v>
      </c>
      <c r="T354">
        <f>Source!X101</f>
        <v>0</v>
      </c>
      <c r="U354">
        <f>ROUND((Source!FY101/100)*((ROUND(Source!AF101*Source!I101, 2)+ROUND(Source!AE101*Source!I101, 2))), 2)</f>
        <v>0</v>
      </c>
      <c r="V354">
        <f>Source!Y101</f>
        <v>0</v>
      </c>
      <c r="W354">
        <f>IF(Source!BI101&lt;=1,H354, 0)</f>
        <v>0</v>
      </c>
      <c r="X354">
        <f>IF(Source!BI101=2,H354, 0)</f>
        <v>616.19000000000005</v>
      </c>
      <c r="Y354">
        <f>IF(Source!BI101=3,H354, 0)</f>
        <v>0</v>
      </c>
      <c r="Z354">
        <f>IF(Source!BI101=4,H354, 0)</f>
        <v>0</v>
      </c>
    </row>
    <row r="355" spans="1:26" ht="15" x14ac:dyDescent="0.25">
      <c r="G355" s="44">
        <f>H347+H348+H350+H351+H352+SUM(H354:H354)</f>
        <v>850.40000000000009</v>
      </c>
      <c r="H355" s="44"/>
      <c r="J355" s="44">
        <f>K347+K348+K350+K351+K352+SUM(K354:K354)</f>
        <v>5867.7699999999995</v>
      </c>
      <c r="K355" s="44"/>
      <c r="L355" s="33">
        <f>Source!U100</f>
        <v>8.0511999999999997</v>
      </c>
      <c r="O355" s="19">
        <f>G355</f>
        <v>850.40000000000009</v>
      </c>
      <c r="P355" s="19">
        <f>J355</f>
        <v>5867.7699999999995</v>
      </c>
      <c r="Q355" s="19">
        <f>L355</f>
        <v>8.0511999999999997</v>
      </c>
      <c r="W355">
        <f>IF(Source!BI100&lt;=1,H347+H348+H350+H351+H352, 0)</f>
        <v>0</v>
      </c>
      <c r="X355">
        <f>IF(Source!BI100=2,H347+H348+H350+H351+H352, 0)</f>
        <v>234.20999999999998</v>
      </c>
      <c r="Y355">
        <f>IF(Source!BI100=3,H347+H348+H350+H351+H352, 0)</f>
        <v>0</v>
      </c>
      <c r="Z355">
        <f>IF(Source!BI100=4,H347+H348+H350+H351+H352, 0)</f>
        <v>0</v>
      </c>
    </row>
    <row r="356" spans="1:26" ht="71.25" x14ac:dyDescent="0.2">
      <c r="A356" s="38" t="str">
        <f>Source!E102</f>
        <v>32</v>
      </c>
      <c r="B356" s="39" t="str">
        <f>Source!F102</f>
        <v>м08-02-412-02</v>
      </c>
      <c r="C356" s="39" t="str">
        <f>Source!G102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356" s="22" t="str">
        <f>Source!H102</f>
        <v>100 м</v>
      </c>
      <c r="E356" s="10">
        <f>Source!I102</f>
        <v>0.2</v>
      </c>
      <c r="F356" s="23">
        <f>Source!AL102+Source!AM102+Source!AO102</f>
        <v>68.7</v>
      </c>
      <c r="G356" s="24"/>
      <c r="H356" s="23"/>
      <c r="I356" s="24" t="str">
        <f>Source!BO102</f>
        <v/>
      </c>
      <c r="J356" s="24"/>
      <c r="K356" s="23"/>
      <c r="L356" s="25"/>
      <c r="S356">
        <f>ROUND((Source!FX102/100)*((ROUND(Source!AF102*Source!I102, 2)+ROUND(Source!AE102*Source!I102, 2))), 2)</f>
        <v>9.7200000000000006</v>
      </c>
      <c r="T356">
        <f>Source!X102</f>
        <v>67.08</v>
      </c>
      <c r="U356">
        <f>ROUND((Source!FY102/100)*((ROUND(Source!AF102*Source!I102, 2)+ROUND(Source!AE102*Source!I102, 2))), 2)</f>
        <v>6.65</v>
      </c>
      <c r="V356">
        <f>Source!Y102</f>
        <v>45.9</v>
      </c>
    </row>
    <row r="357" spans="1:26" x14ac:dyDescent="0.2">
      <c r="C357" s="18" t="str">
        <f>"Объем: "&amp;Source!I102&amp;"=20/"&amp;"100"</f>
        <v>Объем: 0,2=20/100</v>
      </c>
    </row>
    <row r="358" spans="1:26" ht="14.25" x14ac:dyDescent="0.2">
      <c r="A358" s="38"/>
      <c r="B358" s="39"/>
      <c r="C358" s="39" t="s">
        <v>812</v>
      </c>
      <c r="D358" s="22"/>
      <c r="E358" s="10"/>
      <c r="F358" s="23">
        <f>Source!AO102</f>
        <v>50.67</v>
      </c>
      <c r="G358" s="24" t="str">
        <f>Source!DG102</f>
        <v/>
      </c>
      <c r="H358" s="23">
        <f>ROUND(Source!AF102*Source!I102, 2)</f>
        <v>10.130000000000001</v>
      </c>
      <c r="I358" s="24"/>
      <c r="J358" s="24">
        <f>IF(Source!BA102&lt;&gt; 0, Source!BA102, 1)</f>
        <v>6.9</v>
      </c>
      <c r="K358" s="23">
        <f>Source!S102</f>
        <v>69.92</v>
      </c>
      <c r="L358" s="25"/>
      <c r="R358">
        <f>H358</f>
        <v>10.130000000000001</v>
      </c>
    </row>
    <row r="359" spans="1:26" ht="14.25" x14ac:dyDescent="0.2">
      <c r="A359" s="38"/>
      <c r="B359" s="39"/>
      <c r="C359" s="39" t="s">
        <v>417</v>
      </c>
      <c r="D359" s="22"/>
      <c r="E359" s="10"/>
      <c r="F359" s="23">
        <f>Source!AM102</f>
        <v>3.55</v>
      </c>
      <c r="G359" s="24" t="str">
        <f>Source!DE102</f>
        <v/>
      </c>
      <c r="H359" s="23">
        <f>ROUND(Source!AD102*Source!I102, 2)</f>
        <v>0.71</v>
      </c>
      <c r="I359" s="24"/>
      <c r="J359" s="24">
        <f>IF(Source!BB102&lt;&gt; 0, Source!BB102, 1)</f>
        <v>6.9</v>
      </c>
      <c r="K359" s="23">
        <f>Source!Q102</f>
        <v>4.9000000000000004</v>
      </c>
      <c r="L359" s="25"/>
    </row>
    <row r="360" spans="1:26" ht="14.25" x14ac:dyDescent="0.2">
      <c r="A360" s="38"/>
      <c r="B360" s="39"/>
      <c r="C360" s="39" t="s">
        <v>813</v>
      </c>
      <c r="D360" s="22"/>
      <c r="E360" s="10"/>
      <c r="F360" s="23">
        <f>Source!AN102</f>
        <v>0.5</v>
      </c>
      <c r="G360" s="24" t="str">
        <f>Source!DF102</f>
        <v/>
      </c>
      <c r="H360" s="26">
        <f>ROUND(Source!AE102*Source!I102, 2)</f>
        <v>0.1</v>
      </c>
      <c r="I360" s="24"/>
      <c r="J360" s="24">
        <f>IF(Source!BS102&lt;&gt; 0, Source!BS102, 1)</f>
        <v>6.9</v>
      </c>
      <c r="K360" s="26">
        <f>Source!R102</f>
        <v>0.69</v>
      </c>
      <c r="L360" s="25"/>
      <c r="R360">
        <f>H360</f>
        <v>0.1</v>
      </c>
    </row>
    <row r="361" spans="1:26" ht="14.25" x14ac:dyDescent="0.2">
      <c r="A361" s="38"/>
      <c r="B361" s="39"/>
      <c r="C361" s="39" t="s">
        <v>819</v>
      </c>
      <c r="D361" s="22"/>
      <c r="E361" s="10"/>
      <c r="F361" s="23">
        <f>Source!AL102</f>
        <v>14.48</v>
      </c>
      <c r="G361" s="24" t="str">
        <f>Source!DD102</f>
        <v/>
      </c>
      <c r="H361" s="23">
        <f>ROUND(Source!AC102*Source!I102, 2)</f>
        <v>2.9</v>
      </c>
      <c r="I361" s="24"/>
      <c r="J361" s="24">
        <f>IF(Source!BC102&lt;&gt; 0, Source!BC102, 1)</f>
        <v>6.9</v>
      </c>
      <c r="K361" s="23">
        <f>Source!P102</f>
        <v>19.98</v>
      </c>
      <c r="L361" s="25"/>
    </row>
    <row r="362" spans="1:26" ht="14.25" x14ac:dyDescent="0.2">
      <c r="A362" s="38"/>
      <c r="B362" s="39"/>
      <c r="C362" s="39" t="s">
        <v>814</v>
      </c>
      <c r="D362" s="22" t="s">
        <v>815</v>
      </c>
      <c r="E362" s="10">
        <f>Source!BZ102</f>
        <v>95</v>
      </c>
      <c r="F362" s="42"/>
      <c r="G362" s="24"/>
      <c r="H362" s="23">
        <f>SUM(S356:S365)</f>
        <v>9.7200000000000006</v>
      </c>
      <c r="I362" s="27"/>
      <c r="J362" s="21">
        <f>Source!AT102</f>
        <v>95</v>
      </c>
      <c r="K362" s="23">
        <f>SUM(T356:T365)</f>
        <v>67.08</v>
      </c>
      <c r="L362" s="25"/>
    </row>
    <row r="363" spans="1:26" ht="14.25" x14ac:dyDescent="0.2">
      <c r="A363" s="38"/>
      <c r="B363" s="39"/>
      <c r="C363" s="39" t="s">
        <v>816</v>
      </c>
      <c r="D363" s="22" t="s">
        <v>815</v>
      </c>
      <c r="E363" s="10">
        <f>Source!CA102</f>
        <v>65</v>
      </c>
      <c r="F363" s="42"/>
      <c r="G363" s="24"/>
      <c r="H363" s="23">
        <f>SUM(U356:U365)</f>
        <v>6.65</v>
      </c>
      <c r="I363" s="27"/>
      <c r="J363" s="21">
        <f>Source!AU102</f>
        <v>65</v>
      </c>
      <c r="K363" s="23">
        <f>SUM(V356:V365)</f>
        <v>45.9</v>
      </c>
      <c r="L363" s="25"/>
    </row>
    <row r="364" spans="1:26" ht="14.25" x14ac:dyDescent="0.2">
      <c r="A364" s="38"/>
      <c r="B364" s="39"/>
      <c r="C364" s="39" t="s">
        <v>817</v>
      </c>
      <c r="D364" s="22" t="s">
        <v>818</v>
      </c>
      <c r="E364" s="10">
        <f>Source!AQ102</f>
        <v>5.39</v>
      </c>
      <c r="F364" s="23"/>
      <c r="G364" s="24" t="str">
        <f>Source!DI102</f>
        <v/>
      </c>
      <c r="H364" s="23"/>
      <c r="I364" s="24"/>
      <c r="J364" s="24"/>
      <c r="K364" s="23"/>
      <c r="L364" s="34">
        <f>Source!U102</f>
        <v>1.0780000000000001</v>
      </c>
    </row>
    <row r="365" spans="1:26" ht="85.5" x14ac:dyDescent="0.2">
      <c r="A365" s="40" t="str">
        <f>Source!E103</f>
        <v>32,1</v>
      </c>
      <c r="B365" s="41" t="str">
        <f>Source!F103</f>
        <v>21.1.06.09-0099</v>
      </c>
      <c r="C365" s="41" t="str">
        <f>Source!G103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v>
      </c>
      <c r="D365" s="28" t="str">
        <f>Source!H103</f>
        <v>1000 м</v>
      </c>
      <c r="E365" s="29">
        <f>Source!I103</f>
        <v>0.02</v>
      </c>
      <c r="F365" s="30">
        <f>Source!AL103+Source!AM103+Source!AO103</f>
        <v>3036.7</v>
      </c>
      <c r="G365" s="36" t="s">
        <v>3</v>
      </c>
      <c r="H365" s="30">
        <f>ROUND(Source!AC103*Source!I103, 2)+ROUND(Source!AD103*Source!I103, 2)+ROUND(Source!AF103*Source!I103, 2)</f>
        <v>60.73</v>
      </c>
      <c r="I365" s="31"/>
      <c r="J365" s="31">
        <f>IF(Source!BC103&lt;&gt; 0, Source!BC103, 1)</f>
        <v>6.9</v>
      </c>
      <c r="K365" s="30">
        <f>Source!O103</f>
        <v>419.06</v>
      </c>
      <c r="L365" s="37"/>
      <c r="S365">
        <f>ROUND((Source!FX103/100)*((ROUND(Source!AF103*Source!I103, 2)+ROUND(Source!AE103*Source!I103, 2))), 2)</f>
        <v>0</v>
      </c>
      <c r="T365">
        <f>Source!X103</f>
        <v>0</v>
      </c>
      <c r="U365">
        <f>ROUND((Source!FY103/100)*((ROUND(Source!AF103*Source!I103, 2)+ROUND(Source!AE103*Source!I103, 2))), 2)</f>
        <v>0</v>
      </c>
      <c r="V365">
        <f>Source!Y103</f>
        <v>0</v>
      </c>
      <c r="W365">
        <f>IF(Source!BI103&lt;=1,H365, 0)</f>
        <v>0</v>
      </c>
      <c r="X365">
        <f>IF(Source!BI103=2,H365, 0)</f>
        <v>60.73</v>
      </c>
      <c r="Y365">
        <f>IF(Source!BI103=3,H365, 0)</f>
        <v>0</v>
      </c>
      <c r="Z365">
        <f>IF(Source!BI103=4,H365, 0)</f>
        <v>0</v>
      </c>
    </row>
    <row r="366" spans="1:26" ht="15" x14ac:dyDescent="0.25">
      <c r="G366" s="44">
        <f>H358+H359+H361+H362+H363+SUM(H365:H365)</f>
        <v>90.84</v>
      </c>
      <c r="H366" s="44"/>
      <c r="J366" s="44">
        <f>K358+K359+K361+K362+K363+SUM(K365:K365)</f>
        <v>626.84</v>
      </c>
      <c r="K366" s="44"/>
      <c r="L366" s="33">
        <f>Source!U102</f>
        <v>1.0780000000000001</v>
      </c>
      <c r="O366" s="19">
        <f>G366</f>
        <v>90.84</v>
      </c>
      <c r="P366" s="19">
        <f>J366</f>
        <v>626.84</v>
      </c>
      <c r="Q366" s="19">
        <f>L366</f>
        <v>1.0780000000000001</v>
      </c>
      <c r="W366">
        <f>IF(Source!BI102&lt;=1,H358+H359+H361+H362+H363, 0)</f>
        <v>0</v>
      </c>
      <c r="X366">
        <f>IF(Source!BI102=2,H358+H359+H361+H362+H363, 0)</f>
        <v>30.11</v>
      </c>
      <c r="Y366">
        <f>IF(Source!BI102=3,H358+H359+H361+H362+H363, 0)</f>
        <v>0</v>
      </c>
      <c r="Z366">
        <f>IF(Source!BI102=4,H358+H359+H361+H362+H363, 0)</f>
        <v>0</v>
      </c>
    </row>
    <row r="367" spans="1:26" ht="28.5" x14ac:dyDescent="0.2">
      <c r="A367" s="38" t="str">
        <f>Source!E104</f>
        <v>33</v>
      </c>
      <c r="B367" s="39" t="str">
        <f>Source!F104</f>
        <v>46-03-011-01</v>
      </c>
      <c r="C367" s="39" t="str">
        <f>Source!G104</f>
        <v>Пробивка в кирпичных стенах борозд площадью сечения до 20 см2</v>
      </c>
      <c r="D367" s="22" t="str">
        <f>Source!H104</f>
        <v>100 м</v>
      </c>
      <c r="E367" s="10">
        <f>Source!I104</f>
        <v>0.19</v>
      </c>
      <c r="F367" s="23">
        <f>Source!AL104+Source!AM104+Source!AO104</f>
        <v>287.95000000000005</v>
      </c>
      <c r="G367" s="24"/>
      <c r="H367" s="23"/>
      <c r="I367" s="24" t="str">
        <f>Source!BO104</f>
        <v/>
      </c>
      <c r="J367" s="24"/>
      <c r="K367" s="23"/>
      <c r="L367" s="25"/>
      <c r="S367">
        <f>ROUND((Source!FX104/100)*((ROUND(Source!AF104*Source!I104, 2)+ROUND(Source!AE104*Source!I104, 2))), 2)</f>
        <v>27.01</v>
      </c>
      <c r="T367">
        <f>Source!X104</f>
        <v>186.35</v>
      </c>
      <c r="U367">
        <f>ROUND((Source!FY104/100)*((ROUND(Source!AF104*Source!I104, 2)+ROUND(Source!AE104*Source!I104, 2))), 2)</f>
        <v>16.23</v>
      </c>
      <c r="V367">
        <f>Source!Y104</f>
        <v>112.94</v>
      </c>
    </row>
    <row r="368" spans="1:26" x14ac:dyDescent="0.2">
      <c r="C368" s="18" t="str">
        <f>"Объем: "&amp;Source!I104&amp;"=19/"&amp;"100"</f>
        <v>Объем: 0,19=19/100</v>
      </c>
    </row>
    <row r="369" spans="1:26" ht="14.25" x14ac:dyDescent="0.2">
      <c r="A369" s="38"/>
      <c r="B369" s="39"/>
      <c r="C369" s="39" t="s">
        <v>812</v>
      </c>
      <c r="D369" s="22"/>
      <c r="E369" s="10"/>
      <c r="F369" s="23">
        <f>Source!AO104</f>
        <v>143.58000000000001</v>
      </c>
      <c r="G369" s="24" t="str">
        <f>Source!DG104</f>
        <v/>
      </c>
      <c r="H369" s="23">
        <f>ROUND(Source!AF104*Source!I104, 2)</f>
        <v>27.28</v>
      </c>
      <c r="I369" s="24"/>
      <c r="J369" s="24">
        <f>IF(Source!BA104&lt;&gt; 0, Source!BA104, 1)</f>
        <v>6.9</v>
      </c>
      <c r="K369" s="23">
        <f>Source!S104</f>
        <v>188.23</v>
      </c>
      <c r="L369" s="25"/>
      <c r="R369">
        <f>H369</f>
        <v>27.28</v>
      </c>
    </row>
    <row r="370" spans="1:26" ht="14.25" x14ac:dyDescent="0.2">
      <c r="A370" s="38"/>
      <c r="B370" s="39"/>
      <c r="C370" s="39" t="s">
        <v>417</v>
      </c>
      <c r="D370" s="22"/>
      <c r="E370" s="10"/>
      <c r="F370" s="23">
        <f>Source!AM104</f>
        <v>144.37</v>
      </c>
      <c r="G370" s="24" t="str">
        <f>Source!DE104</f>
        <v/>
      </c>
      <c r="H370" s="23">
        <f>ROUND(Source!AD104*Source!I104, 2)</f>
        <v>27.43</v>
      </c>
      <c r="I370" s="24"/>
      <c r="J370" s="24">
        <f>IF(Source!BB104&lt;&gt; 0, Source!BB104, 1)</f>
        <v>6.9</v>
      </c>
      <c r="K370" s="23">
        <f>Source!Q104</f>
        <v>189.27</v>
      </c>
      <c r="L370" s="25"/>
    </row>
    <row r="371" spans="1:26" ht="14.25" x14ac:dyDescent="0.2">
      <c r="A371" s="38"/>
      <c r="B371" s="39"/>
      <c r="C371" s="39" t="s">
        <v>814</v>
      </c>
      <c r="D371" s="22" t="s">
        <v>815</v>
      </c>
      <c r="E371" s="10">
        <f>Source!BZ104</f>
        <v>110</v>
      </c>
      <c r="F371" s="45" t="str">
        <f>CONCATENATE(" )", Source!DL104, Source!FT104, "=", Source!FX104)</f>
        <v xml:space="preserve"> )*0,9=99</v>
      </c>
      <c r="G371" s="46"/>
      <c r="H371" s="23">
        <f>SUM(S367:S373)</f>
        <v>27.01</v>
      </c>
      <c r="I371" s="27"/>
      <c r="J371" s="21">
        <f>Source!AT104</f>
        <v>99</v>
      </c>
      <c r="K371" s="23">
        <f>SUM(T367:T373)</f>
        <v>186.35</v>
      </c>
      <c r="L371" s="25"/>
    </row>
    <row r="372" spans="1:26" ht="14.25" x14ac:dyDescent="0.2">
      <c r="A372" s="38"/>
      <c r="B372" s="39"/>
      <c r="C372" s="39" t="s">
        <v>816</v>
      </c>
      <c r="D372" s="22" t="s">
        <v>815</v>
      </c>
      <c r="E372" s="10">
        <f>Source!CA104</f>
        <v>70</v>
      </c>
      <c r="F372" s="45" t="str">
        <f>CONCATENATE(" )", Source!DM104, Source!FU104, "=", Source!FY104)</f>
        <v xml:space="preserve"> )*0,85=59,5</v>
      </c>
      <c r="G372" s="46"/>
      <c r="H372" s="23">
        <f>SUM(U367:U373)</f>
        <v>16.23</v>
      </c>
      <c r="I372" s="27"/>
      <c r="J372" s="21">
        <f>Source!AU104</f>
        <v>60</v>
      </c>
      <c r="K372" s="23">
        <f>SUM(V367:V373)</f>
        <v>112.94</v>
      </c>
      <c r="L372" s="25"/>
    </row>
    <row r="373" spans="1:26" ht="14.25" x14ac:dyDescent="0.2">
      <c r="A373" s="40"/>
      <c r="B373" s="41"/>
      <c r="C373" s="41" t="s">
        <v>817</v>
      </c>
      <c r="D373" s="28" t="s">
        <v>818</v>
      </c>
      <c r="E373" s="29">
        <f>Source!AQ104</f>
        <v>15.64</v>
      </c>
      <c r="F373" s="30"/>
      <c r="G373" s="31" t="str">
        <f>Source!DI104</f>
        <v/>
      </c>
      <c r="H373" s="30"/>
      <c r="I373" s="31"/>
      <c r="J373" s="31"/>
      <c r="K373" s="30"/>
      <c r="L373" s="32">
        <f>Source!U104</f>
        <v>2.9716</v>
      </c>
    </row>
    <row r="374" spans="1:26" ht="15" x14ac:dyDescent="0.25">
      <c r="G374" s="44">
        <f>H369+H370+H371+H372</f>
        <v>97.95</v>
      </c>
      <c r="H374" s="44"/>
      <c r="J374" s="44">
        <f>K369+K370+K371+K372</f>
        <v>676.79</v>
      </c>
      <c r="K374" s="44"/>
      <c r="L374" s="33">
        <f>Source!U104</f>
        <v>2.9716</v>
      </c>
      <c r="O374" s="19">
        <f>G374</f>
        <v>97.95</v>
      </c>
      <c r="P374" s="19">
        <f>J374</f>
        <v>676.79</v>
      </c>
      <c r="Q374" s="19">
        <f>L374</f>
        <v>2.9716</v>
      </c>
      <c r="W374">
        <f>IF(Source!BI104&lt;=1,H369+H370+H371+H372, 0)</f>
        <v>97.95</v>
      </c>
      <c r="X374">
        <f>IF(Source!BI104=2,H369+H370+H371+H372, 0)</f>
        <v>0</v>
      </c>
      <c r="Y374">
        <f>IF(Source!BI104=3,H369+H370+H371+H372, 0)</f>
        <v>0</v>
      </c>
      <c r="Z374">
        <f>IF(Source!BI104=4,H369+H370+H371+H372, 0)</f>
        <v>0</v>
      </c>
    </row>
    <row r="375" spans="1:26" ht="71.25" x14ac:dyDescent="0.2">
      <c r="A375" s="38" t="str">
        <f>Source!E105</f>
        <v>34</v>
      </c>
      <c r="B375" s="39" t="str">
        <f>Source!F105</f>
        <v>61-2-7</v>
      </c>
      <c r="C375" s="39" t="str">
        <f>Source!G105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375" s="22" t="str">
        <f>Source!H105</f>
        <v>100 м2</v>
      </c>
      <c r="E375" s="10">
        <f>Source!I105</f>
        <v>9.4999999999999998E-3</v>
      </c>
      <c r="F375" s="23">
        <f>Source!AL105+Source!AM105+Source!AO105</f>
        <v>3184.37</v>
      </c>
      <c r="G375" s="24"/>
      <c r="H375" s="23"/>
      <c r="I375" s="24" t="str">
        <f>Source!BO105</f>
        <v/>
      </c>
      <c r="J375" s="24"/>
      <c r="K375" s="23"/>
      <c r="L375" s="25"/>
      <c r="S375">
        <f>ROUND((Source!FX105/100)*((ROUND(Source!AF105*Source!I105, 2)+ROUND(Source!AE105*Source!I105, 2))), 2)</f>
        <v>15.25</v>
      </c>
      <c r="T375">
        <f>Source!X105</f>
        <v>105.24</v>
      </c>
      <c r="U375">
        <f>ROUND((Source!FY105/100)*((ROUND(Source!AF105*Source!I105, 2)+ROUND(Source!AE105*Source!I105, 2))), 2)</f>
        <v>9.66</v>
      </c>
      <c r="V375">
        <f>Source!Y105</f>
        <v>66.61</v>
      </c>
    </row>
    <row r="376" spans="1:26" x14ac:dyDescent="0.2">
      <c r="C376" s="18" t="str">
        <f>"Объем: "&amp;Source!I105&amp;"=0,95/"&amp;"100"</f>
        <v>Объем: 0,0095=0,95/100</v>
      </c>
    </row>
    <row r="377" spans="1:26" ht="14.25" x14ac:dyDescent="0.2">
      <c r="A377" s="38"/>
      <c r="B377" s="39"/>
      <c r="C377" s="39" t="s">
        <v>812</v>
      </c>
      <c r="D377" s="22"/>
      <c r="E377" s="10"/>
      <c r="F377" s="23">
        <f>Source!AO105</f>
        <v>2023.18</v>
      </c>
      <c r="G377" s="24" t="str">
        <f>Source!DG105</f>
        <v/>
      </c>
      <c r="H377" s="23">
        <f>ROUND(Source!AF105*Source!I105, 2)</f>
        <v>19.22</v>
      </c>
      <c r="I377" s="24"/>
      <c r="J377" s="24">
        <f>IF(Source!BA105&lt;&gt; 0, Source!BA105, 1)</f>
        <v>6.9</v>
      </c>
      <c r="K377" s="23">
        <f>Source!S105</f>
        <v>132.62</v>
      </c>
      <c r="L377" s="25"/>
      <c r="R377">
        <f>H377</f>
        <v>19.22</v>
      </c>
    </row>
    <row r="378" spans="1:26" ht="14.25" x14ac:dyDescent="0.2">
      <c r="A378" s="38"/>
      <c r="B378" s="39"/>
      <c r="C378" s="39" t="s">
        <v>417</v>
      </c>
      <c r="D378" s="22"/>
      <c r="E378" s="10"/>
      <c r="F378" s="23">
        <f>Source!AM105</f>
        <v>20.94</v>
      </c>
      <c r="G378" s="24" t="str">
        <f>Source!DE105</f>
        <v/>
      </c>
      <c r="H378" s="23">
        <f>ROUND(Source!AD105*Source!I105, 2)</f>
        <v>0.2</v>
      </c>
      <c r="I378" s="24"/>
      <c r="J378" s="24">
        <f>IF(Source!BB105&lt;&gt; 0, Source!BB105, 1)</f>
        <v>6.9</v>
      </c>
      <c r="K378" s="23">
        <f>Source!Q105</f>
        <v>1.37</v>
      </c>
      <c r="L378" s="25"/>
    </row>
    <row r="379" spans="1:26" ht="14.25" x14ac:dyDescent="0.2">
      <c r="A379" s="38"/>
      <c r="B379" s="39"/>
      <c r="C379" s="39" t="s">
        <v>813</v>
      </c>
      <c r="D379" s="22"/>
      <c r="E379" s="10"/>
      <c r="F379" s="23">
        <f>Source!AN105</f>
        <v>9.0500000000000007</v>
      </c>
      <c r="G379" s="24" t="str">
        <f>Source!DF105</f>
        <v/>
      </c>
      <c r="H379" s="26">
        <f>ROUND(Source!AE105*Source!I105, 2)</f>
        <v>0.09</v>
      </c>
      <c r="I379" s="24"/>
      <c r="J379" s="24">
        <f>IF(Source!BS105&lt;&gt; 0, Source!BS105, 1)</f>
        <v>6.9</v>
      </c>
      <c r="K379" s="26">
        <f>Source!R105</f>
        <v>0.59</v>
      </c>
      <c r="L379" s="25"/>
      <c r="R379">
        <f>H379</f>
        <v>0.09</v>
      </c>
    </row>
    <row r="380" spans="1:26" ht="14.25" x14ac:dyDescent="0.2">
      <c r="A380" s="38"/>
      <c r="B380" s="39"/>
      <c r="C380" s="39" t="s">
        <v>819</v>
      </c>
      <c r="D380" s="22"/>
      <c r="E380" s="10"/>
      <c r="F380" s="23">
        <f>Source!AL105</f>
        <v>1140.25</v>
      </c>
      <c r="G380" s="24" t="str">
        <f>Source!DD105</f>
        <v/>
      </c>
      <c r="H380" s="23">
        <f>ROUND(Source!AC105*Source!I105, 2)</f>
        <v>10.83</v>
      </c>
      <c r="I380" s="24"/>
      <c r="J380" s="24">
        <f>IF(Source!BC105&lt;&gt; 0, Source!BC105, 1)</f>
        <v>6.9</v>
      </c>
      <c r="K380" s="23">
        <f>Source!P105</f>
        <v>74.739999999999995</v>
      </c>
      <c r="L380" s="25"/>
    </row>
    <row r="381" spans="1:26" ht="14.25" x14ac:dyDescent="0.2">
      <c r="A381" s="38"/>
      <c r="B381" s="39"/>
      <c r="C381" s="39" t="s">
        <v>814</v>
      </c>
      <c r="D381" s="22" t="s">
        <v>815</v>
      </c>
      <c r="E381" s="10">
        <f>Source!BZ105</f>
        <v>79</v>
      </c>
      <c r="F381" s="42"/>
      <c r="G381" s="24"/>
      <c r="H381" s="23">
        <f>SUM(S375:S383)</f>
        <v>15.25</v>
      </c>
      <c r="I381" s="27"/>
      <c r="J381" s="21">
        <f>Source!AT105</f>
        <v>79</v>
      </c>
      <c r="K381" s="23">
        <f>SUM(T375:T383)</f>
        <v>105.24</v>
      </c>
      <c r="L381" s="25"/>
    </row>
    <row r="382" spans="1:26" ht="14.25" x14ac:dyDescent="0.2">
      <c r="A382" s="38"/>
      <c r="B382" s="39"/>
      <c r="C382" s="39" t="s">
        <v>816</v>
      </c>
      <c r="D382" s="22" t="s">
        <v>815</v>
      </c>
      <c r="E382" s="10">
        <f>Source!CA105</f>
        <v>50</v>
      </c>
      <c r="F382" s="42"/>
      <c r="G382" s="24"/>
      <c r="H382" s="23">
        <f>SUM(U375:U383)</f>
        <v>9.66</v>
      </c>
      <c r="I382" s="27"/>
      <c r="J382" s="21">
        <f>Source!AU105</f>
        <v>50</v>
      </c>
      <c r="K382" s="23">
        <f>SUM(V375:V383)</f>
        <v>66.61</v>
      </c>
      <c r="L382" s="25"/>
    </row>
    <row r="383" spans="1:26" ht="14.25" x14ac:dyDescent="0.2">
      <c r="A383" s="40"/>
      <c r="B383" s="41"/>
      <c r="C383" s="41" t="s">
        <v>817</v>
      </c>
      <c r="D383" s="28" t="s">
        <v>818</v>
      </c>
      <c r="E383" s="29">
        <f>Source!AQ105</f>
        <v>228.35</v>
      </c>
      <c r="F383" s="30"/>
      <c r="G383" s="31" t="str">
        <f>Source!DI105</f>
        <v/>
      </c>
      <c r="H383" s="30"/>
      <c r="I383" s="31"/>
      <c r="J383" s="31"/>
      <c r="K383" s="30"/>
      <c r="L383" s="32">
        <f>Source!U105</f>
        <v>2.1693249999999997</v>
      </c>
    </row>
    <row r="384" spans="1:26" ht="15" x14ac:dyDescent="0.25">
      <c r="G384" s="44">
        <f>H377+H378+H380+H381+H382</f>
        <v>55.16</v>
      </c>
      <c r="H384" s="44"/>
      <c r="J384" s="44">
        <f>K377+K378+K380+K381+K382</f>
        <v>380.58000000000004</v>
      </c>
      <c r="K384" s="44"/>
      <c r="L384" s="33">
        <f>Source!U105</f>
        <v>2.1693249999999997</v>
      </c>
      <c r="O384" s="19">
        <f>G384</f>
        <v>55.16</v>
      </c>
      <c r="P384" s="19">
        <f>J384</f>
        <v>380.58000000000004</v>
      </c>
      <c r="Q384" s="19">
        <f>L384</f>
        <v>2.1693249999999997</v>
      </c>
      <c r="W384">
        <f>IF(Source!BI105&lt;=1,H377+H378+H380+H381+H382, 0)</f>
        <v>55.16</v>
      </c>
      <c r="X384">
        <f>IF(Source!BI105=2,H377+H378+H380+H381+H382, 0)</f>
        <v>0</v>
      </c>
      <c r="Y384">
        <f>IF(Source!BI105=3,H377+H378+H380+H381+H382, 0)</f>
        <v>0</v>
      </c>
      <c r="Z384">
        <f>IF(Source!BI105=4,H377+H378+H380+H381+H382, 0)</f>
        <v>0</v>
      </c>
    </row>
    <row r="385" spans="1:26" ht="57" x14ac:dyDescent="0.2">
      <c r="A385" s="38" t="str">
        <f>Source!E106</f>
        <v>35</v>
      </c>
      <c r="B385" s="39" t="str">
        <f>Source!F106</f>
        <v>м08-02-403-03</v>
      </c>
      <c r="C385" s="39" t="str">
        <f>Source!G106</f>
        <v>Провод групповой в защитной оболочке или кабель трех-пятижильный под штукатурку по стенам или в бороздах</v>
      </c>
      <c r="D385" s="22" t="str">
        <f>Source!H106</f>
        <v>100 м</v>
      </c>
      <c r="E385" s="10">
        <f>Source!I106</f>
        <v>0.38</v>
      </c>
      <c r="F385" s="23">
        <f>Source!AL106+Source!AM106+Source!AO106</f>
        <v>199.73</v>
      </c>
      <c r="G385" s="24"/>
      <c r="H385" s="23"/>
      <c r="I385" s="24" t="str">
        <f>Source!BO106</f>
        <v/>
      </c>
      <c r="J385" s="24"/>
      <c r="K385" s="23"/>
      <c r="L385" s="25"/>
      <c r="S385">
        <f>ROUND((Source!FX106/100)*((ROUND(Source!AF106*Source!I106, 2)+ROUND(Source!AE106*Source!I106, 2))), 2)</f>
        <v>56.17</v>
      </c>
      <c r="T385">
        <f>Source!X106</f>
        <v>387.58</v>
      </c>
      <c r="U385">
        <f>ROUND((Source!FY106/100)*((ROUND(Source!AF106*Source!I106, 2)+ROUND(Source!AE106*Source!I106, 2))), 2)</f>
        <v>38.43</v>
      </c>
      <c r="V385">
        <f>Source!Y106</f>
        <v>265.19</v>
      </c>
    </row>
    <row r="386" spans="1:26" x14ac:dyDescent="0.2">
      <c r="C386" s="18" t="str">
        <f>"Объем: "&amp;Source!I106&amp;"=38/"&amp;"100"</f>
        <v>Объем: 0,38=38/100</v>
      </c>
    </row>
    <row r="387" spans="1:26" ht="14.25" x14ac:dyDescent="0.2">
      <c r="A387" s="38"/>
      <c r="B387" s="39"/>
      <c r="C387" s="39" t="s">
        <v>812</v>
      </c>
      <c r="D387" s="22"/>
      <c r="E387" s="10"/>
      <c r="F387" s="23">
        <f>Source!AO106</f>
        <v>155.1</v>
      </c>
      <c r="G387" s="24" t="str">
        <f>Source!DG106</f>
        <v/>
      </c>
      <c r="H387" s="23">
        <f>ROUND(Source!AF106*Source!I106, 2)</f>
        <v>58.94</v>
      </c>
      <c r="I387" s="24"/>
      <c r="J387" s="24">
        <f>IF(Source!BA106&lt;&gt; 0, Source!BA106, 1)</f>
        <v>6.9</v>
      </c>
      <c r="K387" s="23">
        <f>Source!S106</f>
        <v>406.67</v>
      </c>
      <c r="L387" s="25"/>
      <c r="R387">
        <f>H387</f>
        <v>58.94</v>
      </c>
    </row>
    <row r="388" spans="1:26" ht="14.25" x14ac:dyDescent="0.2">
      <c r="A388" s="38"/>
      <c r="B388" s="39"/>
      <c r="C388" s="39" t="s">
        <v>417</v>
      </c>
      <c r="D388" s="22"/>
      <c r="E388" s="10"/>
      <c r="F388" s="23">
        <f>Source!AM106</f>
        <v>3.55</v>
      </c>
      <c r="G388" s="24" t="str">
        <f>Source!DE106</f>
        <v/>
      </c>
      <c r="H388" s="23">
        <f>ROUND(Source!AD106*Source!I106, 2)</f>
        <v>1.35</v>
      </c>
      <c r="I388" s="24"/>
      <c r="J388" s="24">
        <f>IF(Source!BB106&lt;&gt; 0, Source!BB106, 1)</f>
        <v>6.9</v>
      </c>
      <c r="K388" s="23">
        <f>Source!Q106</f>
        <v>9.31</v>
      </c>
      <c r="L388" s="25"/>
    </row>
    <row r="389" spans="1:26" ht="14.25" x14ac:dyDescent="0.2">
      <c r="A389" s="38"/>
      <c r="B389" s="39"/>
      <c r="C389" s="39" t="s">
        <v>813</v>
      </c>
      <c r="D389" s="22"/>
      <c r="E389" s="10"/>
      <c r="F389" s="23">
        <f>Source!AN106</f>
        <v>0.5</v>
      </c>
      <c r="G389" s="24" t="str">
        <f>Source!DF106</f>
        <v/>
      </c>
      <c r="H389" s="26">
        <f>ROUND(Source!AE106*Source!I106, 2)</f>
        <v>0.19</v>
      </c>
      <c r="I389" s="24"/>
      <c r="J389" s="24">
        <f>IF(Source!BS106&lt;&gt; 0, Source!BS106, 1)</f>
        <v>6.9</v>
      </c>
      <c r="K389" s="26">
        <f>Source!R106</f>
        <v>1.31</v>
      </c>
      <c r="L389" s="25"/>
      <c r="R389">
        <f>H389</f>
        <v>0.19</v>
      </c>
    </row>
    <row r="390" spans="1:26" ht="14.25" x14ac:dyDescent="0.2">
      <c r="A390" s="38"/>
      <c r="B390" s="39"/>
      <c r="C390" s="39" t="s">
        <v>819</v>
      </c>
      <c r="D390" s="22"/>
      <c r="E390" s="10"/>
      <c r="F390" s="23">
        <f>Source!AL106</f>
        <v>41.08</v>
      </c>
      <c r="G390" s="24" t="str">
        <f>Source!DD106</f>
        <v/>
      </c>
      <c r="H390" s="23">
        <f>ROUND(Source!AC106*Source!I106, 2)</f>
        <v>15.61</v>
      </c>
      <c r="I390" s="24"/>
      <c r="J390" s="24">
        <f>IF(Source!BC106&lt;&gt; 0, Source!BC106, 1)</f>
        <v>6.9</v>
      </c>
      <c r="K390" s="23">
        <f>Source!P106</f>
        <v>107.71</v>
      </c>
      <c r="L390" s="25"/>
    </row>
    <row r="391" spans="1:26" ht="14.25" x14ac:dyDescent="0.2">
      <c r="A391" s="38"/>
      <c r="B391" s="39"/>
      <c r="C391" s="39" t="s">
        <v>814</v>
      </c>
      <c r="D391" s="22" t="s">
        <v>815</v>
      </c>
      <c r="E391" s="10">
        <f>Source!BZ106</f>
        <v>95</v>
      </c>
      <c r="F391" s="42"/>
      <c r="G391" s="24"/>
      <c r="H391" s="23">
        <f>SUM(S385:S394)</f>
        <v>56.17</v>
      </c>
      <c r="I391" s="27"/>
      <c r="J391" s="21">
        <f>Source!AT106</f>
        <v>95</v>
      </c>
      <c r="K391" s="23">
        <f>SUM(T385:T394)</f>
        <v>387.58</v>
      </c>
      <c r="L391" s="25"/>
    </row>
    <row r="392" spans="1:26" ht="14.25" x14ac:dyDescent="0.2">
      <c r="A392" s="38"/>
      <c r="B392" s="39"/>
      <c r="C392" s="39" t="s">
        <v>816</v>
      </c>
      <c r="D392" s="22" t="s">
        <v>815</v>
      </c>
      <c r="E392" s="10">
        <f>Source!CA106</f>
        <v>65</v>
      </c>
      <c r="F392" s="42"/>
      <c r="G392" s="24"/>
      <c r="H392" s="23">
        <f>SUM(U385:U394)</f>
        <v>38.43</v>
      </c>
      <c r="I392" s="27"/>
      <c r="J392" s="21">
        <f>Source!AU106</f>
        <v>65</v>
      </c>
      <c r="K392" s="23">
        <f>SUM(V385:V394)</f>
        <v>265.19</v>
      </c>
      <c r="L392" s="25"/>
    </row>
    <row r="393" spans="1:26" ht="14.25" x14ac:dyDescent="0.2">
      <c r="A393" s="38"/>
      <c r="B393" s="39"/>
      <c r="C393" s="39" t="s">
        <v>817</v>
      </c>
      <c r="D393" s="22" t="s">
        <v>818</v>
      </c>
      <c r="E393" s="10">
        <f>Source!AQ106</f>
        <v>16.5</v>
      </c>
      <c r="F393" s="23"/>
      <c r="G393" s="24" t="str">
        <f>Source!DI106</f>
        <v/>
      </c>
      <c r="H393" s="23"/>
      <c r="I393" s="24"/>
      <c r="J393" s="24"/>
      <c r="K393" s="23"/>
      <c r="L393" s="34">
        <f>Source!U106</f>
        <v>6.2700000000000005</v>
      </c>
    </row>
    <row r="394" spans="1:26" ht="85.5" x14ac:dyDescent="0.2">
      <c r="A394" s="40" t="str">
        <f>Source!E107</f>
        <v>35,1</v>
      </c>
      <c r="B394" s="41" t="str">
        <f>Source!F107</f>
        <v>21.1.06.09-0099</v>
      </c>
      <c r="C394" s="41" t="str">
        <f>Source!G107</f>
        <v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v>
      </c>
      <c r="D394" s="28" t="str">
        <f>Source!H107</f>
        <v>1000 м</v>
      </c>
      <c r="E394" s="29">
        <f>Source!I107</f>
        <v>3.7999999999999999E-2</v>
      </c>
      <c r="F394" s="30">
        <f>Source!AL107+Source!AM107+Source!AO107</f>
        <v>3036.7</v>
      </c>
      <c r="G394" s="36" t="s">
        <v>3</v>
      </c>
      <c r="H394" s="30">
        <f>ROUND(Source!AC107*Source!I107, 2)+ROUND(Source!AD107*Source!I107, 2)+ROUND(Source!AF107*Source!I107, 2)</f>
        <v>115.39</v>
      </c>
      <c r="I394" s="31"/>
      <c r="J394" s="31">
        <f>IF(Source!BC107&lt;&gt; 0, Source!BC107, 1)</f>
        <v>6.9</v>
      </c>
      <c r="K394" s="30">
        <f>Source!O107</f>
        <v>796.22</v>
      </c>
      <c r="L394" s="37"/>
      <c r="S394">
        <f>ROUND((Source!FX107/100)*((ROUND(Source!AF107*Source!I107, 2)+ROUND(Source!AE107*Source!I107, 2))), 2)</f>
        <v>0</v>
      </c>
      <c r="T394">
        <f>Source!X107</f>
        <v>0</v>
      </c>
      <c r="U394">
        <f>ROUND((Source!FY107/100)*((ROUND(Source!AF107*Source!I107, 2)+ROUND(Source!AE107*Source!I107, 2))), 2)</f>
        <v>0</v>
      </c>
      <c r="V394">
        <f>Source!Y107</f>
        <v>0</v>
      </c>
      <c r="W394">
        <f>IF(Source!BI107&lt;=1,H394, 0)</f>
        <v>0</v>
      </c>
      <c r="X394">
        <f>IF(Source!BI107=2,H394, 0)</f>
        <v>115.39</v>
      </c>
      <c r="Y394">
        <f>IF(Source!BI107=3,H394, 0)</f>
        <v>0</v>
      </c>
      <c r="Z394">
        <f>IF(Source!BI107=4,H394, 0)</f>
        <v>0</v>
      </c>
    </row>
    <row r="395" spans="1:26" ht="15" x14ac:dyDescent="0.25">
      <c r="G395" s="44">
        <f>H387+H388+H390+H391+H392+SUM(H394:H394)</f>
        <v>285.89</v>
      </c>
      <c r="H395" s="44"/>
      <c r="J395" s="44">
        <f>K387+K388+K390+K391+K392+SUM(K394:K394)</f>
        <v>1972.68</v>
      </c>
      <c r="K395" s="44"/>
      <c r="L395" s="33">
        <f>Source!U106</f>
        <v>6.2700000000000005</v>
      </c>
      <c r="O395" s="19">
        <f>G395</f>
        <v>285.89</v>
      </c>
      <c r="P395" s="19">
        <f>J395</f>
        <v>1972.68</v>
      </c>
      <c r="Q395" s="19">
        <f>L395</f>
        <v>6.2700000000000005</v>
      </c>
      <c r="W395">
        <f>IF(Source!BI106&lt;=1,H387+H388+H390+H391+H392, 0)</f>
        <v>0</v>
      </c>
      <c r="X395">
        <f>IF(Source!BI106=2,H387+H388+H390+H391+H392, 0)</f>
        <v>170.5</v>
      </c>
      <c r="Y395">
        <f>IF(Source!BI106=3,H387+H388+H390+H391+H392, 0)</f>
        <v>0</v>
      </c>
      <c r="Z395">
        <f>IF(Source!BI106=4,H387+H388+H390+H391+H392, 0)</f>
        <v>0</v>
      </c>
    </row>
    <row r="396" spans="1:26" ht="14.25" x14ac:dyDescent="0.2">
      <c r="A396" s="38" t="str">
        <f>Source!E108</f>
        <v>36</v>
      </c>
      <c r="B396" s="39" t="str">
        <f>Source!F108</f>
        <v>м10-08-019-01</v>
      </c>
      <c r="C396" s="39" t="str">
        <f>Source!G108</f>
        <v>Коробка ответвительная на стене</v>
      </c>
      <c r="D396" s="22" t="str">
        <f>Source!H108</f>
        <v>ШТ</v>
      </c>
      <c r="E396" s="10">
        <f>Source!I108</f>
        <v>10</v>
      </c>
      <c r="F396" s="23">
        <f>Source!AL108+Source!AM108+Source!AO108</f>
        <v>5.29</v>
      </c>
      <c r="G396" s="24"/>
      <c r="H396" s="23"/>
      <c r="I396" s="24" t="str">
        <f>Source!BO108</f>
        <v/>
      </c>
      <c r="J396" s="24"/>
      <c r="K396" s="23"/>
      <c r="L396" s="25"/>
      <c r="S396">
        <f>ROUND((Source!FX108/100)*((ROUND(Source!AF108*Source!I108, 2)+ROUND(Source!AE108*Source!I108, 2))), 2)</f>
        <v>39.04</v>
      </c>
      <c r="T396">
        <f>Source!X108</f>
        <v>269.38</v>
      </c>
      <c r="U396">
        <f>ROUND((Source!FY108/100)*((ROUND(Source!AF108*Source!I108, 2)+ROUND(Source!AE108*Source!I108, 2))), 2)</f>
        <v>29.28</v>
      </c>
      <c r="V396">
        <f>Source!Y108</f>
        <v>202.03</v>
      </c>
    </row>
    <row r="397" spans="1:26" ht="14.25" x14ac:dyDescent="0.2">
      <c r="A397" s="38"/>
      <c r="B397" s="39"/>
      <c r="C397" s="39" t="s">
        <v>812</v>
      </c>
      <c r="D397" s="22"/>
      <c r="E397" s="10"/>
      <c r="F397" s="23">
        <f>Source!AO108</f>
        <v>4.88</v>
      </c>
      <c r="G397" s="24" t="str">
        <f>Source!DG108</f>
        <v/>
      </c>
      <c r="H397" s="23">
        <f>ROUND(Source!AF108*Source!I108, 2)</f>
        <v>48.8</v>
      </c>
      <c r="I397" s="24"/>
      <c r="J397" s="24">
        <f>IF(Source!BA108&lt;&gt; 0, Source!BA108, 1)</f>
        <v>6.9</v>
      </c>
      <c r="K397" s="23">
        <f>Source!S108</f>
        <v>336.72</v>
      </c>
      <c r="L397" s="25"/>
      <c r="R397">
        <f>H397</f>
        <v>48.8</v>
      </c>
    </row>
    <row r="398" spans="1:26" ht="14.25" x14ac:dyDescent="0.2">
      <c r="A398" s="38"/>
      <c r="B398" s="39"/>
      <c r="C398" s="39" t="s">
        <v>819</v>
      </c>
      <c r="D398" s="22"/>
      <c r="E398" s="10"/>
      <c r="F398" s="23">
        <f>Source!AL108</f>
        <v>0.41</v>
      </c>
      <c r="G398" s="24" t="str">
        <f>Source!DD108</f>
        <v/>
      </c>
      <c r="H398" s="23">
        <f>ROUND(Source!AC108*Source!I108, 2)</f>
        <v>4.0999999999999996</v>
      </c>
      <c r="I398" s="24"/>
      <c r="J398" s="24">
        <f>IF(Source!BC108&lt;&gt; 0, Source!BC108, 1)</f>
        <v>6.9</v>
      </c>
      <c r="K398" s="23">
        <f>Source!P108</f>
        <v>28.29</v>
      </c>
      <c r="L398" s="25"/>
    </row>
    <row r="399" spans="1:26" ht="14.25" x14ac:dyDescent="0.2">
      <c r="A399" s="38"/>
      <c r="B399" s="39"/>
      <c r="C399" s="39" t="s">
        <v>814</v>
      </c>
      <c r="D399" s="22" t="s">
        <v>815</v>
      </c>
      <c r="E399" s="10">
        <f>Source!BZ108</f>
        <v>80</v>
      </c>
      <c r="F399" s="42"/>
      <c r="G399" s="24"/>
      <c r="H399" s="23">
        <f>SUM(S396:S402)</f>
        <v>39.04</v>
      </c>
      <c r="I399" s="27"/>
      <c r="J399" s="21">
        <f>Source!AT108</f>
        <v>80</v>
      </c>
      <c r="K399" s="23">
        <f>SUM(T396:T402)</f>
        <v>269.38</v>
      </c>
      <c r="L399" s="25"/>
    </row>
    <row r="400" spans="1:26" ht="14.25" x14ac:dyDescent="0.2">
      <c r="A400" s="38"/>
      <c r="B400" s="39"/>
      <c r="C400" s="39" t="s">
        <v>816</v>
      </c>
      <c r="D400" s="22" t="s">
        <v>815</v>
      </c>
      <c r="E400" s="10">
        <f>Source!CA108</f>
        <v>60</v>
      </c>
      <c r="F400" s="42"/>
      <c r="G400" s="24"/>
      <c r="H400" s="23">
        <f>SUM(U396:U402)</f>
        <v>29.28</v>
      </c>
      <c r="I400" s="27"/>
      <c r="J400" s="21">
        <f>Source!AU108</f>
        <v>60</v>
      </c>
      <c r="K400" s="23">
        <f>SUM(V396:V402)</f>
        <v>202.03</v>
      </c>
      <c r="L400" s="25"/>
    </row>
    <row r="401" spans="1:26" ht="14.25" x14ac:dyDescent="0.2">
      <c r="A401" s="38"/>
      <c r="B401" s="39"/>
      <c r="C401" s="39" t="s">
        <v>817</v>
      </c>
      <c r="D401" s="22" t="s">
        <v>818</v>
      </c>
      <c r="E401" s="10">
        <f>Source!AQ108</f>
        <v>0.5</v>
      </c>
      <c r="F401" s="23"/>
      <c r="G401" s="24" t="str">
        <f>Source!DI108</f>
        <v/>
      </c>
      <c r="H401" s="23"/>
      <c r="I401" s="24"/>
      <c r="J401" s="24"/>
      <c r="K401" s="23"/>
      <c r="L401" s="34">
        <f>Source!U108</f>
        <v>5</v>
      </c>
    </row>
    <row r="402" spans="1:26" ht="14.25" x14ac:dyDescent="0.2">
      <c r="A402" s="40" t="str">
        <f>Source!E109</f>
        <v>36,1</v>
      </c>
      <c r="B402" s="41" t="str">
        <f>Source!F109</f>
        <v>20.5.02.06-0044</v>
      </c>
      <c r="C402" s="41" t="str">
        <f>Source!G109</f>
        <v>Разветвительная коробка УК-2</v>
      </c>
      <c r="D402" s="28" t="str">
        <f>Source!H109</f>
        <v>10 шт.</v>
      </c>
      <c r="E402" s="29">
        <f>Source!I109</f>
        <v>1</v>
      </c>
      <c r="F402" s="30">
        <f>Source!AL109+Source!AM109+Source!AO109</f>
        <v>28.5</v>
      </c>
      <c r="G402" s="36" t="s">
        <v>3</v>
      </c>
      <c r="H402" s="30">
        <f>ROUND(Source!AC109*Source!I109, 2)+ROUND(Source!AD109*Source!I109, 2)+ROUND(Source!AF109*Source!I109, 2)</f>
        <v>28.5</v>
      </c>
      <c r="I402" s="31"/>
      <c r="J402" s="31">
        <f>IF(Source!BC109&lt;&gt; 0, Source!BC109, 1)</f>
        <v>6.9</v>
      </c>
      <c r="K402" s="30">
        <f>Source!O109</f>
        <v>196.65</v>
      </c>
      <c r="L402" s="37"/>
      <c r="S402">
        <f>ROUND((Source!FX109/100)*((ROUND(Source!AF109*Source!I109, 2)+ROUND(Source!AE109*Source!I109, 2))), 2)</f>
        <v>0</v>
      </c>
      <c r="T402">
        <f>Source!X109</f>
        <v>0</v>
      </c>
      <c r="U402">
        <f>ROUND((Source!FY109/100)*((ROUND(Source!AF109*Source!I109, 2)+ROUND(Source!AE109*Source!I109, 2))), 2)</f>
        <v>0</v>
      </c>
      <c r="V402">
        <f>Source!Y109</f>
        <v>0</v>
      </c>
      <c r="W402">
        <f>IF(Source!BI109&lt;=1,H402, 0)</f>
        <v>0</v>
      </c>
      <c r="X402">
        <f>IF(Source!BI109=2,H402, 0)</f>
        <v>28.5</v>
      </c>
      <c r="Y402">
        <f>IF(Source!BI109=3,H402, 0)</f>
        <v>0</v>
      </c>
      <c r="Z402">
        <f>IF(Source!BI109=4,H402, 0)</f>
        <v>0</v>
      </c>
    </row>
    <row r="403" spans="1:26" ht="15" x14ac:dyDescent="0.25">
      <c r="G403" s="44">
        <f>H397+H398+H399+H400+SUM(H402:H402)</f>
        <v>149.72</v>
      </c>
      <c r="H403" s="44"/>
      <c r="J403" s="44">
        <f>K397+K398+K399+K400+SUM(K402:K402)</f>
        <v>1033.0700000000002</v>
      </c>
      <c r="K403" s="44"/>
      <c r="L403" s="33">
        <f>Source!U108</f>
        <v>5</v>
      </c>
      <c r="O403" s="19">
        <f>G403</f>
        <v>149.72</v>
      </c>
      <c r="P403" s="19">
        <f>J403</f>
        <v>1033.0700000000002</v>
      </c>
      <c r="Q403" s="19">
        <f>L403</f>
        <v>5</v>
      </c>
      <c r="W403">
        <f>IF(Source!BI108&lt;=1,H397+H398+H399+H400, 0)</f>
        <v>0</v>
      </c>
      <c r="X403">
        <f>IF(Source!BI108=2,H397+H398+H399+H400, 0)</f>
        <v>121.22</v>
      </c>
      <c r="Y403">
        <f>IF(Source!BI108=3,H397+H398+H399+H400, 0)</f>
        <v>0</v>
      </c>
      <c r="Z403">
        <f>IF(Source!BI108=4,H397+H398+H399+H400, 0)</f>
        <v>0</v>
      </c>
    </row>
    <row r="404" spans="1:26" ht="28.5" x14ac:dyDescent="0.2">
      <c r="A404" s="38" t="str">
        <f>Source!E110</f>
        <v>37</v>
      </c>
      <c r="B404" s="39" t="str">
        <f>Source!F110</f>
        <v>м08-03-591-09</v>
      </c>
      <c r="C404" s="39" t="str">
        <f>Source!G110</f>
        <v>Розетка штепсельная утопленного типа при скрытой проводке</v>
      </c>
      <c r="D404" s="22" t="str">
        <f>Source!H110</f>
        <v>100 ШТ</v>
      </c>
      <c r="E404" s="10">
        <f>Source!I110</f>
        <v>0.36</v>
      </c>
      <c r="F404" s="23">
        <f>Source!AL110+Source!AM110+Source!AO110</f>
        <v>369.25</v>
      </c>
      <c r="G404" s="24"/>
      <c r="H404" s="23"/>
      <c r="I404" s="24" t="str">
        <f>Source!BO110</f>
        <v/>
      </c>
      <c r="J404" s="24"/>
      <c r="K404" s="23"/>
      <c r="L404" s="25"/>
      <c r="S404">
        <f>ROUND((Source!FX110/100)*((ROUND(Source!AF110*Source!I110, 2)+ROUND(Source!AE110*Source!I110, 2))), 2)</f>
        <v>103.63</v>
      </c>
      <c r="T404">
        <f>Source!X110</f>
        <v>715.02</v>
      </c>
      <c r="U404">
        <f>ROUND((Source!FY110/100)*((ROUND(Source!AF110*Source!I110, 2)+ROUND(Source!AE110*Source!I110, 2))), 2)</f>
        <v>70.900000000000006</v>
      </c>
      <c r="V404">
        <f>Source!Y110</f>
        <v>489.22</v>
      </c>
    </row>
    <row r="405" spans="1:26" x14ac:dyDescent="0.2">
      <c r="C405" s="18" t="str">
        <f>"Объем: "&amp;Source!I110&amp;"=36/"&amp;"100"</f>
        <v>Объем: 0,36=36/100</v>
      </c>
    </row>
    <row r="406" spans="1:26" ht="14.25" x14ac:dyDescent="0.2">
      <c r="A406" s="38"/>
      <c r="B406" s="39"/>
      <c r="C406" s="39" t="s">
        <v>812</v>
      </c>
      <c r="D406" s="22"/>
      <c r="E406" s="10"/>
      <c r="F406" s="23">
        <f>Source!AO110</f>
        <v>302.36</v>
      </c>
      <c r="G406" s="24" t="str">
        <f>Source!DG110</f>
        <v/>
      </c>
      <c r="H406" s="23">
        <f>ROUND(Source!AF110*Source!I110, 2)</f>
        <v>108.85</v>
      </c>
      <c r="I406" s="24"/>
      <c r="J406" s="24">
        <f>IF(Source!BA110&lt;&gt; 0, Source!BA110, 1)</f>
        <v>6.9</v>
      </c>
      <c r="K406" s="23">
        <f>Source!S110</f>
        <v>751.06</v>
      </c>
      <c r="L406" s="25"/>
      <c r="R406">
        <f>H406</f>
        <v>108.85</v>
      </c>
    </row>
    <row r="407" spans="1:26" ht="14.25" x14ac:dyDescent="0.2">
      <c r="A407" s="38"/>
      <c r="B407" s="39"/>
      <c r="C407" s="39" t="s">
        <v>417</v>
      </c>
      <c r="D407" s="22"/>
      <c r="E407" s="10"/>
      <c r="F407" s="23">
        <f>Source!AM110</f>
        <v>4.67</v>
      </c>
      <c r="G407" s="24" t="str">
        <f>Source!DE110</f>
        <v/>
      </c>
      <c r="H407" s="23">
        <f>ROUND(Source!AD110*Source!I110, 2)</f>
        <v>1.68</v>
      </c>
      <c r="I407" s="24"/>
      <c r="J407" s="24">
        <f>IF(Source!BB110&lt;&gt; 0, Source!BB110, 1)</f>
        <v>6.9</v>
      </c>
      <c r="K407" s="23">
        <f>Source!Q110</f>
        <v>11.6</v>
      </c>
      <c r="L407" s="25"/>
    </row>
    <row r="408" spans="1:26" ht="14.25" x14ac:dyDescent="0.2">
      <c r="A408" s="38"/>
      <c r="B408" s="39"/>
      <c r="C408" s="39" t="s">
        <v>813</v>
      </c>
      <c r="D408" s="22"/>
      <c r="E408" s="10"/>
      <c r="F408" s="23">
        <f>Source!AN110</f>
        <v>0.64</v>
      </c>
      <c r="G408" s="24" t="str">
        <f>Source!DF110</f>
        <v/>
      </c>
      <c r="H408" s="26">
        <f>ROUND(Source!AE110*Source!I110, 2)</f>
        <v>0.23</v>
      </c>
      <c r="I408" s="24"/>
      <c r="J408" s="24">
        <f>IF(Source!BS110&lt;&gt; 0, Source!BS110, 1)</f>
        <v>6.9</v>
      </c>
      <c r="K408" s="26">
        <f>Source!R110</f>
        <v>1.59</v>
      </c>
      <c r="L408" s="25"/>
      <c r="R408">
        <f>H408</f>
        <v>0.23</v>
      </c>
    </row>
    <row r="409" spans="1:26" ht="14.25" x14ac:dyDescent="0.2">
      <c r="A409" s="38"/>
      <c r="B409" s="39"/>
      <c r="C409" s="39" t="s">
        <v>819</v>
      </c>
      <c r="D409" s="22"/>
      <c r="E409" s="10"/>
      <c r="F409" s="23">
        <f>Source!AL110</f>
        <v>62.22</v>
      </c>
      <c r="G409" s="24" t="str">
        <f>Source!DD110</f>
        <v/>
      </c>
      <c r="H409" s="23">
        <f>ROUND(Source!AC110*Source!I110, 2)</f>
        <v>22.4</v>
      </c>
      <c r="I409" s="24"/>
      <c r="J409" s="24">
        <f>IF(Source!BC110&lt;&gt; 0, Source!BC110, 1)</f>
        <v>6.9</v>
      </c>
      <c r="K409" s="23">
        <f>Source!P110</f>
        <v>154.55000000000001</v>
      </c>
      <c r="L409" s="25"/>
    </row>
    <row r="410" spans="1:26" ht="14.25" x14ac:dyDescent="0.2">
      <c r="A410" s="38"/>
      <c r="B410" s="39"/>
      <c r="C410" s="39" t="s">
        <v>814</v>
      </c>
      <c r="D410" s="22" t="s">
        <v>815</v>
      </c>
      <c r="E410" s="10">
        <f>Source!BZ110</f>
        <v>95</v>
      </c>
      <c r="F410" s="42"/>
      <c r="G410" s="24"/>
      <c r="H410" s="23">
        <f>SUM(S404:S413)</f>
        <v>103.63</v>
      </c>
      <c r="I410" s="27"/>
      <c r="J410" s="21">
        <f>Source!AT110</f>
        <v>95</v>
      </c>
      <c r="K410" s="23">
        <f>SUM(T404:T413)</f>
        <v>715.02</v>
      </c>
      <c r="L410" s="25"/>
    </row>
    <row r="411" spans="1:26" ht="14.25" x14ac:dyDescent="0.2">
      <c r="A411" s="38"/>
      <c r="B411" s="39"/>
      <c r="C411" s="39" t="s">
        <v>816</v>
      </c>
      <c r="D411" s="22" t="s">
        <v>815</v>
      </c>
      <c r="E411" s="10">
        <f>Source!CA110</f>
        <v>65</v>
      </c>
      <c r="F411" s="42"/>
      <c r="G411" s="24"/>
      <c r="H411" s="23">
        <f>SUM(U404:U413)</f>
        <v>70.900000000000006</v>
      </c>
      <c r="I411" s="27"/>
      <c r="J411" s="21">
        <f>Source!AU110</f>
        <v>65</v>
      </c>
      <c r="K411" s="23">
        <f>SUM(V404:V413)</f>
        <v>489.22</v>
      </c>
      <c r="L411" s="25"/>
    </row>
    <row r="412" spans="1:26" ht="14.25" x14ac:dyDescent="0.2">
      <c r="A412" s="38"/>
      <c r="B412" s="39"/>
      <c r="C412" s="39" t="s">
        <v>817</v>
      </c>
      <c r="D412" s="22" t="s">
        <v>818</v>
      </c>
      <c r="E412" s="10">
        <f>Source!AQ110</f>
        <v>30.48</v>
      </c>
      <c r="F412" s="23"/>
      <c r="G412" s="24" t="str">
        <f>Source!DI110</f>
        <v/>
      </c>
      <c r="H412" s="23"/>
      <c r="I412" s="24"/>
      <c r="J412" s="24"/>
      <c r="K412" s="23"/>
      <c r="L412" s="34">
        <f>Source!U110</f>
        <v>10.972799999999999</v>
      </c>
    </row>
    <row r="413" spans="1:26" ht="28.5" x14ac:dyDescent="0.2">
      <c r="A413" s="40" t="str">
        <f>Source!E111</f>
        <v>37,1</v>
      </c>
      <c r="B413" s="41" t="str">
        <f>Source!F111</f>
        <v>20.4.03.07-0016</v>
      </c>
      <c r="C413" s="41" t="str">
        <f>Source!G111</f>
        <v>Розетка штепсельная Mosaic с заземляющим контактом</v>
      </c>
      <c r="D413" s="28" t="str">
        <f>Source!H111</f>
        <v>100 шт.</v>
      </c>
      <c r="E413" s="29">
        <f>Source!I111</f>
        <v>0.36</v>
      </c>
      <c r="F413" s="30">
        <f>Source!AL111+Source!AM111+Source!AO111</f>
        <v>3217.41</v>
      </c>
      <c r="G413" s="36" t="s">
        <v>3</v>
      </c>
      <c r="H413" s="30">
        <f>ROUND(Source!AC111*Source!I111, 2)+ROUND(Source!AD111*Source!I111, 2)+ROUND(Source!AF111*Source!I111, 2)</f>
        <v>1158.27</v>
      </c>
      <c r="I413" s="31"/>
      <c r="J413" s="31">
        <f>IF(Source!BC111&lt;&gt; 0, Source!BC111, 1)</f>
        <v>6.9</v>
      </c>
      <c r="K413" s="30">
        <f>Source!O111</f>
        <v>7992.05</v>
      </c>
      <c r="L413" s="37"/>
      <c r="S413">
        <f>ROUND((Source!FX111/100)*((ROUND(Source!AF111*Source!I111, 2)+ROUND(Source!AE111*Source!I111, 2))), 2)</f>
        <v>0</v>
      </c>
      <c r="T413">
        <f>Source!X111</f>
        <v>0</v>
      </c>
      <c r="U413">
        <f>ROUND((Source!FY111/100)*((ROUND(Source!AF111*Source!I111, 2)+ROUND(Source!AE111*Source!I111, 2))), 2)</f>
        <v>0</v>
      </c>
      <c r="V413">
        <f>Source!Y111</f>
        <v>0</v>
      </c>
      <c r="W413">
        <f>IF(Source!BI111&lt;=1,H413, 0)</f>
        <v>0</v>
      </c>
      <c r="X413">
        <f>IF(Source!BI111=2,H413, 0)</f>
        <v>1158.27</v>
      </c>
      <c r="Y413">
        <f>IF(Source!BI111=3,H413, 0)</f>
        <v>0</v>
      </c>
      <c r="Z413">
        <f>IF(Source!BI111=4,H413, 0)</f>
        <v>0</v>
      </c>
    </row>
    <row r="414" spans="1:26" ht="15" x14ac:dyDescent="0.25">
      <c r="G414" s="44">
        <f>H406+H407+H409+H410+H411+SUM(H413:H413)</f>
        <v>1465.73</v>
      </c>
      <c r="H414" s="44"/>
      <c r="J414" s="44">
        <f>K406+K407+K409+K410+K411+SUM(K413:K413)</f>
        <v>10113.5</v>
      </c>
      <c r="K414" s="44"/>
      <c r="L414" s="33">
        <f>Source!U110</f>
        <v>10.972799999999999</v>
      </c>
      <c r="O414" s="19">
        <f>G414</f>
        <v>1465.73</v>
      </c>
      <c r="P414" s="19">
        <f>J414</f>
        <v>10113.5</v>
      </c>
      <c r="Q414" s="19">
        <f>L414</f>
        <v>10.972799999999999</v>
      </c>
      <c r="W414">
        <f>IF(Source!BI110&lt;=1,H406+H407+H409+H410+H411, 0)</f>
        <v>0</v>
      </c>
      <c r="X414">
        <f>IF(Source!BI110=2,H406+H407+H409+H410+H411, 0)</f>
        <v>307.46000000000004</v>
      </c>
      <c r="Y414">
        <f>IF(Source!BI110=3,H406+H407+H409+H410+H411, 0)</f>
        <v>0</v>
      </c>
      <c r="Z414">
        <f>IF(Source!BI110=4,H406+H407+H409+H410+H411, 0)</f>
        <v>0</v>
      </c>
    </row>
    <row r="415" spans="1:26" ht="42.75" x14ac:dyDescent="0.2">
      <c r="A415" s="38" t="str">
        <f>Source!E112</f>
        <v>38</v>
      </c>
      <c r="B415" s="39" t="str">
        <f>Source!F112</f>
        <v>м08-03-526-01</v>
      </c>
      <c r="C415" s="39" t="str">
        <f>Source!G112</f>
        <v>Автомат одно-, двух-, трехполюсный, устанавливаемый на конструкции на стене или колонне, на ток до 25 А</v>
      </c>
      <c r="D415" s="22" t="str">
        <f>Source!H112</f>
        <v>ШТ</v>
      </c>
      <c r="E415" s="10">
        <f>Source!I112</f>
        <v>2</v>
      </c>
      <c r="F415" s="23">
        <f>Source!AL112+Source!AM112+Source!AO112</f>
        <v>35.980000000000004</v>
      </c>
      <c r="G415" s="24"/>
      <c r="H415" s="23"/>
      <c r="I415" s="24" t="str">
        <f>Source!BO112</f>
        <v/>
      </c>
      <c r="J415" s="24"/>
      <c r="K415" s="23"/>
      <c r="L415" s="25"/>
      <c r="S415">
        <f>ROUND((Source!FX112/100)*((ROUND(Source!AF112*Source!I112, 2)+ROUND(Source!AE112*Source!I112, 2))), 2)</f>
        <v>28.2</v>
      </c>
      <c r="T415">
        <f>Source!X112</f>
        <v>194.55</v>
      </c>
      <c r="U415">
        <f>ROUND((Source!FY112/100)*((ROUND(Source!AF112*Source!I112, 2)+ROUND(Source!AE112*Source!I112, 2))), 2)</f>
        <v>19.29</v>
      </c>
      <c r="V415">
        <f>Source!Y112</f>
        <v>133.11000000000001</v>
      </c>
    </row>
    <row r="416" spans="1:26" ht="14.25" x14ac:dyDescent="0.2">
      <c r="A416" s="38"/>
      <c r="B416" s="39"/>
      <c r="C416" s="39" t="s">
        <v>812</v>
      </c>
      <c r="D416" s="22"/>
      <c r="E416" s="10"/>
      <c r="F416" s="23">
        <f>Source!AO112</f>
        <v>14.84</v>
      </c>
      <c r="G416" s="24" t="str">
        <f>Source!DG112</f>
        <v/>
      </c>
      <c r="H416" s="23">
        <f>ROUND(Source!AF112*Source!I112, 2)</f>
        <v>29.68</v>
      </c>
      <c r="I416" s="24"/>
      <c r="J416" s="24">
        <f>IF(Source!BA112&lt;&gt; 0, Source!BA112, 1)</f>
        <v>6.9</v>
      </c>
      <c r="K416" s="23">
        <f>Source!S112</f>
        <v>204.79</v>
      </c>
      <c r="L416" s="25"/>
      <c r="R416">
        <f>H416</f>
        <v>29.68</v>
      </c>
    </row>
    <row r="417" spans="1:26" ht="14.25" x14ac:dyDescent="0.2">
      <c r="A417" s="38"/>
      <c r="B417" s="39"/>
      <c r="C417" s="39" t="s">
        <v>417</v>
      </c>
      <c r="D417" s="22"/>
      <c r="E417" s="10"/>
      <c r="F417" s="23">
        <f>Source!AM112</f>
        <v>1.05</v>
      </c>
      <c r="G417" s="24" t="str">
        <f>Source!DE112</f>
        <v/>
      </c>
      <c r="H417" s="23">
        <f>ROUND(Source!AD112*Source!I112, 2)</f>
        <v>2.1</v>
      </c>
      <c r="I417" s="24"/>
      <c r="J417" s="24">
        <f>IF(Source!BB112&lt;&gt; 0, Source!BB112, 1)</f>
        <v>6.9</v>
      </c>
      <c r="K417" s="23">
        <f>Source!Q112</f>
        <v>14.49</v>
      </c>
      <c r="L417" s="25"/>
    </row>
    <row r="418" spans="1:26" ht="14.25" x14ac:dyDescent="0.2">
      <c r="A418" s="38"/>
      <c r="B418" s="39"/>
      <c r="C418" s="39" t="s">
        <v>819</v>
      </c>
      <c r="D418" s="22"/>
      <c r="E418" s="10"/>
      <c r="F418" s="23">
        <f>Source!AL112</f>
        <v>20.09</v>
      </c>
      <c r="G418" s="24" t="str">
        <f>Source!DD112</f>
        <v/>
      </c>
      <c r="H418" s="23">
        <f>ROUND(Source!AC112*Source!I112, 2)</f>
        <v>40.18</v>
      </c>
      <c r="I418" s="24"/>
      <c r="J418" s="24">
        <f>IF(Source!BC112&lt;&gt; 0, Source!BC112, 1)</f>
        <v>6.9</v>
      </c>
      <c r="K418" s="23">
        <f>Source!P112</f>
        <v>277.24</v>
      </c>
      <c r="L418" s="25"/>
    </row>
    <row r="419" spans="1:26" ht="14.25" x14ac:dyDescent="0.2">
      <c r="A419" s="38"/>
      <c r="B419" s="39"/>
      <c r="C419" s="39" t="s">
        <v>814</v>
      </c>
      <c r="D419" s="22" t="s">
        <v>815</v>
      </c>
      <c r="E419" s="10">
        <f>Source!BZ112</f>
        <v>95</v>
      </c>
      <c r="F419" s="42"/>
      <c r="G419" s="24"/>
      <c r="H419" s="23">
        <f>SUM(S415:S422)</f>
        <v>28.2</v>
      </c>
      <c r="I419" s="27"/>
      <c r="J419" s="21">
        <f>Source!AT112</f>
        <v>95</v>
      </c>
      <c r="K419" s="23">
        <f>SUM(T415:T422)</f>
        <v>194.55</v>
      </c>
      <c r="L419" s="25"/>
    </row>
    <row r="420" spans="1:26" ht="14.25" x14ac:dyDescent="0.2">
      <c r="A420" s="38"/>
      <c r="B420" s="39"/>
      <c r="C420" s="39" t="s">
        <v>816</v>
      </c>
      <c r="D420" s="22" t="s">
        <v>815</v>
      </c>
      <c r="E420" s="10">
        <f>Source!CA112</f>
        <v>65</v>
      </c>
      <c r="F420" s="42"/>
      <c r="G420" s="24"/>
      <c r="H420" s="23">
        <f>SUM(U415:U422)</f>
        <v>19.29</v>
      </c>
      <c r="I420" s="27"/>
      <c r="J420" s="21">
        <f>Source!AU112</f>
        <v>65</v>
      </c>
      <c r="K420" s="23">
        <f>SUM(V415:V422)</f>
        <v>133.11000000000001</v>
      </c>
      <c r="L420" s="25"/>
    </row>
    <row r="421" spans="1:26" ht="14.25" x14ac:dyDescent="0.2">
      <c r="A421" s="38"/>
      <c r="B421" s="39"/>
      <c r="C421" s="39" t="s">
        <v>817</v>
      </c>
      <c r="D421" s="22" t="s">
        <v>818</v>
      </c>
      <c r="E421" s="10">
        <f>Source!AQ112</f>
        <v>1.56</v>
      </c>
      <c r="F421" s="23"/>
      <c r="G421" s="24" t="str">
        <f>Source!DI112</f>
        <v/>
      </c>
      <c r="H421" s="23"/>
      <c r="I421" s="24"/>
      <c r="J421" s="24"/>
      <c r="K421" s="23"/>
      <c r="L421" s="34">
        <f>Source!U112</f>
        <v>3.12</v>
      </c>
    </row>
    <row r="422" spans="1:26" ht="42.75" x14ac:dyDescent="0.2">
      <c r="A422" s="40" t="str">
        <f>Source!E113</f>
        <v>38,1</v>
      </c>
      <c r="B422" s="41" t="str">
        <f>Source!F113</f>
        <v>62.1.01.02-0011</v>
      </c>
      <c r="C422" s="41" t="str">
        <f>Source!G113</f>
        <v>Выключатели автоматические дифференциального тока двухполюсные АД12 2Р 25А 30мА</v>
      </c>
      <c r="D422" s="28" t="str">
        <f>Source!H113</f>
        <v>шт.</v>
      </c>
      <c r="E422" s="29">
        <f>Source!I113</f>
        <v>2</v>
      </c>
      <c r="F422" s="30">
        <f>Source!AL113+Source!AM113+Source!AO113</f>
        <v>95.16</v>
      </c>
      <c r="G422" s="36" t="s">
        <v>3</v>
      </c>
      <c r="H422" s="30">
        <f>ROUND(Source!AC113*Source!I113, 2)+ROUND(Source!AD113*Source!I113, 2)+ROUND(Source!AF113*Source!I113, 2)</f>
        <v>190.32</v>
      </c>
      <c r="I422" s="31"/>
      <c r="J422" s="31">
        <f>IF(Source!BC113&lt;&gt; 0, Source!BC113, 1)</f>
        <v>6.9</v>
      </c>
      <c r="K422" s="30">
        <f>Source!O113</f>
        <v>1313.21</v>
      </c>
      <c r="L422" s="37"/>
      <c r="S422">
        <f>ROUND((Source!FX113/100)*((ROUND(Source!AF113*Source!I113, 2)+ROUND(Source!AE113*Source!I113, 2))), 2)</f>
        <v>0</v>
      </c>
      <c r="T422">
        <f>Source!X113</f>
        <v>0</v>
      </c>
      <c r="U422">
        <f>ROUND((Source!FY113/100)*((ROUND(Source!AF113*Source!I113, 2)+ROUND(Source!AE113*Source!I113, 2))), 2)</f>
        <v>0</v>
      </c>
      <c r="V422">
        <f>Source!Y113</f>
        <v>0</v>
      </c>
      <c r="W422">
        <f>IF(Source!BI113&lt;=1,H422, 0)</f>
        <v>0</v>
      </c>
      <c r="X422">
        <f>IF(Source!BI113=2,H422, 0)</f>
        <v>190.32</v>
      </c>
      <c r="Y422">
        <f>IF(Source!BI113=3,H422, 0)</f>
        <v>0</v>
      </c>
      <c r="Z422">
        <f>IF(Source!BI113=4,H422, 0)</f>
        <v>0</v>
      </c>
    </row>
    <row r="423" spans="1:26" ht="15" x14ac:dyDescent="0.25">
      <c r="G423" s="44">
        <f>H416+H417+H418+H419+H420+SUM(H422:H422)</f>
        <v>309.77</v>
      </c>
      <c r="H423" s="44"/>
      <c r="J423" s="44">
        <f>K416+K417+K418+K419+K420+SUM(K422:K422)</f>
        <v>2137.39</v>
      </c>
      <c r="K423" s="44"/>
      <c r="L423" s="33">
        <f>Source!U112</f>
        <v>3.12</v>
      </c>
      <c r="O423" s="19">
        <f>G423</f>
        <v>309.77</v>
      </c>
      <c r="P423" s="19">
        <f>J423</f>
        <v>2137.39</v>
      </c>
      <c r="Q423" s="19">
        <f>L423</f>
        <v>3.12</v>
      </c>
      <c r="W423">
        <f>IF(Source!BI112&lt;=1,H416+H417+H418+H419+H420, 0)</f>
        <v>0</v>
      </c>
      <c r="X423">
        <f>IF(Source!BI112=2,H416+H417+H418+H419+H420, 0)</f>
        <v>119.45000000000002</v>
      </c>
      <c r="Y423">
        <f>IF(Source!BI112=3,H416+H417+H418+H419+H420, 0)</f>
        <v>0</v>
      </c>
      <c r="Z423">
        <f>IF(Source!BI112=4,H416+H417+H418+H419+H420, 0)</f>
        <v>0</v>
      </c>
    </row>
    <row r="424" spans="1:26" ht="14.25" x14ac:dyDescent="0.2">
      <c r="A424" s="38" t="str">
        <f>Source!E114</f>
        <v>39</v>
      </c>
      <c r="B424" s="39" t="str">
        <f>Source!F114</f>
        <v>65-33-1</v>
      </c>
      <c r="C424" s="39" t="str">
        <f>Source!G114</f>
        <v>Смена жалюзийных решеток</v>
      </c>
      <c r="D424" s="22" t="str">
        <f>Source!H114</f>
        <v>100 ШТ</v>
      </c>
      <c r="E424" s="10">
        <f>Source!I114</f>
        <v>0.06</v>
      </c>
      <c r="F424" s="23">
        <f>Source!AL114+Source!AM114+Source!AO114</f>
        <v>430.86</v>
      </c>
      <c r="G424" s="24"/>
      <c r="H424" s="23"/>
      <c r="I424" s="24" t="str">
        <f>Source!BO114</f>
        <v/>
      </c>
      <c r="J424" s="24"/>
      <c r="K424" s="23"/>
      <c r="L424" s="25"/>
      <c r="S424">
        <f>ROUND((Source!FX114/100)*((ROUND(Source!AF114*Source!I114, 2)+ROUND(Source!AE114*Source!I114, 2))), 2)</f>
        <v>24.36</v>
      </c>
      <c r="T424">
        <f>Source!X114</f>
        <v>168.08</v>
      </c>
      <c r="U424">
        <f>ROUND((Source!FY114/100)*((ROUND(Source!AF114*Source!I114, 2)+ROUND(Source!AE114*Source!I114, 2))), 2)</f>
        <v>14.19</v>
      </c>
      <c r="V424">
        <f>Source!Y114</f>
        <v>97.91</v>
      </c>
    </row>
    <row r="425" spans="1:26" x14ac:dyDescent="0.2">
      <c r="C425" s="18" t="str">
        <f>"Объем: "&amp;Source!I114&amp;"=6/"&amp;"100"</f>
        <v>Объем: 0,06=6/100</v>
      </c>
    </row>
    <row r="426" spans="1:26" ht="14.25" x14ac:dyDescent="0.2">
      <c r="A426" s="38"/>
      <c r="B426" s="39"/>
      <c r="C426" s="39" t="s">
        <v>812</v>
      </c>
      <c r="D426" s="22"/>
      <c r="E426" s="10"/>
      <c r="F426" s="23">
        <f>Source!AO114</f>
        <v>394</v>
      </c>
      <c r="G426" s="24" t="str">
        <f>Source!DG114</f>
        <v/>
      </c>
      <c r="H426" s="23">
        <f>ROUND(Source!AF114*Source!I114, 2)</f>
        <v>23.64</v>
      </c>
      <c r="I426" s="24"/>
      <c r="J426" s="24">
        <f>IF(Source!BA114&lt;&gt; 0, Source!BA114, 1)</f>
        <v>6.9</v>
      </c>
      <c r="K426" s="23">
        <f>Source!S114</f>
        <v>163.12</v>
      </c>
      <c r="L426" s="25"/>
      <c r="R426">
        <f>H426</f>
        <v>23.64</v>
      </c>
    </row>
    <row r="427" spans="1:26" ht="14.25" x14ac:dyDescent="0.2">
      <c r="A427" s="38"/>
      <c r="B427" s="39"/>
      <c r="C427" s="39" t="s">
        <v>417</v>
      </c>
      <c r="D427" s="22"/>
      <c r="E427" s="10"/>
      <c r="F427" s="23">
        <f>Source!AM114</f>
        <v>0.31</v>
      </c>
      <c r="G427" s="24" t="str">
        <f>Source!DE114</f>
        <v/>
      </c>
      <c r="H427" s="23">
        <f>ROUND(Source!AD114*Source!I114, 2)</f>
        <v>0.02</v>
      </c>
      <c r="I427" s="24"/>
      <c r="J427" s="24">
        <f>IF(Source!BB114&lt;&gt; 0, Source!BB114, 1)</f>
        <v>6.9</v>
      </c>
      <c r="K427" s="23">
        <f>Source!Q114</f>
        <v>0.13</v>
      </c>
      <c r="L427" s="25"/>
    </row>
    <row r="428" spans="1:26" ht="14.25" x14ac:dyDescent="0.2">
      <c r="A428" s="38"/>
      <c r="B428" s="39"/>
      <c r="C428" s="39" t="s">
        <v>813</v>
      </c>
      <c r="D428" s="22"/>
      <c r="E428" s="10"/>
      <c r="F428" s="23">
        <f>Source!AN114</f>
        <v>0.14000000000000001</v>
      </c>
      <c r="G428" s="24" t="str">
        <f>Source!DF114</f>
        <v/>
      </c>
      <c r="H428" s="26">
        <f>ROUND(Source!AE114*Source!I114, 2)</f>
        <v>0.01</v>
      </c>
      <c r="I428" s="24"/>
      <c r="J428" s="24">
        <f>IF(Source!BS114&lt;&gt; 0, Source!BS114, 1)</f>
        <v>6.9</v>
      </c>
      <c r="K428" s="26">
        <f>Source!R114</f>
        <v>0.06</v>
      </c>
      <c r="L428" s="25"/>
      <c r="R428">
        <f>H428</f>
        <v>0.01</v>
      </c>
    </row>
    <row r="429" spans="1:26" ht="14.25" x14ac:dyDescent="0.2">
      <c r="A429" s="38"/>
      <c r="B429" s="39"/>
      <c r="C429" s="39" t="s">
        <v>819</v>
      </c>
      <c r="D429" s="22"/>
      <c r="E429" s="10"/>
      <c r="F429" s="23">
        <f>Source!AL114</f>
        <v>36.549999999999997</v>
      </c>
      <c r="G429" s="24" t="str">
        <f>Source!DD114</f>
        <v/>
      </c>
      <c r="H429" s="23">
        <f>ROUND(Source!AC114*Source!I114, 2)</f>
        <v>2.19</v>
      </c>
      <c r="I429" s="24"/>
      <c r="J429" s="24">
        <f>IF(Source!BC114&lt;&gt; 0, Source!BC114, 1)</f>
        <v>6.9</v>
      </c>
      <c r="K429" s="23">
        <f>Source!P114</f>
        <v>15.13</v>
      </c>
      <c r="L429" s="25"/>
    </row>
    <row r="430" spans="1:26" ht="14.25" x14ac:dyDescent="0.2">
      <c r="A430" s="38"/>
      <c r="B430" s="39"/>
      <c r="C430" s="39" t="s">
        <v>814</v>
      </c>
      <c r="D430" s="22" t="s">
        <v>815</v>
      </c>
      <c r="E430" s="10">
        <f>Source!BZ114</f>
        <v>103</v>
      </c>
      <c r="F430" s="42"/>
      <c r="G430" s="24"/>
      <c r="H430" s="23">
        <f>SUM(S424:S434)</f>
        <v>24.36</v>
      </c>
      <c r="I430" s="27"/>
      <c r="J430" s="21">
        <f>Source!AT114</f>
        <v>103</v>
      </c>
      <c r="K430" s="23">
        <f>SUM(T424:T434)</f>
        <v>168.08</v>
      </c>
      <c r="L430" s="25"/>
    </row>
    <row r="431" spans="1:26" ht="14.25" x14ac:dyDescent="0.2">
      <c r="A431" s="38"/>
      <c r="B431" s="39"/>
      <c r="C431" s="39" t="s">
        <v>816</v>
      </c>
      <c r="D431" s="22" t="s">
        <v>815</v>
      </c>
      <c r="E431" s="10">
        <f>Source!CA114</f>
        <v>60</v>
      </c>
      <c r="F431" s="42"/>
      <c r="G431" s="24"/>
      <c r="H431" s="23">
        <f>SUM(U424:U434)</f>
        <v>14.19</v>
      </c>
      <c r="I431" s="27"/>
      <c r="J431" s="21">
        <f>Source!AU114</f>
        <v>60</v>
      </c>
      <c r="K431" s="23">
        <f>SUM(V424:V434)</f>
        <v>97.91</v>
      </c>
      <c r="L431" s="25"/>
    </row>
    <row r="432" spans="1:26" ht="14.25" x14ac:dyDescent="0.2">
      <c r="A432" s="38"/>
      <c r="B432" s="39"/>
      <c r="C432" s="39" t="s">
        <v>817</v>
      </c>
      <c r="D432" s="22" t="s">
        <v>818</v>
      </c>
      <c r="E432" s="10">
        <f>Source!AQ114</f>
        <v>46.19</v>
      </c>
      <c r="F432" s="23"/>
      <c r="G432" s="24" t="str">
        <f>Source!DI114</f>
        <v/>
      </c>
      <c r="H432" s="23"/>
      <c r="I432" s="24"/>
      <c r="J432" s="24"/>
      <c r="K432" s="23"/>
      <c r="L432" s="34">
        <f>Source!U114</f>
        <v>2.7713999999999999</v>
      </c>
    </row>
    <row r="433" spans="1:26" ht="28.5" x14ac:dyDescent="0.2">
      <c r="A433" s="38" t="str">
        <f>Source!E115</f>
        <v>39,1</v>
      </c>
      <c r="B433" s="39" t="str">
        <f>Source!F115</f>
        <v>19.2.03.07-0006</v>
      </c>
      <c r="C433" s="39" t="str">
        <f>Source!G115</f>
        <v>Решетка вентиляционная пластмассовая размером 300х300 мм</v>
      </c>
      <c r="D433" s="22" t="str">
        <f>Source!H115</f>
        <v>шт.</v>
      </c>
      <c r="E433" s="10">
        <f>Source!I115</f>
        <v>6</v>
      </c>
      <c r="F433" s="23">
        <f>Source!AL115+Source!AM115+Source!AO115</f>
        <v>18.670000000000002</v>
      </c>
      <c r="G433" s="35" t="s">
        <v>3</v>
      </c>
      <c r="H433" s="23">
        <f>ROUND(Source!AC115*Source!I115, 2)+ROUND(Source!AD115*Source!I115, 2)+ROUND(Source!AF115*Source!I115, 2)</f>
        <v>112.02</v>
      </c>
      <c r="I433" s="24"/>
      <c r="J433" s="24">
        <f>IF(Source!BC115&lt;&gt; 0, Source!BC115, 1)</f>
        <v>6.9</v>
      </c>
      <c r="K433" s="23">
        <f>Source!O115</f>
        <v>772.94</v>
      </c>
      <c r="L433" s="25"/>
      <c r="S433">
        <f>ROUND((Source!FX115/100)*((ROUND(Source!AF115*Source!I115, 2)+ROUND(Source!AE115*Source!I115, 2))), 2)</f>
        <v>0</v>
      </c>
      <c r="T433">
        <f>Source!X115</f>
        <v>0</v>
      </c>
      <c r="U433">
        <f>ROUND((Source!FY115/100)*((ROUND(Source!AF115*Source!I115, 2)+ROUND(Source!AE115*Source!I115, 2))), 2)</f>
        <v>0</v>
      </c>
      <c r="V433">
        <f>Source!Y115</f>
        <v>0</v>
      </c>
      <c r="W433">
        <f>IF(Source!BI115&lt;=1,H433, 0)</f>
        <v>112.02</v>
      </c>
      <c r="X433">
        <f>IF(Source!BI115=2,H433, 0)</f>
        <v>0</v>
      </c>
      <c r="Y433">
        <f>IF(Source!BI115=3,H433, 0)</f>
        <v>0</v>
      </c>
      <c r="Z433">
        <f>IF(Source!BI115=4,H433, 0)</f>
        <v>0</v>
      </c>
    </row>
    <row r="434" spans="1:26" ht="14.25" x14ac:dyDescent="0.2">
      <c r="A434" s="40" t="str">
        <f>Source!E116</f>
        <v>39,2</v>
      </c>
      <c r="B434" s="41" t="str">
        <f>Source!F116</f>
        <v>19.2.03.09</v>
      </c>
      <c r="C434" s="41" t="str">
        <f>Source!G116</f>
        <v>Решетки жалюзийные</v>
      </c>
      <c r="D434" s="28" t="str">
        <f>Source!H116</f>
        <v>шт.</v>
      </c>
      <c r="E434" s="29">
        <f>Source!I116</f>
        <v>6</v>
      </c>
      <c r="F434" s="30">
        <f>Source!AL116+Source!AM116+Source!AO116</f>
        <v>0</v>
      </c>
      <c r="G434" s="36" t="s">
        <v>3</v>
      </c>
      <c r="H434" s="30">
        <f>ROUND(Source!AC116*Source!I116, 2)+ROUND(Source!AD116*Source!I116, 2)+ROUND(Source!AF116*Source!I116, 2)</f>
        <v>0</v>
      </c>
      <c r="I434" s="31"/>
      <c r="J434" s="31">
        <f>IF(Source!BC116&lt;&gt; 0, Source!BC116, 1)</f>
        <v>6.9</v>
      </c>
      <c r="K434" s="30">
        <f>Source!O116</f>
        <v>0</v>
      </c>
      <c r="L434" s="37"/>
      <c r="S434">
        <f>ROUND((Source!FX116/100)*((ROUND(Source!AF116*Source!I116, 2)+ROUND(Source!AE116*Source!I116, 2))), 2)</f>
        <v>0</v>
      </c>
      <c r="T434">
        <f>Source!X116</f>
        <v>0</v>
      </c>
      <c r="U434">
        <f>ROUND((Source!FY116/100)*((ROUND(Source!AF116*Source!I116, 2)+ROUND(Source!AE116*Source!I116, 2))), 2)</f>
        <v>0</v>
      </c>
      <c r="V434">
        <f>Source!Y116</f>
        <v>0</v>
      </c>
      <c r="W434">
        <f>IF(Source!BI116&lt;=1,H434, 0)</f>
        <v>0</v>
      </c>
      <c r="X434">
        <f>IF(Source!BI116=2,H434, 0)</f>
        <v>0</v>
      </c>
      <c r="Y434">
        <f>IF(Source!BI116=3,H434, 0)</f>
        <v>0</v>
      </c>
      <c r="Z434">
        <f>IF(Source!BI116=4,H434, 0)</f>
        <v>0</v>
      </c>
    </row>
    <row r="435" spans="1:26" ht="15" x14ac:dyDescent="0.25">
      <c r="G435" s="44">
        <f>H426+H427+H429+H430+H431+SUM(H433:H434)</f>
        <v>176.42000000000002</v>
      </c>
      <c r="H435" s="44"/>
      <c r="J435" s="44">
        <f>K426+K427+K429+K430+K431+SUM(K433:K434)</f>
        <v>1217.31</v>
      </c>
      <c r="K435" s="44"/>
      <c r="L435" s="33">
        <f>Source!U114</f>
        <v>2.7713999999999999</v>
      </c>
      <c r="O435" s="19">
        <f>G435</f>
        <v>176.42000000000002</v>
      </c>
      <c r="P435" s="19">
        <f>J435</f>
        <v>1217.31</v>
      </c>
      <c r="Q435" s="19">
        <f>L435</f>
        <v>2.7713999999999999</v>
      </c>
      <c r="W435">
        <f>IF(Source!BI114&lt;=1,H426+H427+H429+H430+H431, 0)</f>
        <v>64.400000000000006</v>
      </c>
      <c r="X435">
        <f>IF(Source!BI114=2,H426+H427+H429+H430+H431, 0)</f>
        <v>0</v>
      </c>
      <c r="Y435">
        <f>IF(Source!BI114=3,H426+H427+H429+H430+H431, 0)</f>
        <v>0</v>
      </c>
      <c r="Z435">
        <f>IF(Source!BI114=4,H426+H427+H429+H430+H431, 0)</f>
        <v>0</v>
      </c>
    </row>
    <row r="436" spans="1:26" ht="42.75" x14ac:dyDescent="0.2">
      <c r="A436" s="40" t="str">
        <f>Source!E117</f>
        <v>40</v>
      </c>
      <c r="B436" s="41" t="str">
        <f>Source!F117</f>
        <v>т01-01-01-041</v>
      </c>
      <c r="C436" s="41" t="str">
        <f>Source!G117</f>
        <v>Погрузочные работы при автомобильных перевозках мусора строительного с погрузкой вручную</v>
      </c>
      <c r="D436" s="28" t="str">
        <f>Source!H117</f>
        <v>1 Т ГРУЗА</v>
      </c>
      <c r="E436" s="29">
        <f>Source!I117</f>
        <v>18</v>
      </c>
      <c r="F436" s="30">
        <f>Source!AK117</f>
        <v>42.98</v>
      </c>
      <c r="G436" s="31" t="str">
        <f>Source!DC117</f>
        <v/>
      </c>
      <c r="H436" s="30">
        <f>ROUND(Source!AB117*Source!I117, 2)</f>
        <v>773.64</v>
      </c>
      <c r="I436" s="31" t="str">
        <f>Source!BO117</f>
        <v/>
      </c>
      <c r="J436" s="31">
        <f>Source!AZ117</f>
        <v>6.9</v>
      </c>
      <c r="K436" s="30">
        <f>Source!GM117</f>
        <v>5338.12</v>
      </c>
      <c r="L436" s="37"/>
      <c r="S436">
        <f>ROUND((Source!FX117/100)*((ROUND(0*Source!I117, 2)+ROUND(0*Source!I117, 2))), 2)</f>
        <v>0</v>
      </c>
      <c r="T436">
        <f>Source!X117</f>
        <v>0</v>
      </c>
      <c r="U436">
        <f>ROUND((Source!FY117/100)*((ROUND(0*Source!I117, 2)+ROUND(0*Source!I117, 2))), 2)</f>
        <v>0</v>
      </c>
      <c r="V436">
        <f>Source!Y117</f>
        <v>0</v>
      </c>
    </row>
    <row r="437" spans="1:26" ht="15" x14ac:dyDescent="0.25">
      <c r="G437" s="44">
        <f>H436</f>
        <v>773.64</v>
      </c>
      <c r="H437" s="44"/>
      <c r="J437" s="44">
        <f>K436</f>
        <v>5338.12</v>
      </c>
      <c r="K437" s="44"/>
      <c r="L437" s="33">
        <f>Source!U117</f>
        <v>0</v>
      </c>
      <c r="O437" s="19">
        <f>G437</f>
        <v>773.64</v>
      </c>
      <c r="P437" s="19">
        <f>J437</f>
        <v>5338.12</v>
      </c>
      <c r="Q437" s="19">
        <f>L437</f>
        <v>0</v>
      </c>
      <c r="W437">
        <f>IF(Source!BI117&lt;=1,H436, 0)</f>
        <v>773.64</v>
      </c>
      <c r="X437">
        <f>IF(Source!BI117=2,H436, 0)</f>
        <v>0</v>
      </c>
      <c r="Y437">
        <f>IF(Source!BI117=3,H436, 0)</f>
        <v>0</v>
      </c>
      <c r="Z437">
        <f>IF(Source!BI117=4,H436, 0)</f>
        <v>0</v>
      </c>
    </row>
    <row r="438" spans="1:26" ht="57" x14ac:dyDescent="0.2">
      <c r="A438" s="40" t="str">
        <f>Source!E118</f>
        <v>41</v>
      </c>
      <c r="B438" s="41" t="str">
        <f>Source!F118</f>
        <v>т03-01-01-020</v>
      </c>
      <c r="C438" s="41" t="str">
        <f>Source!G118</f>
        <v>Перевозка грузов I класса автомобилями бортовыми грузоподъемностью до 15 т на расстояние до 20 км</v>
      </c>
      <c r="D438" s="28" t="str">
        <f>Source!H118</f>
        <v>1 Т ГРУЗА</v>
      </c>
      <c r="E438" s="29">
        <f>Source!I118</f>
        <v>18</v>
      </c>
      <c r="F438" s="30">
        <f>Source!AK118</f>
        <v>15.41</v>
      </c>
      <c r="G438" s="31" t="str">
        <f>Source!DC118</f>
        <v/>
      </c>
      <c r="H438" s="30">
        <f>ROUND(Source!AB118*Source!I118, 2)</f>
        <v>277.38</v>
      </c>
      <c r="I438" s="31" t="str">
        <f>Source!BO118</f>
        <v/>
      </c>
      <c r="J438" s="31">
        <f>Source!AZ118</f>
        <v>6.9</v>
      </c>
      <c r="K438" s="30">
        <f>Source!GM118</f>
        <v>1913.92</v>
      </c>
      <c r="L438" s="37"/>
      <c r="S438">
        <f>ROUND((Source!FX118/100)*((ROUND(0*Source!I118, 2)+ROUND(0*Source!I118, 2))), 2)</f>
        <v>0</v>
      </c>
      <c r="T438">
        <f>Source!X118</f>
        <v>0</v>
      </c>
      <c r="U438">
        <f>ROUND((Source!FY118/100)*((ROUND(0*Source!I118, 2)+ROUND(0*Source!I118, 2))), 2)</f>
        <v>0</v>
      </c>
      <c r="V438">
        <f>Source!Y118</f>
        <v>0</v>
      </c>
    </row>
    <row r="439" spans="1:26" ht="15" x14ac:dyDescent="0.25">
      <c r="G439" s="44">
        <f>H438</f>
        <v>277.38</v>
      </c>
      <c r="H439" s="44"/>
      <c r="J439" s="44">
        <f>K438</f>
        <v>1913.92</v>
      </c>
      <c r="K439" s="44"/>
      <c r="L439" s="33">
        <f>Source!U118</f>
        <v>0</v>
      </c>
      <c r="O439" s="19">
        <f>G439</f>
        <v>277.38</v>
      </c>
      <c r="P439" s="19">
        <f>J439</f>
        <v>1913.92</v>
      </c>
      <c r="Q439" s="19">
        <f>L439</f>
        <v>0</v>
      </c>
      <c r="W439">
        <f>IF(Source!BI118&lt;=1,H438, 0)</f>
        <v>277.38</v>
      </c>
      <c r="X439">
        <f>IF(Source!BI118=2,H438, 0)</f>
        <v>0</v>
      </c>
      <c r="Y439">
        <f>IF(Source!BI118=3,H438, 0)</f>
        <v>0</v>
      </c>
      <c r="Z439">
        <f>IF(Source!BI118=4,H438, 0)</f>
        <v>0</v>
      </c>
    </row>
    <row r="440" spans="1:26" ht="15" x14ac:dyDescent="0.25">
      <c r="A440" s="48" t="str">
        <f>CONCATENATE("Итого по локальной смете: ",IF(Source!G120&lt;&gt;"Новая локальная смета", Source!G120, ""))</f>
        <v xml:space="preserve">Итого по локальной смете: </v>
      </c>
      <c r="B440" s="48"/>
      <c r="C440" s="48"/>
      <c r="D440" s="48"/>
      <c r="E440" s="48"/>
      <c r="F440" s="48"/>
      <c r="G440" s="47">
        <f>SUM(O22:O439)</f>
        <v>138054.74000000008</v>
      </c>
      <c r="H440" s="47"/>
      <c r="I440" s="20"/>
      <c r="J440" s="47">
        <f>SUM(P22:P439)</f>
        <v>952827.96000000008</v>
      </c>
      <c r="K440" s="47"/>
      <c r="L440" s="33">
        <f>SUM(Q22:Q439)</f>
        <v>1041.2791226499999</v>
      </c>
    </row>
    <row r="441" spans="1:26" ht="15" x14ac:dyDescent="0.25">
      <c r="C441" s="48" t="str">
        <f>Source!H148</f>
        <v>Итого</v>
      </c>
      <c r="D441" s="48"/>
      <c r="E441" s="48"/>
      <c r="F441" s="48"/>
      <c r="G441" s="48"/>
      <c r="H441" s="48"/>
      <c r="I441" s="48"/>
      <c r="J441" s="47">
        <f>IF(Source!F148=0, "", Source!F148)</f>
        <v>952827.96</v>
      </c>
      <c r="K441" s="47"/>
    </row>
    <row r="442" spans="1:26" ht="14.25" x14ac:dyDescent="0.2">
      <c r="C442" s="49" t="str">
        <f>Source!H149</f>
        <v>НДС 18%</v>
      </c>
      <c r="D442" s="49"/>
      <c r="E442" s="49"/>
      <c r="F442" s="49"/>
      <c r="G442" s="49"/>
      <c r="H442" s="49"/>
      <c r="I442" s="49"/>
      <c r="J442" s="50">
        <f>IF(Source!F149=0, "", Source!F149)</f>
        <v>171509.03</v>
      </c>
      <c r="K442" s="50"/>
    </row>
    <row r="443" spans="1:26" ht="15" x14ac:dyDescent="0.25">
      <c r="C443" s="48" t="str">
        <f>Source!H150</f>
        <v>Всего</v>
      </c>
      <c r="D443" s="48"/>
      <c r="E443" s="48"/>
      <c r="F443" s="48"/>
      <c r="G443" s="48"/>
      <c r="H443" s="48"/>
      <c r="I443" s="48"/>
      <c r="J443" s="47">
        <f>IF(Source!F150=0, "", Source!F150)</f>
        <v>1124336.99</v>
      </c>
      <c r="K443" s="47"/>
    </row>
  </sheetData>
  <mergeCells count="173">
    <mergeCell ref="C11:F11"/>
    <mergeCell ref="G11:H11"/>
    <mergeCell ref="I11:J11"/>
    <mergeCell ref="K11:L11"/>
    <mergeCell ref="C12:F12"/>
    <mergeCell ref="G12:H12"/>
    <mergeCell ref="I12:J12"/>
    <mergeCell ref="K12:L12"/>
    <mergeCell ref="B4:K4"/>
    <mergeCell ref="B5:K5"/>
    <mergeCell ref="B7:K7"/>
    <mergeCell ref="G10:H10"/>
    <mergeCell ref="I10:J10"/>
    <mergeCell ref="C15:F15"/>
    <mergeCell ref="G15:H15"/>
    <mergeCell ref="I15:J15"/>
    <mergeCell ref="K15:L15"/>
    <mergeCell ref="C16:F16"/>
    <mergeCell ref="G16:H16"/>
    <mergeCell ref="I16:J16"/>
    <mergeCell ref="K16:L16"/>
    <mergeCell ref="C13:F13"/>
    <mergeCell ref="G13:H13"/>
    <mergeCell ref="I13:J13"/>
    <mergeCell ref="K13:L13"/>
    <mergeCell ref="C14:F14"/>
    <mergeCell ref="G14:H14"/>
    <mergeCell ref="I14:J14"/>
    <mergeCell ref="K14:L14"/>
    <mergeCell ref="C442:I442"/>
    <mergeCell ref="J442:K442"/>
    <mergeCell ref="C443:I443"/>
    <mergeCell ref="J443:K443"/>
    <mergeCell ref="C17:F17"/>
    <mergeCell ref="G17:H17"/>
    <mergeCell ref="I17:J17"/>
    <mergeCell ref="K17:L17"/>
    <mergeCell ref="A19:L19"/>
    <mergeCell ref="C441:I441"/>
    <mergeCell ref="J441:K441"/>
    <mergeCell ref="J89:K89"/>
    <mergeCell ref="G89:H89"/>
    <mergeCell ref="F87:G87"/>
    <mergeCell ref="F27:G27"/>
    <mergeCell ref="F147:G147"/>
    <mergeCell ref="J140:K140"/>
    <mergeCell ref="G140:H140"/>
    <mergeCell ref="F136:G136"/>
    <mergeCell ref="F135:G135"/>
    <mergeCell ref="J129:K129"/>
    <mergeCell ref="G129:H129"/>
    <mergeCell ref="J30:K30"/>
    <mergeCell ref="G30:H30"/>
    <mergeCell ref="J62:K62"/>
    <mergeCell ref="G62:H62"/>
    <mergeCell ref="J55:K55"/>
    <mergeCell ref="G55:H55"/>
    <mergeCell ref="F53:G53"/>
    <mergeCell ref="F52:G52"/>
    <mergeCell ref="F86:G86"/>
    <mergeCell ref="J80:K80"/>
    <mergeCell ref="G80:H80"/>
    <mergeCell ref="J37:K37"/>
    <mergeCell ref="G37:H37"/>
    <mergeCell ref="F95:G95"/>
    <mergeCell ref="F124:G124"/>
    <mergeCell ref="J117:K117"/>
    <mergeCell ref="G117:H117"/>
    <mergeCell ref="F115:G115"/>
    <mergeCell ref="F114:G114"/>
    <mergeCell ref="J107:K107"/>
    <mergeCell ref="G107:H107"/>
    <mergeCell ref="F28:G28"/>
    <mergeCell ref="F78:G78"/>
    <mergeCell ref="F77:G77"/>
    <mergeCell ref="J71:K71"/>
    <mergeCell ref="G71:H71"/>
    <mergeCell ref="J199:K199"/>
    <mergeCell ref="G199:H199"/>
    <mergeCell ref="F195:G195"/>
    <mergeCell ref="F194:G194"/>
    <mergeCell ref="F105:G105"/>
    <mergeCell ref="F104:G104"/>
    <mergeCell ref="J98:K98"/>
    <mergeCell ref="G98:H98"/>
    <mergeCell ref="F96:G96"/>
    <mergeCell ref="J152:K152"/>
    <mergeCell ref="G152:H152"/>
    <mergeCell ref="F148:G148"/>
    <mergeCell ref="J164:K164"/>
    <mergeCell ref="G164:H164"/>
    <mergeCell ref="F160:G160"/>
    <mergeCell ref="F159:G159"/>
    <mergeCell ref="F125:G125"/>
    <mergeCell ref="J46:K46"/>
    <mergeCell ref="G46:H46"/>
    <mergeCell ref="J274:K274"/>
    <mergeCell ref="G315:H315"/>
    <mergeCell ref="F171:G171"/>
    <mergeCell ref="F170:G170"/>
    <mergeCell ref="J187:K187"/>
    <mergeCell ref="G187:H187"/>
    <mergeCell ref="F185:G185"/>
    <mergeCell ref="F184:G184"/>
    <mergeCell ref="J177:K177"/>
    <mergeCell ref="G177:H177"/>
    <mergeCell ref="F207:G207"/>
    <mergeCell ref="F206:G206"/>
    <mergeCell ref="J209:K209"/>
    <mergeCell ref="G209:H209"/>
    <mergeCell ref="F231:G231"/>
    <mergeCell ref="J225:K225"/>
    <mergeCell ref="G225:H225"/>
    <mergeCell ref="F217:G217"/>
    <mergeCell ref="F216:G216"/>
    <mergeCell ref="J335:K335"/>
    <mergeCell ref="G335:H335"/>
    <mergeCell ref="J324:K324"/>
    <mergeCell ref="G324:H324"/>
    <mergeCell ref="J315:K315"/>
    <mergeCell ref="F232:G232"/>
    <mergeCell ref="J248:K248"/>
    <mergeCell ref="G248:H248"/>
    <mergeCell ref="F244:G244"/>
    <mergeCell ref="F243:G243"/>
    <mergeCell ref="J236:K236"/>
    <mergeCell ref="G236:H236"/>
    <mergeCell ref="G274:H274"/>
    <mergeCell ref="F268:G268"/>
    <mergeCell ref="F267:G267"/>
    <mergeCell ref="J260:K260"/>
    <mergeCell ref="G260:H260"/>
    <mergeCell ref="F256:G256"/>
    <mergeCell ref="F255:G255"/>
    <mergeCell ref="F290:G290"/>
    <mergeCell ref="J283:K283"/>
    <mergeCell ref="G283:H283"/>
    <mergeCell ref="F279:G279"/>
    <mergeCell ref="F278:G278"/>
    <mergeCell ref="J423:K423"/>
    <mergeCell ref="G423:H423"/>
    <mergeCell ref="J355:K355"/>
    <mergeCell ref="F372:G372"/>
    <mergeCell ref="F371:G371"/>
    <mergeCell ref="J366:K366"/>
    <mergeCell ref="G366:H366"/>
    <mergeCell ref="G355:H355"/>
    <mergeCell ref="J344:K344"/>
    <mergeCell ref="G344:H344"/>
    <mergeCell ref="J414:K414"/>
    <mergeCell ref="G414:H414"/>
    <mergeCell ref="F307:G307"/>
    <mergeCell ref="F306:G306"/>
    <mergeCell ref="J299:K299"/>
    <mergeCell ref="G299:H299"/>
    <mergeCell ref="F291:G291"/>
    <mergeCell ref="G440:H440"/>
    <mergeCell ref="J440:K440"/>
    <mergeCell ref="A440:F440"/>
    <mergeCell ref="J439:K439"/>
    <mergeCell ref="G439:H439"/>
    <mergeCell ref="J437:K437"/>
    <mergeCell ref="G437:H437"/>
    <mergeCell ref="J374:K374"/>
    <mergeCell ref="G374:H374"/>
    <mergeCell ref="J403:K403"/>
    <mergeCell ref="G403:H403"/>
    <mergeCell ref="J395:K395"/>
    <mergeCell ref="G395:H395"/>
    <mergeCell ref="J384:K384"/>
    <mergeCell ref="G384:H384"/>
    <mergeCell ref="J435:K435"/>
    <mergeCell ref="G435:H435"/>
  </mergeCells>
  <pageMargins left="0.39370078740157483" right="0.19685039370078741" top="0.19685039370078741" bottom="0.39370078740157483" header="0.19685039370078741" footer="0.19685039370078741"/>
  <pageSetup paperSize="9" scale="58" fitToHeight="16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215"/>
  <sheetViews>
    <sheetView workbookViewId="0">
      <selection activeCell="A211" sqref="A211:AH211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210</v>
      </c>
      <c r="C12" s="1">
        <v>0</v>
      </c>
      <c r="D12" s="1">
        <f>ROW(A152)</f>
        <v>152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B152</f>
        <v>210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капитальный ремонт помещения №23 в осях В-Д/5-8 цокольного этажа здания учебно-лабораторного корпуса№2 Саровского физико-технического  института -филиала НИЯУ МИФИ (СарФТИ НИЯУ МИФИ) по адресу: Нижегородская обл.г.Саров,ул.Духова,д.6А</v>
      </c>
      <c r="H18" s="2"/>
      <c r="I18" s="2"/>
      <c r="J18" s="2"/>
      <c r="K18" s="2"/>
      <c r="L18" s="2"/>
      <c r="M18" s="2"/>
      <c r="N18" s="2"/>
      <c r="O18" s="2">
        <f t="shared" ref="O18:AT18" si="1">O152</f>
        <v>840269.85</v>
      </c>
      <c r="P18" s="2">
        <f t="shared" si="1"/>
        <v>770811.46</v>
      </c>
      <c r="Q18" s="2">
        <f t="shared" si="1"/>
        <v>5669.13</v>
      </c>
      <c r="R18" s="2">
        <f t="shared" si="1"/>
        <v>1313.34</v>
      </c>
      <c r="S18" s="2">
        <f t="shared" si="1"/>
        <v>63789.26</v>
      </c>
      <c r="T18" s="2">
        <f t="shared" si="1"/>
        <v>0</v>
      </c>
      <c r="U18" s="2">
        <f t="shared" si="1"/>
        <v>1041.2791226499999</v>
      </c>
      <c r="V18" s="2">
        <f t="shared" si="1"/>
        <v>15.392633999999999</v>
      </c>
      <c r="W18" s="2">
        <f t="shared" si="1"/>
        <v>0</v>
      </c>
      <c r="X18" s="2">
        <f t="shared" si="1"/>
        <v>65038.6</v>
      </c>
      <c r="Y18" s="2">
        <f t="shared" si="1"/>
        <v>40267.47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952827.96</v>
      </c>
      <c r="AS18" s="2">
        <f t="shared" si="1"/>
        <v>854254.48</v>
      </c>
      <c r="AT18" s="2">
        <f t="shared" si="1"/>
        <v>98573.48</v>
      </c>
      <c r="AU18" s="2">
        <f t="shared" ref="AU18:BZ18" si="2">AU152</f>
        <v>0</v>
      </c>
      <c r="AV18" s="2">
        <f t="shared" si="2"/>
        <v>770811.46</v>
      </c>
      <c r="AW18" s="2">
        <f t="shared" si="2"/>
        <v>770811.46</v>
      </c>
      <c r="AX18" s="2">
        <f t="shared" si="2"/>
        <v>0</v>
      </c>
      <c r="AY18" s="2">
        <f t="shared" si="2"/>
        <v>770811.46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CA152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DG152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EM152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FS152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ROW(A120)</f>
        <v>120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B120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O120</f>
        <v>840269.85</v>
      </c>
      <c r="P22" s="2">
        <f t="shared" si="8"/>
        <v>770811.46</v>
      </c>
      <c r="Q22" s="2">
        <f t="shared" si="8"/>
        <v>5669.13</v>
      </c>
      <c r="R22" s="2">
        <f t="shared" si="8"/>
        <v>1313.34</v>
      </c>
      <c r="S22" s="2">
        <f t="shared" si="8"/>
        <v>63789.26</v>
      </c>
      <c r="T22" s="2">
        <f t="shared" si="8"/>
        <v>0</v>
      </c>
      <c r="U22" s="2">
        <f t="shared" si="8"/>
        <v>1041.2791226499999</v>
      </c>
      <c r="V22" s="2">
        <f t="shared" si="8"/>
        <v>15.392633999999999</v>
      </c>
      <c r="W22" s="2">
        <f t="shared" si="8"/>
        <v>0</v>
      </c>
      <c r="X22" s="2">
        <f t="shared" si="8"/>
        <v>65038.6</v>
      </c>
      <c r="Y22" s="2">
        <f t="shared" si="8"/>
        <v>40267.47</v>
      </c>
      <c r="Z22" s="2">
        <f t="shared" si="8"/>
        <v>0</v>
      </c>
      <c r="AA22" s="2">
        <f t="shared" si="8"/>
        <v>0</v>
      </c>
      <c r="AB22" s="2">
        <f t="shared" si="8"/>
        <v>840269.85</v>
      </c>
      <c r="AC22" s="2">
        <f t="shared" si="8"/>
        <v>770811.46</v>
      </c>
      <c r="AD22" s="2">
        <f t="shared" si="8"/>
        <v>5669.13</v>
      </c>
      <c r="AE22" s="2">
        <f t="shared" si="8"/>
        <v>1313.34</v>
      </c>
      <c r="AF22" s="2">
        <f t="shared" si="8"/>
        <v>63789.26</v>
      </c>
      <c r="AG22" s="2">
        <f t="shared" si="8"/>
        <v>0</v>
      </c>
      <c r="AH22" s="2">
        <f t="shared" si="8"/>
        <v>1041.2791226499999</v>
      </c>
      <c r="AI22" s="2">
        <f t="shared" si="8"/>
        <v>15.392633999999999</v>
      </c>
      <c r="AJ22" s="2">
        <f t="shared" si="8"/>
        <v>0</v>
      </c>
      <c r="AK22" s="2">
        <f t="shared" si="8"/>
        <v>65038.6</v>
      </c>
      <c r="AL22" s="2">
        <f t="shared" si="8"/>
        <v>40267.47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952827.96</v>
      </c>
      <c r="AS22" s="2">
        <f t="shared" si="8"/>
        <v>854254.48</v>
      </c>
      <c r="AT22" s="2">
        <f t="shared" si="8"/>
        <v>98573.48</v>
      </c>
      <c r="AU22" s="2">
        <f t="shared" ref="AU22:BZ22" si="9">AU120</f>
        <v>0</v>
      </c>
      <c r="AV22" s="2">
        <f t="shared" si="9"/>
        <v>770811.46</v>
      </c>
      <c r="AW22" s="2">
        <f t="shared" si="9"/>
        <v>770811.46</v>
      </c>
      <c r="AX22" s="2">
        <f t="shared" si="9"/>
        <v>0</v>
      </c>
      <c r="AY22" s="2">
        <f t="shared" si="9"/>
        <v>770811.46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CA120</f>
        <v>952827.96</v>
      </c>
      <c r="CB22" s="2">
        <f t="shared" si="10"/>
        <v>854254.48</v>
      </c>
      <c r="CC22" s="2">
        <f t="shared" si="10"/>
        <v>98573.48</v>
      </c>
      <c r="CD22" s="2">
        <f t="shared" si="10"/>
        <v>0</v>
      </c>
      <c r="CE22" s="2">
        <f t="shared" si="10"/>
        <v>770811.46</v>
      </c>
      <c r="CF22" s="2">
        <f t="shared" si="10"/>
        <v>770811.46</v>
      </c>
      <c r="CG22" s="2">
        <f t="shared" si="10"/>
        <v>0</v>
      </c>
      <c r="CH22" s="2">
        <f t="shared" si="10"/>
        <v>770811.46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DG120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EM120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FS120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ROW(SmtRes!A5)</f>
        <v>5</v>
      </c>
      <c r="D24">
        <f>ROW(EtalonRes!A5)</f>
        <v>5</v>
      </c>
      <c r="E24" t="s">
        <v>12</v>
      </c>
      <c r="F24" t="s">
        <v>13</v>
      </c>
      <c r="G24" t="s">
        <v>14</v>
      </c>
      <c r="H24" t="s">
        <v>15</v>
      </c>
      <c r="I24">
        <f>ROUND(11.52/100,9)</f>
        <v>0.1152</v>
      </c>
      <c r="J24">
        <v>0</v>
      </c>
      <c r="O24">
        <f t="shared" ref="O24:O55" si="14">ROUND(CP24,2)</f>
        <v>818.95</v>
      </c>
      <c r="P24">
        <f t="shared" ref="P24:P55" si="15">ROUND(CQ24*I24,2)</f>
        <v>0</v>
      </c>
      <c r="Q24">
        <f t="shared" ref="Q24:Q55" si="16">ROUND(CR24*I24,2)</f>
        <v>206.49</v>
      </c>
      <c r="R24">
        <f t="shared" ref="R24:R55" si="17">ROUND(CS24*I24,2)</f>
        <v>40.31</v>
      </c>
      <c r="S24">
        <f t="shared" ref="S24:S55" si="18">ROUND(CT24*I24,2)</f>
        <v>612.46</v>
      </c>
      <c r="T24">
        <f t="shared" ref="T24:T55" si="19">ROUND(CU24*I24,2)</f>
        <v>0</v>
      </c>
      <c r="U24">
        <f t="shared" ref="U24:U55" si="20">CV24*I24</f>
        <v>9.4427135999999994</v>
      </c>
      <c r="V24">
        <f t="shared" ref="V24:V55" si="21">CW24*I24</f>
        <v>0.49213440000000003</v>
      </c>
      <c r="W24">
        <f t="shared" ref="W24:W55" si="22">ROUND(CX24*I24,2)</f>
        <v>0</v>
      </c>
      <c r="X24">
        <f t="shared" ref="X24:X55" si="23">ROUND(CY24,2)</f>
        <v>620.13</v>
      </c>
      <c r="Y24">
        <f t="shared" ref="Y24:Y55" si="24">ROUND(CZ24,2)</f>
        <v>306.8</v>
      </c>
      <c r="AA24">
        <v>39579451</v>
      </c>
      <c r="AB24">
        <f t="shared" ref="AB24:AB55" si="25">ROUND((AC24+AD24+AF24),2)</f>
        <v>1030.27</v>
      </c>
      <c r="AC24">
        <f>ROUND(((ES24*0)),2)</f>
        <v>0</v>
      </c>
      <c r="AD24">
        <f>ROUND(((((ET24*0.8))-((EU24*0.8)))+AE24),2)</f>
        <v>259.77</v>
      </c>
      <c r="AE24">
        <f>ROUND(((EU24*0.8)),2)</f>
        <v>50.71</v>
      </c>
      <c r="AF24">
        <f>ROUND(((EV24*0.8)),2)</f>
        <v>770.5</v>
      </c>
      <c r="AG24">
        <f t="shared" ref="AG24:AG55" si="26">ROUND((AP24),2)</f>
        <v>0</v>
      </c>
      <c r="AH24">
        <f>((EW24*0.8))</f>
        <v>81.968000000000004</v>
      </c>
      <c r="AI24">
        <f>((EX24*0.8))</f>
        <v>4.2720000000000002</v>
      </c>
      <c r="AJ24">
        <f t="shared" ref="AJ24:AJ55" si="27">ROUND((AS24),2)</f>
        <v>0</v>
      </c>
      <c r="AK24">
        <v>6623.23</v>
      </c>
      <c r="AL24">
        <v>5335.4</v>
      </c>
      <c r="AM24">
        <v>324.70999999999998</v>
      </c>
      <c r="AN24">
        <v>63.39</v>
      </c>
      <c r="AO24">
        <v>963.12</v>
      </c>
      <c r="AP24">
        <v>0</v>
      </c>
      <c r="AQ24">
        <v>102.46</v>
      </c>
      <c r="AR24">
        <v>5.34</v>
      </c>
      <c r="AS24">
        <v>0</v>
      </c>
      <c r="AT24">
        <v>95</v>
      </c>
      <c r="AU24">
        <v>47</v>
      </c>
      <c r="AV24">
        <v>1</v>
      </c>
      <c r="AW24">
        <v>1</v>
      </c>
      <c r="AZ24">
        <v>6.9</v>
      </c>
      <c r="BA24">
        <v>6.9</v>
      </c>
      <c r="BB24">
        <v>6.9</v>
      </c>
      <c r="BC24">
        <v>6.9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1</v>
      </c>
      <c r="BJ24" t="s">
        <v>16</v>
      </c>
      <c r="BM24">
        <v>15001</v>
      </c>
      <c r="BN24">
        <v>0</v>
      </c>
      <c r="BO24" t="s">
        <v>3</v>
      </c>
      <c r="BP24">
        <v>0</v>
      </c>
      <c r="BQ24">
        <v>2</v>
      </c>
      <c r="BR24">
        <v>0</v>
      </c>
      <c r="BS24">
        <v>6.9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105</v>
      </c>
      <c r="CA24">
        <v>55</v>
      </c>
      <c r="CF24">
        <v>0</v>
      </c>
      <c r="CG24">
        <v>0</v>
      </c>
      <c r="CM24">
        <v>0</v>
      </c>
      <c r="CN24" t="s">
        <v>17</v>
      </c>
      <c r="CO24">
        <v>0</v>
      </c>
      <c r="CP24">
        <f t="shared" ref="CP24:CP55" si="28">(P24+Q24+S24)</f>
        <v>818.95</v>
      </c>
      <c r="CQ24">
        <f t="shared" ref="CQ24:CQ55" si="29">AC24*BC24</f>
        <v>0</v>
      </c>
      <c r="CR24">
        <f t="shared" ref="CR24:CR55" si="30">AD24*BB24</f>
        <v>1792.413</v>
      </c>
      <c r="CS24">
        <f t="shared" ref="CS24:CS55" si="31">AE24*BS24</f>
        <v>349.899</v>
      </c>
      <c r="CT24">
        <f t="shared" ref="CT24:CT55" si="32">AF24*BA24</f>
        <v>5316.4500000000007</v>
      </c>
      <c r="CU24">
        <f t="shared" ref="CU24:CU55" si="33">AG24</f>
        <v>0</v>
      </c>
      <c r="CV24">
        <f t="shared" ref="CV24:CV55" si="34">AH24</f>
        <v>81.968000000000004</v>
      </c>
      <c r="CW24">
        <f t="shared" ref="CW24:CW55" si="35">AI24</f>
        <v>4.2720000000000002</v>
      </c>
      <c r="CX24">
        <f t="shared" ref="CX24:CX55" si="36">AJ24</f>
        <v>0</v>
      </c>
      <c r="CY24">
        <f t="shared" ref="CY24:CY55" si="37">(((S24+R24)*AT24)/100)</f>
        <v>620.13149999999996</v>
      </c>
      <c r="CZ24">
        <f t="shared" ref="CZ24:CZ55" si="38">(((S24+R24)*AU24)/100)</f>
        <v>306.80189999999999</v>
      </c>
      <c r="DC24" t="s">
        <v>3</v>
      </c>
      <c r="DD24" t="s">
        <v>18</v>
      </c>
      <c r="DE24" t="s">
        <v>19</v>
      </c>
      <c r="DF24" t="s">
        <v>19</v>
      </c>
      <c r="DG24" t="s">
        <v>19</v>
      </c>
      <c r="DH24" t="s">
        <v>3</v>
      </c>
      <c r="DI24" t="s">
        <v>19</v>
      </c>
      <c r="DJ24" t="s">
        <v>19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1005</v>
      </c>
      <c r="DV24" t="s">
        <v>15</v>
      </c>
      <c r="DW24" t="s">
        <v>15</v>
      </c>
      <c r="DX24">
        <v>100</v>
      </c>
      <c r="EE24">
        <v>39174529</v>
      </c>
      <c r="EF24">
        <v>2</v>
      </c>
      <c r="EG24" t="s">
        <v>20</v>
      </c>
      <c r="EH24">
        <v>0</v>
      </c>
      <c r="EI24" t="s">
        <v>3</v>
      </c>
      <c r="EJ24">
        <v>1</v>
      </c>
      <c r="EK24">
        <v>15001</v>
      </c>
      <c r="EL24" t="s">
        <v>21</v>
      </c>
      <c r="EM24" t="s">
        <v>22</v>
      </c>
      <c r="EO24" t="s">
        <v>23</v>
      </c>
      <c r="EQ24">
        <v>0</v>
      </c>
      <c r="ER24">
        <v>6623.23</v>
      </c>
      <c r="ES24">
        <v>5335.4</v>
      </c>
      <c r="ET24">
        <v>324.70999999999998</v>
      </c>
      <c r="EU24">
        <v>63.39</v>
      </c>
      <c r="EV24">
        <v>963.12</v>
      </c>
      <c r="EW24">
        <v>102.46</v>
      </c>
      <c r="EX24">
        <v>5.34</v>
      </c>
      <c r="EY24">
        <v>0</v>
      </c>
      <c r="FQ24">
        <v>0</v>
      </c>
      <c r="FR24">
        <f t="shared" ref="FR24:FR55" si="39">ROUND(IF(AND(BH24=3,BI24=3),P24,0),2)</f>
        <v>0</v>
      </c>
      <c r="FS24">
        <v>0</v>
      </c>
      <c r="FT24" t="s">
        <v>24</v>
      </c>
      <c r="FU24" t="s">
        <v>25</v>
      </c>
      <c r="FX24">
        <v>94.5</v>
      </c>
      <c r="FY24">
        <v>46.75</v>
      </c>
      <c r="GA24" t="s">
        <v>3</v>
      </c>
      <c r="GD24">
        <v>0</v>
      </c>
      <c r="GF24">
        <v>2124409249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55" si="40">ROUND(IF(AND(BH24=3,BI24=3,FS24&lt;&gt;0),P24,0),2)</f>
        <v>0</v>
      </c>
      <c r="GM24">
        <f t="shared" ref="GM24:GM55" si="41">ROUND(O24+X24+Y24+GK24,2)+GX24</f>
        <v>1745.88</v>
      </c>
      <c r="GN24">
        <f t="shared" ref="GN24:GN55" si="42">IF(OR(BI24=0,BI24=1),ROUND(O24+X24+Y24+GK24,2),0)</f>
        <v>1745.88</v>
      </c>
      <c r="GO24">
        <f t="shared" ref="GO24:GO55" si="43">IF(BI24=2,ROUND(O24+X24+Y24+GK24,2),0)</f>
        <v>0</v>
      </c>
      <c r="GP24">
        <f t="shared" ref="GP24:GP55" si="44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5" si="45">ROUND(GT24,2)</f>
        <v>0</v>
      </c>
      <c r="GW24">
        <v>1</v>
      </c>
      <c r="GX24">
        <f t="shared" ref="GX24:GX55" si="46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17</v>
      </c>
      <c r="B25">
        <v>1</v>
      </c>
      <c r="C25">
        <f>ROW(SmtRes!A6)</f>
        <v>6</v>
      </c>
      <c r="D25">
        <f>ROW(EtalonRes!A7)</f>
        <v>7</v>
      </c>
      <c r="E25" t="s">
        <v>26</v>
      </c>
      <c r="F25" t="s">
        <v>27</v>
      </c>
      <c r="G25" t="s">
        <v>28</v>
      </c>
      <c r="H25" t="s">
        <v>15</v>
      </c>
      <c r="I25">
        <f>ROUND(92/100,9)</f>
        <v>0.92</v>
      </c>
      <c r="J25">
        <v>0</v>
      </c>
      <c r="O25">
        <f t="shared" si="14"/>
        <v>514.95000000000005</v>
      </c>
      <c r="P25">
        <f t="shared" si="15"/>
        <v>0</v>
      </c>
      <c r="Q25">
        <f t="shared" si="16"/>
        <v>0</v>
      </c>
      <c r="R25">
        <f t="shared" si="17"/>
        <v>0</v>
      </c>
      <c r="S25">
        <f t="shared" si="18"/>
        <v>514.95000000000005</v>
      </c>
      <c r="T25">
        <f t="shared" si="19"/>
        <v>0</v>
      </c>
      <c r="U25">
        <f t="shared" si="20"/>
        <v>9.5680000000000014</v>
      </c>
      <c r="V25">
        <f t="shared" si="21"/>
        <v>0</v>
      </c>
      <c r="W25">
        <f t="shared" si="22"/>
        <v>0</v>
      </c>
      <c r="X25">
        <f t="shared" si="23"/>
        <v>396.51</v>
      </c>
      <c r="Y25">
        <f t="shared" si="24"/>
        <v>257.48</v>
      </c>
      <c r="AA25">
        <v>39579451</v>
      </c>
      <c r="AB25">
        <f t="shared" si="25"/>
        <v>81.12</v>
      </c>
      <c r="AC25">
        <f>ROUND((ES25),2)</f>
        <v>0</v>
      </c>
      <c r="AD25">
        <f>ROUND((((ET25)-(EU25))+AE25),2)</f>
        <v>0</v>
      </c>
      <c r="AE25">
        <f>ROUND((EU25),2)</f>
        <v>0</v>
      </c>
      <c r="AF25">
        <f>ROUND((EV25),2)</f>
        <v>81.12</v>
      </c>
      <c r="AG25">
        <f t="shared" si="26"/>
        <v>0</v>
      </c>
      <c r="AH25">
        <f>(EW25)</f>
        <v>10.4</v>
      </c>
      <c r="AI25">
        <f>(EX25)</f>
        <v>0</v>
      </c>
      <c r="AJ25">
        <f t="shared" si="27"/>
        <v>0</v>
      </c>
      <c r="AK25">
        <v>81.12</v>
      </c>
      <c r="AL25">
        <v>0</v>
      </c>
      <c r="AM25">
        <v>0</v>
      </c>
      <c r="AN25">
        <v>0</v>
      </c>
      <c r="AO25">
        <v>81.12</v>
      </c>
      <c r="AP25">
        <v>0</v>
      </c>
      <c r="AQ25">
        <v>10.4</v>
      </c>
      <c r="AR25">
        <v>0</v>
      </c>
      <c r="AS25">
        <v>0</v>
      </c>
      <c r="AT25">
        <v>77</v>
      </c>
      <c r="AU25">
        <v>50</v>
      </c>
      <c r="AV25">
        <v>1</v>
      </c>
      <c r="AW25">
        <v>1</v>
      </c>
      <c r="AZ25">
        <v>6.9</v>
      </c>
      <c r="BA25">
        <v>6.9</v>
      </c>
      <c r="BB25">
        <v>6.9</v>
      </c>
      <c r="BC25">
        <v>6.9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1</v>
      </c>
      <c r="BJ25" t="s">
        <v>29</v>
      </c>
      <c r="BM25">
        <v>63001</v>
      </c>
      <c r="BN25">
        <v>0</v>
      </c>
      <c r="BO25" t="s">
        <v>3</v>
      </c>
      <c r="BP25">
        <v>0</v>
      </c>
      <c r="BQ25">
        <v>6</v>
      </c>
      <c r="BR25">
        <v>0</v>
      </c>
      <c r="BS25">
        <v>6.9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77</v>
      </c>
      <c r="CA25">
        <v>50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 t="shared" si="28"/>
        <v>514.95000000000005</v>
      </c>
      <c r="CQ25">
        <f t="shared" si="29"/>
        <v>0</v>
      </c>
      <c r="CR25">
        <f t="shared" si="30"/>
        <v>0</v>
      </c>
      <c r="CS25">
        <f t="shared" si="31"/>
        <v>0</v>
      </c>
      <c r="CT25">
        <f t="shared" si="32"/>
        <v>559.72800000000007</v>
      </c>
      <c r="CU25">
        <f t="shared" si="33"/>
        <v>0</v>
      </c>
      <c r="CV25">
        <f t="shared" si="34"/>
        <v>10.4</v>
      </c>
      <c r="CW25">
        <f t="shared" si="35"/>
        <v>0</v>
      </c>
      <c r="CX25">
        <f t="shared" si="36"/>
        <v>0</v>
      </c>
      <c r="CY25">
        <f t="shared" si="37"/>
        <v>396.51150000000001</v>
      </c>
      <c r="CZ25">
        <f t="shared" si="38"/>
        <v>257.47500000000002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15</v>
      </c>
      <c r="DW25" t="s">
        <v>15</v>
      </c>
      <c r="DX25">
        <v>100</v>
      </c>
      <c r="EE25">
        <v>39174588</v>
      </c>
      <c r="EF25">
        <v>6</v>
      </c>
      <c r="EG25" t="s">
        <v>30</v>
      </c>
      <c r="EH25">
        <v>0</v>
      </c>
      <c r="EI25" t="s">
        <v>3</v>
      </c>
      <c r="EJ25">
        <v>1</v>
      </c>
      <c r="EK25">
        <v>63001</v>
      </c>
      <c r="EL25" t="s">
        <v>31</v>
      </c>
      <c r="EM25" t="s">
        <v>32</v>
      </c>
      <c r="EO25" t="s">
        <v>3</v>
      </c>
      <c r="EQ25">
        <v>0</v>
      </c>
      <c r="ER25">
        <v>81.12</v>
      </c>
      <c r="ES25">
        <v>0</v>
      </c>
      <c r="ET25">
        <v>0</v>
      </c>
      <c r="EU25">
        <v>0</v>
      </c>
      <c r="EV25">
        <v>81.12</v>
      </c>
      <c r="EW25">
        <v>10.4</v>
      </c>
      <c r="EX25">
        <v>0</v>
      </c>
      <c r="EY25">
        <v>0</v>
      </c>
      <c r="FQ25">
        <v>0</v>
      </c>
      <c r="FR25">
        <f t="shared" si="39"/>
        <v>0</v>
      </c>
      <c r="FS25">
        <v>0</v>
      </c>
      <c r="FX25">
        <v>77</v>
      </c>
      <c r="FY25">
        <v>50</v>
      </c>
      <c r="GA25" t="s">
        <v>3</v>
      </c>
      <c r="GD25">
        <v>0</v>
      </c>
      <c r="GF25">
        <v>857715586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0"/>
        <v>0</v>
      </c>
      <c r="GM25">
        <f t="shared" si="41"/>
        <v>1168.94</v>
      </c>
      <c r="GN25">
        <f t="shared" si="42"/>
        <v>1168.94</v>
      </c>
      <c r="GO25">
        <f t="shared" si="43"/>
        <v>0</v>
      </c>
      <c r="GP25">
        <f t="shared" si="44"/>
        <v>0</v>
      </c>
      <c r="GR25">
        <v>0</v>
      </c>
      <c r="GS25">
        <v>3</v>
      </c>
      <c r="GT25">
        <v>0</v>
      </c>
      <c r="GU25" t="s">
        <v>3</v>
      </c>
      <c r="GV25">
        <f t="shared" si="45"/>
        <v>0</v>
      </c>
      <c r="GW25">
        <v>1</v>
      </c>
      <c r="GX25">
        <f t="shared" si="46"/>
        <v>0</v>
      </c>
      <c r="HA25">
        <v>0</v>
      </c>
      <c r="HB25">
        <v>0</v>
      </c>
      <c r="IK25">
        <v>0</v>
      </c>
    </row>
    <row r="26" spans="1:245" x14ac:dyDescent="0.2">
      <c r="A26">
        <v>17</v>
      </c>
      <c r="B26">
        <v>1</v>
      </c>
      <c r="C26">
        <f>ROW(SmtRes!A9)</f>
        <v>9</v>
      </c>
      <c r="D26">
        <f>ROW(EtalonRes!A10)</f>
        <v>10</v>
      </c>
      <c r="E26" t="s">
        <v>33</v>
      </c>
      <c r="F26" t="s">
        <v>34</v>
      </c>
      <c r="G26" t="s">
        <v>35</v>
      </c>
      <c r="H26" t="s">
        <v>15</v>
      </c>
      <c r="I26">
        <f>ROUND(5.8/100,9)</f>
        <v>5.8000000000000003E-2</v>
      </c>
      <c r="J26">
        <v>0</v>
      </c>
      <c r="O26">
        <f t="shared" si="14"/>
        <v>27.78</v>
      </c>
      <c r="P26">
        <f t="shared" si="15"/>
        <v>0</v>
      </c>
      <c r="Q26">
        <f t="shared" si="16"/>
        <v>2.5</v>
      </c>
      <c r="R26">
        <f t="shared" si="17"/>
        <v>1.08</v>
      </c>
      <c r="S26">
        <f t="shared" si="18"/>
        <v>25.28</v>
      </c>
      <c r="T26">
        <f t="shared" si="19"/>
        <v>0</v>
      </c>
      <c r="U26">
        <f t="shared" si="20"/>
        <v>0.42398000000000002</v>
      </c>
      <c r="V26">
        <f t="shared" si="21"/>
        <v>1.1600000000000001E-2</v>
      </c>
      <c r="W26">
        <f t="shared" si="22"/>
        <v>0</v>
      </c>
      <c r="X26">
        <f t="shared" si="23"/>
        <v>20.3</v>
      </c>
      <c r="Y26">
        <f t="shared" si="24"/>
        <v>13.18</v>
      </c>
      <c r="AA26">
        <v>39579451</v>
      </c>
      <c r="AB26">
        <f t="shared" si="25"/>
        <v>69.41</v>
      </c>
      <c r="AC26">
        <f>ROUND((ES26),2)</f>
        <v>0</v>
      </c>
      <c r="AD26">
        <f>ROUND((((ET26)-(EU26))+AE26),2)</f>
        <v>6.25</v>
      </c>
      <c r="AE26">
        <f>ROUND((EU26),2)</f>
        <v>2.7</v>
      </c>
      <c r="AF26">
        <f>ROUND((EV26),2)</f>
        <v>63.16</v>
      </c>
      <c r="AG26">
        <f t="shared" si="26"/>
        <v>0</v>
      </c>
      <c r="AH26">
        <f>(EW26)</f>
        <v>7.31</v>
      </c>
      <c r="AI26">
        <f>(EX26)</f>
        <v>0.2</v>
      </c>
      <c r="AJ26">
        <f t="shared" si="27"/>
        <v>0</v>
      </c>
      <c r="AK26">
        <v>69.41</v>
      </c>
      <c r="AL26">
        <v>0</v>
      </c>
      <c r="AM26">
        <v>6.25</v>
      </c>
      <c r="AN26">
        <v>2.7</v>
      </c>
      <c r="AO26">
        <v>63.16</v>
      </c>
      <c r="AP26">
        <v>0</v>
      </c>
      <c r="AQ26">
        <v>7.31</v>
      </c>
      <c r="AR26">
        <v>0.2</v>
      </c>
      <c r="AS26">
        <v>0</v>
      </c>
      <c r="AT26">
        <v>77</v>
      </c>
      <c r="AU26">
        <v>50</v>
      </c>
      <c r="AV26">
        <v>1</v>
      </c>
      <c r="AW26">
        <v>1</v>
      </c>
      <c r="AZ26">
        <v>6.9</v>
      </c>
      <c r="BA26">
        <v>6.9</v>
      </c>
      <c r="BB26">
        <v>6.9</v>
      </c>
      <c r="BC26">
        <v>6.9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1</v>
      </c>
      <c r="BJ26" t="s">
        <v>36</v>
      </c>
      <c r="BM26">
        <v>63001</v>
      </c>
      <c r="BN26">
        <v>0</v>
      </c>
      <c r="BO26" t="s">
        <v>3</v>
      </c>
      <c r="BP26">
        <v>0</v>
      </c>
      <c r="BQ26">
        <v>6</v>
      </c>
      <c r="BR26">
        <v>0</v>
      </c>
      <c r="BS26">
        <v>6.9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77</v>
      </c>
      <c r="CA26">
        <v>50</v>
      </c>
      <c r="CF26">
        <v>0</v>
      </c>
      <c r="CG26">
        <v>0</v>
      </c>
      <c r="CM26">
        <v>0</v>
      </c>
      <c r="CN26" t="s">
        <v>3</v>
      </c>
      <c r="CO26">
        <v>0</v>
      </c>
      <c r="CP26">
        <f t="shared" si="28"/>
        <v>27.78</v>
      </c>
      <c r="CQ26">
        <f t="shared" si="29"/>
        <v>0</v>
      </c>
      <c r="CR26">
        <f t="shared" si="30"/>
        <v>43.125</v>
      </c>
      <c r="CS26">
        <f t="shared" si="31"/>
        <v>18.630000000000003</v>
      </c>
      <c r="CT26">
        <f t="shared" si="32"/>
        <v>435.80399999999997</v>
      </c>
      <c r="CU26">
        <f t="shared" si="33"/>
        <v>0</v>
      </c>
      <c r="CV26">
        <f t="shared" si="34"/>
        <v>7.31</v>
      </c>
      <c r="CW26">
        <f t="shared" si="35"/>
        <v>0.2</v>
      </c>
      <c r="CX26">
        <f t="shared" si="36"/>
        <v>0</v>
      </c>
      <c r="CY26">
        <f t="shared" si="37"/>
        <v>20.2972</v>
      </c>
      <c r="CZ26">
        <f t="shared" si="38"/>
        <v>13.18</v>
      </c>
      <c r="DC26" t="s">
        <v>3</v>
      </c>
      <c r="DD26" t="s">
        <v>3</v>
      </c>
      <c r="DE26" t="s">
        <v>3</v>
      </c>
      <c r="DF26" t="s">
        <v>3</v>
      </c>
      <c r="DG26" t="s">
        <v>3</v>
      </c>
      <c r="DH26" t="s">
        <v>3</v>
      </c>
      <c r="DI26" t="s">
        <v>3</v>
      </c>
      <c r="DJ26" t="s">
        <v>3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1005</v>
      </c>
      <c r="DV26" t="s">
        <v>15</v>
      </c>
      <c r="DW26" t="s">
        <v>15</v>
      </c>
      <c r="DX26">
        <v>100</v>
      </c>
      <c r="EE26">
        <v>39174588</v>
      </c>
      <c r="EF26">
        <v>6</v>
      </c>
      <c r="EG26" t="s">
        <v>30</v>
      </c>
      <c r="EH26">
        <v>0</v>
      </c>
      <c r="EI26" t="s">
        <v>3</v>
      </c>
      <c r="EJ26">
        <v>1</v>
      </c>
      <c r="EK26">
        <v>63001</v>
      </c>
      <c r="EL26" t="s">
        <v>31</v>
      </c>
      <c r="EM26" t="s">
        <v>32</v>
      </c>
      <c r="EO26" t="s">
        <v>3</v>
      </c>
      <c r="EQ26">
        <v>0</v>
      </c>
      <c r="ER26">
        <v>69.41</v>
      </c>
      <c r="ES26">
        <v>0</v>
      </c>
      <c r="ET26">
        <v>6.25</v>
      </c>
      <c r="EU26">
        <v>2.7</v>
      </c>
      <c r="EV26">
        <v>63.16</v>
      </c>
      <c r="EW26">
        <v>7.31</v>
      </c>
      <c r="EX26">
        <v>0.2</v>
      </c>
      <c r="EY26">
        <v>0</v>
      </c>
      <c r="FQ26">
        <v>0</v>
      </c>
      <c r="FR26">
        <f t="shared" si="39"/>
        <v>0</v>
      </c>
      <c r="FS26">
        <v>0</v>
      </c>
      <c r="FX26">
        <v>77</v>
      </c>
      <c r="FY26">
        <v>50</v>
      </c>
      <c r="GA26" t="s">
        <v>3</v>
      </c>
      <c r="GD26">
        <v>0</v>
      </c>
      <c r="GF26">
        <v>1696820765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 t="shared" si="40"/>
        <v>0</v>
      </c>
      <c r="GM26">
        <f t="shared" si="41"/>
        <v>61.26</v>
      </c>
      <c r="GN26">
        <f t="shared" si="42"/>
        <v>61.26</v>
      </c>
      <c r="GO26">
        <f t="shared" si="43"/>
        <v>0</v>
      </c>
      <c r="GP26">
        <f t="shared" si="44"/>
        <v>0</v>
      </c>
      <c r="GR26">
        <v>0</v>
      </c>
      <c r="GS26">
        <v>3</v>
      </c>
      <c r="GT26">
        <v>0</v>
      </c>
      <c r="GU26" t="s">
        <v>3</v>
      </c>
      <c r="GV26">
        <f t="shared" si="45"/>
        <v>0</v>
      </c>
      <c r="GW26">
        <v>1</v>
      </c>
      <c r="GX26">
        <f t="shared" si="46"/>
        <v>0</v>
      </c>
      <c r="HA26">
        <v>0</v>
      </c>
      <c r="HB26">
        <v>0</v>
      </c>
      <c r="IK26">
        <v>0</v>
      </c>
    </row>
    <row r="27" spans="1:245" x14ac:dyDescent="0.2">
      <c r="A27">
        <v>17</v>
      </c>
      <c r="B27">
        <v>1</v>
      </c>
      <c r="C27">
        <f>ROW(SmtRes!A20)</f>
        <v>20</v>
      </c>
      <c r="D27">
        <f>ROW(EtalonRes!A21)</f>
        <v>21</v>
      </c>
      <c r="E27" t="s">
        <v>37</v>
      </c>
      <c r="F27" t="s">
        <v>38</v>
      </c>
      <c r="G27" t="s">
        <v>39</v>
      </c>
      <c r="H27" t="s">
        <v>15</v>
      </c>
      <c r="I27">
        <f>ROUND(5.8/100,9)</f>
        <v>5.8000000000000003E-2</v>
      </c>
      <c r="J27">
        <v>0</v>
      </c>
      <c r="O27">
        <f t="shared" si="14"/>
        <v>126.41</v>
      </c>
      <c r="P27">
        <f t="shared" si="15"/>
        <v>0</v>
      </c>
      <c r="Q27">
        <f t="shared" si="16"/>
        <v>0.48</v>
      </c>
      <c r="R27">
        <f t="shared" si="17"/>
        <v>0.19</v>
      </c>
      <c r="S27">
        <f t="shared" si="18"/>
        <v>125.93</v>
      </c>
      <c r="T27">
        <f t="shared" si="19"/>
        <v>0</v>
      </c>
      <c r="U27">
        <f t="shared" si="20"/>
        <v>2.1395040000000001</v>
      </c>
      <c r="V27">
        <f t="shared" si="21"/>
        <v>1.8560000000000002E-3</v>
      </c>
      <c r="W27">
        <f t="shared" si="22"/>
        <v>0</v>
      </c>
      <c r="X27">
        <f t="shared" si="23"/>
        <v>119.81</v>
      </c>
      <c r="Y27">
        <f t="shared" si="24"/>
        <v>59.28</v>
      </c>
      <c r="AA27">
        <v>39579451</v>
      </c>
      <c r="AB27">
        <f t="shared" si="25"/>
        <v>315.87</v>
      </c>
      <c r="AC27">
        <f>ROUND(((ES27*0)),2)</f>
        <v>0</v>
      </c>
      <c r="AD27">
        <f>ROUND(((((ET27*0.8))-((EU27*0.8)))+AE27),2)</f>
        <v>1.21</v>
      </c>
      <c r="AE27">
        <f>ROUND(((EU27*0.8)),2)</f>
        <v>0.47</v>
      </c>
      <c r="AF27">
        <f>ROUND(((EV27*0.8)),2)</f>
        <v>314.66000000000003</v>
      </c>
      <c r="AG27">
        <f t="shared" si="26"/>
        <v>0</v>
      </c>
      <c r="AH27">
        <f>((EW27*0.8))</f>
        <v>36.887999999999998</v>
      </c>
      <c r="AI27">
        <f>((EX27*0.8))</f>
        <v>3.2000000000000001E-2</v>
      </c>
      <c r="AJ27">
        <f t="shared" si="27"/>
        <v>0</v>
      </c>
      <c r="AK27">
        <v>3623.45</v>
      </c>
      <c r="AL27">
        <v>3228.62</v>
      </c>
      <c r="AM27">
        <v>1.51</v>
      </c>
      <c r="AN27">
        <v>0.59</v>
      </c>
      <c r="AO27">
        <v>393.32</v>
      </c>
      <c r="AP27">
        <v>0</v>
      </c>
      <c r="AQ27">
        <v>46.11</v>
      </c>
      <c r="AR27">
        <v>0.04</v>
      </c>
      <c r="AS27">
        <v>0</v>
      </c>
      <c r="AT27">
        <v>95</v>
      </c>
      <c r="AU27">
        <v>47</v>
      </c>
      <c r="AV27">
        <v>1</v>
      </c>
      <c r="AW27">
        <v>1</v>
      </c>
      <c r="AZ27">
        <v>6.9</v>
      </c>
      <c r="BA27">
        <v>6.9</v>
      </c>
      <c r="BB27">
        <v>6.9</v>
      </c>
      <c r="BC27">
        <v>6.9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40</v>
      </c>
      <c r="BM27">
        <v>15001</v>
      </c>
      <c r="BN27">
        <v>0</v>
      </c>
      <c r="BO27" t="s">
        <v>3</v>
      </c>
      <c r="BP27">
        <v>0</v>
      </c>
      <c r="BQ27">
        <v>2</v>
      </c>
      <c r="BR27">
        <v>0</v>
      </c>
      <c r="BS27">
        <v>6.9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105</v>
      </c>
      <c r="CA27">
        <v>55</v>
      </c>
      <c r="CF27">
        <v>0</v>
      </c>
      <c r="CG27">
        <v>0</v>
      </c>
      <c r="CM27">
        <v>0</v>
      </c>
      <c r="CN27" t="s">
        <v>17</v>
      </c>
      <c r="CO27">
        <v>0</v>
      </c>
      <c r="CP27">
        <f t="shared" si="28"/>
        <v>126.41000000000001</v>
      </c>
      <c r="CQ27">
        <f t="shared" si="29"/>
        <v>0</v>
      </c>
      <c r="CR27">
        <f t="shared" si="30"/>
        <v>8.3490000000000002</v>
      </c>
      <c r="CS27">
        <f t="shared" si="31"/>
        <v>3.2429999999999999</v>
      </c>
      <c r="CT27">
        <f t="shared" si="32"/>
        <v>2171.1540000000005</v>
      </c>
      <c r="CU27">
        <f t="shared" si="33"/>
        <v>0</v>
      </c>
      <c r="CV27">
        <f t="shared" si="34"/>
        <v>36.887999999999998</v>
      </c>
      <c r="CW27">
        <f t="shared" si="35"/>
        <v>3.2000000000000001E-2</v>
      </c>
      <c r="CX27">
        <f t="shared" si="36"/>
        <v>0</v>
      </c>
      <c r="CY27">
        <f t="shared" si="37"/>
        <v>119.81399999999999</v>
      </c>
      <c r="CZ27">
        <f t="shared" si="38"/>
        <v>59.276400000000002</v>
      </c>
      <c r="DC27" t="s">
        <v>3</v>
      </c>
      <c r="DD27" t="s">
        <v>18</v>
      </c>
      <c r="DE27" t="s">
        <v>19</v>
      </c>
      <c r="DF27" t="s">
        <v>19</v>
      </c>
      <c r="DG27" t="s">
        <v>19</v>
      </c>
      <c r="DH27" t="s">
        <v>3</v>
      </c>
      <c r="DI27" t="s">
        <v>19</v>
      </c>
      <c r="DJ27" t="s">
        <v>19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15</v>
      </c>
      <c r="DW27" t="s">
        <v>15</v>
      </c>
      <c r="DX27">
        <v>100</v>
      </c>
      <c r="EE27">
        <v>39174529</v>
      </c>
      <c r="EF27">
        <v>2</v>
      </c>
      <c r="EG27" t="s">
        <v>20</v>
      </c>
      <c r="EH27">
        <v>0</v>
      </c>
      <c r="EI27" t="s">
        <v>3</v>
      </c>
      <c r="EJ27">
        <v>1</v>
      </c>
      <c r="EK27">
        <v>15001</v>
      </c>
      <c r="EL27" t="s">
        <v>21</v>
      </c>
      <c r="EM27" t="s">
        <v>22</v>
      </c>
      <c r="EO27" t="s">
        <v>23</v>
      </c>
      <c r="EQ27">
        <v>0</v>
      </c>
      <c r="ER27">
        <v>3623.45</v>
      </c>
      <c r="ES27">
        <v>3228.62</v>
      </c>
      <c r="ET27">
        <v>1.51</v>
      </c>
      <c r="EU27">
        <v>0.59</v>
      </c>
      <c r="EV27">
        <v>393.32</v>
      </c>
      <c r="EW27">
        <v>46.11</v>
      </c>
      <c r="EX27">
        <v>0.04</v>
      </c>
      <c r="EY27">
        <v>0</v>
      </c>
      <c r="FQ27">
        <v>0</v>
      </c>
      <c r="FR27">
        <f t="shared" si="39"/>
        <v>0</v>
      </c>
      <c r="FS27">
        <v>0</v>
      </c>
      <c r="FT27" t="s">
        <v>24</v>
      </c>
      <c r="FU27" t="s">
        <v>25</v>
      </c>
      <c r="FX27">
        <v>94.5</v>
      </c>
      <c r="FY27">
        <v>46.75</v>
      </c>
      <c r="GA27" t="s">
        <v>3</v>
      </c>
      <c r="GD27">
        <v>0</v>
      </c>
      <c r="GF27">
        <v>-1177030776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0"/>
        <v>0</v>
      </c>
      <c r="GM27">
        <f t="shared" si="41"/>
        <v>305.5</v>
      </c>
      <c r="GN27">
        <f t="shared" si="42"/>
        <v>305.5</v>
      </c>
      <c r="GO27">
        <f t="shared" si="43"/>
        <v>0</v>
      </c>
      <c r="GP27">
        <f t="shared" si="44"/>
        <v>0</v>
      </c>
      <c r="GR27">
        <v>0</v>
      </c>
      <c r="GS27">
        <v>3</v>
      </c>
      <c r="GT27">
        <v>0</v>
      </c>
      <c r="GU27" t="s">
        <v>3</v>
      </c>
      <c r="GV27">
        <f t="shared" si="45"/>
        <v>0</v>
      </c>
      <c r="GW27">
        <v>1</v>
      </c>
      <c r="GX27">
        <f t="shared" si="46"/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ROW(SmtRes!A21)</f>
        <v>21</v>
      </c>
      <c r="D28">
        <f>ROW(EtalonRes!A23)</f>
        <v>23</v>
      </c>
      <c r="E28" t="s">
        <v>41</v>
      </c>
      <c r="F28" t="s">
        <v>42</v>
      </c>
      <c r="G28" t="s">
        <v>43</v>
      </c>
      <c r="H28" t="s">
        <v>44</v>
      </c>
      <c r="I28">
        <f>ROUND(38/100,9)</f>
        <v>0.38</v>
      </c>
      <c r="J28">
        <v>0</v>
      </c>
      <c r="O28">
        <f t="shared" si="14"/>
        <v>77.11</v>
      </c>
      <c r="P28">
        <f t="shared" si="15"/>
        <v>0</v>
      </c>
      <c r="Q28">
        <f t="shared" si="16"/>
        <v>0</v>
      </c>
      <c r="R28">
        <f t="shared" si="17"/>
        <v>0</v>
      </c>
      <c r="S28">
        <f t="shared" si="18"/>
        <v>77.11</v>
      </c>
      <c r="T28">
        <f t="shared" si="19"/>
        <v>0</v>
      </c>
      <c r="U28">
        <f t="shared" si="20"/>
        <v>1.4326000000000001</v>
      </c>
      <c r="V28">
        <f t="shared" si="21"/>
        <v>0</v>
      </c>
      <c r="W28">
        <f t="shared" si="22"/>
        <v>0</v>
      </c>
      <c r="X28">
        <f t="shared" si="23"/>
        <v>61.69</v>
      </c>
      <c r="Y28">
        <f t="shared" si="24"/>
        <v>52.43</v>
      </c>
      <c r="AA28">
        <v>39579451</v>
      </c>
      <c r="AB28">
        <f t="shared" si="25"/>
        <v>29.41</v>
      </c>
      <c r="AC28">
        <f>ROUND((ES28),2)</f>
        <v>0</v>
      </c>
      <c r="AD28">
        <f>ROUND((((ET28)-(EU28))+AE28),2)</f>
        <v>0</v>
      </c>
      <c r="AE28">
        <f>ROUND((EU28),2)</f>
        <v>0</v>
      </c>
      <c r="AF28">
        <f>ROUND((EV28),2)</f>
        <v>29.41</v>
      </c>
      <c r="AG28">
        <f t="shared" si="26"/>
        <v>0</v>
      </c>
      <c r="AH28">
        <f>(EW28)</f>
        <v>3.77</v>
      </c>
      <c r="AI28">
        <f>(EX28)</f>
        <v>0</v>
      </c>
      <c r="AJ28">
        <f t="shared" si="27"/>
        <v>0</v>
      </c>
      <c r="AK28">
        <v>29.41</v>
      </c>
      <c r="AL28">
        <v>0</v>
      </c>
      <c r="AM28">
        <v>0</v>
      </c>
      <c r="AN28">
        <v>0</v>
      </c>
      <c r="AO28">
        <v>29.41</v>
      </c>
      <c r="AP28">
        <v>0</v>
      </c>
      <c r="AQ28">
        <v>3.77</v>
      </c>
      <c r="AR28">
        <v>0</v>
      </c>
      <c r="AS28">
        <v>0</v>
      </c>
      <c r="AT28">
        <v>80</v>
      </c>
      <c r="AU28">
        <v>68</v>
      </c>
      <c r="AV28">
        <v>1</v>
      </c>
      <c r="AW28">
        <v>1</v>
      </c>
      <c r="AZ28">
        <v>6.9</v>
      </c>
      <c r="BA28">
        <v>6.9</v>
      </c>
      <c r="BB28">
        <v>6.9</v>
      </c>
      <c r="BC28">
        <v>6.9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45</v>
      </c>
      <c r="BM28">
        <v>57001</v>
      </c>
      <c r="BN28">
        <v>0</v>
      </c>
      <c r="BO28" t="s">
        <v>3</v>
      </c>
      <c r="BP28">
        <v>0</v>
      </c>
      <c r="BQ28">
        <v>6</v>
      </c>
      <c r="BR28">
        <v>0</v>
      </c>
      <c r="BS28">
        <v>6.9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80</v>
      </c>
      <c r="CA28">
        <v>68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si="28"/>
        <v>77.11</v>
      </c>
      <c r="CQ28">
        <f t="shared" si="29"/>
        <v>0</v>
      </c>
      <c r="CR28">
        <f t="shared" si="30"/>
        <v>0</v>
      </c>
      <c r="CS28">
        <f t="shared" si="31"/>
        <v>0</v>
      </c>
      <c r="CT28">
        <f t="shared" si="32"/>
        <v>202.929</v>
      </c>
      <c r="CU28">
        <f t="shared" si="33"/>
        <v>0</v>
      </c>
      <c r="CV28">
        <f t="shared" si="34"/>
        <v>3.77</v>
      </c>
      <c r="CW28">
        <f t="shared" si="35"/>
        <v>0</v>
      </c>
      <c r="CX28">
        <f t="shared" si="36"/>
        <v>0</v>
      </c>
      <c r="CY28">
        <f t="shared" si="37"/>
        <v>61.688000000000002</v>
      </c>
      <c r="CZ28">
        <f t="shared" si="38"/>
        <v>52.434799999999996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1003</v>
      </c>
      <c r="DV28" t="s">
        <v>44</v>
      </c>
      <c r="DW28" t="s">
        <v>44</v>
      </c>
      <c r="DX28">
        <v>100</v>
      </c>
      <c r="EE28">
        <v>39174582</v>
      </c>
      <c r="EF28">
        <v>6</v>
      </c>
      <c r="EG28" t="s">
        <v>30</v>
      </c>
      <c r="EH28">
        <v>0</v>
      </c>
      <c r="EI28" t="s">
        <v>3</v>
      </c>
      <c r="EJ28">
        <v>1</v>
      </c>
      <c r="EK28">
        <v>57001</v>
      </c>
      <c r="EL28" t="s">
        <v>46</v>
      </c>
      <c r="EM28" t="s">
        <v>47</v>
      </c>
      <c r="EO28" t="s">
        <v>3</v>
      </c>
      <c r="EQ28">
        <v>0</v>
      </c>
      <c r="ER28">
        <v>29.41</v>
      </c>
      <c r="ES28">
        <v>0</v>
      </c>
      <c r="ET28">
        <v>0</v>
      </c>
      <c r="EU28">
        <v>0</v>
      </c>
      <c r="EV28">
        <v>29.41</v>
      </c>
      <c r="EW28">
        <v>3.77</v>
      </c>
      <c r="EX28">
        <v>0</v>
      </c>
      <c r="EY28">
        <v>0</v>
      </c>
      <c r="FQ28">
        <v>0</v>
      </c>
      <c r="FR28">
        <f t="shared" si="39"/>
        <v>0</v>
      </c>
      <c r="FS28">
        <v>0</v>
      </c>
      <c r="FX28">
        <v>80</v>
      </c>
      <c r="FY28">
        <v>68</v>
      </c>
      <c r="GA28" t="s">
        <v>3</v>
      </c>
      <c r="GD28">
        <v>0</v>
      </c>
      <c r="GF28">
        <v>-1389370821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0"/>
        <v>0</v>
      </c>
      <c r="GM28">
        <f t="shared" si="41"/>
        <v>191.23</v>
      </c>
      <c r="GN28">
        <f t="shared" si="42"/>
        <v>191.23</v>
      </c>
      <c r="GO28">
        <f t="shared" si="43"/>
        <v>0</v>
      </c>
      <c r="GP28">
        <f t="shared" si="44"/>
        <v>0</v>
      </c>
      <c r="GR28">
        <v>0</v>
      </c>
      <c r="GS28">
        <v>3</v>
      </c>
      <c r="GT28">
        <v>0</v>
      </c>
      <c r="GU28" t="s">
        <v>3</v>
      </c>
      <c r="GV28">
        <f t="shared" si="45"/>
        <v>0</v>
      </c>
      <c r="GW28">
        <v>1</v>
      </c>
      <c r="GX28">
        <f t="shared" si="46"/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ROW(SmtRes!A24)</f>
        <v>24</v>
      </c>
      <c r="D29">
        <f>ROW(EtalonRes!A27)</f>
        <v>27</v>
      </c>
      <c r="E29" t="s">
        <v>48</v>
      </c>
      <c r="F29" t="s">
        <v>49</v>
      </c>
      <c r="G29" t="s">
        <v>50</v>
      </c>
      <c r="H29" t="s">
        <v>15</v>
      </c>
      <c r="I29">
        <f>ROUND(129/100,9)</f>
        <v>1.29</v>
      </c>
      <c r="J29">
        <v>0</v>
      </c>
      <c r="O29">
        <f t="shared" si="14"/>
        <v>5705.54</v>
      </c>
      <c r="P29">
        <f t="shared" si="15"/>
        <v>0</v>
      </c>
      <c r="Q29">
        <f t="shared" si="16"/>
        <v>400.63</v>
      </c>
      <c r="R29">
        <f t="shared" si="17"/>
        <v>173.04</v>
      </c>
      <c r="S29">
        <f t="shared" si="18"/>
        <v>5304.91</v>
      </c>
      <c r="T29">
        <f t="shared" si="19"/>
        <v>0</v>
      </c>
      <c r="U29">
        <f t="shared" si="20"/>
        <v>90.132300000000015</v>
      </c>
      <c r="V29">
        <f t="shared" si="21"/>
        <v>1.8575999999999999</v>
      </c>
      <c r="W29">
        <f t="shared" si="22"/>
        <v>0</v>
      </c>
      <c r="X29">
        <f t="shared" si="23"/>
        <v>4382.3599999999997</v>
      </c>
      <c r="Y29">
        <f t="shared" si="24"/>
        <v>3725.01</v>
      </c>
      <c r="AA29">
        <v>39579451</v>
      </c>
      <c r="AB29">
        <f t="shared" si="25"/>
        <v>641</v>
      </c>
      <c r="AC29">
        <f>ROUND((ES29),2)</f>
        <v>0</v>
      </c>
      <c r="AD29">
        <f>ROUND((((ET29)-(EU29))+AE29),2)</f>
        <v>45.01</v>
      </c>
      <c r="AE29">
        <f>ROUND((EU29),2)</f>
        <v>19.440000000000001</v>
      </c>
      <c r="AF29">
        <f>ROUND((EV29),2)</f>
        <v>595.99</v>
      </c>
      <c r="AG29">
        <f t="shared" si="26"/>
        <v>0</v>
      </c>
      <c r="AH29">
        <f>(EW29)</f>
        <v>69.87</v>
      </c>
      <c r="AI29">
        <f>(EX29)</f>
        <v>1.44</v>
      </c>
      <c r="AJ29">
        <f t="shared" si="27"/>
        <v>0</v>
      </c>
      <c r="AK29">
        <v>641</v>
      </c>
      <c r="AL29">
        <v>0</v>
      </c>
      <c r="AM29">
        <v>45.01</v>
      </c>
      <c r="AN29">
        <v>19.440000000000001</v>
      </c>
      <c r="AO29">
        <v>595.99</v>
      </c>
      <c r="AP29">
        <v>0</v>
      </c>
      <c r="AQ29">
        <v>69.87</v>
      </c>
      <c r="AR29">
        <v>1.44</v>
      </c>
      <c r="AS29">
        <v>0</v>
      </c>
      <c r="AT29">
        <v>80</v>
      </c>
      <c r="AU29">
        <v>68</v>
      </c>
      <c r="AV29">
        <v>1</v>
      </c>
      <c r="AW29">
        <v>1</v>
      </c>
      <c r="AZ29">
        <v>6.9</v>
      </c>
      <c r="BA29">
        <v>6.9</v>
      </c>
      <c r="BB29">
        <v>6.9</v>
      </c>
      <c r="BC29">
        <v>6.9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51</v>
      </c>
      <c r="BM29">
        <v>57001</v>
      </c>
      <c r="BN29">
        <v>0</v>
      </c>
      <c r="BO29" t="s">
        <v>3</v>
      </c>
      <c r="BP29">
        <v>0</v>
      </c>
      <c r="BQ29">
        <v>6</v>
      </c>
      <c r="BR29">
        <v>0</v>
      </c>
      <c r="BS29">
        <v>6.9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80</v>
      </c>
      <c r="CA29">
        <v>68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28"/>
        <v>5705.54</v>
      </c>
      <c r="CQ29">
        <f t="shared" si="29"/>
        <v>0</v>
      </c>
      <c r="CR29">
        <f t="shared" si="30"/>
        <v>310.56900000000002</v>
      </c>
      <c r="CS29">
        <f t="shared" si="31"/>
        <v>134.13600000000002</v>
      </c>
      <c r="CT29">
        <f t="shared" si="32"/>
        <v>4112.3310000000001</v>
      </c>
      <c r="CU29">
        <f t="shared" si="33"/>
        <v>0</v>
      </c>
      <c r="CV29">
        <f t="shared" si="34"/>
        <v>69.87</v>
      </c>
      <c r="CW29">
        <f t="shared" si="35"/>
        <v>1.44</v>
      </c>
      <c r="CX29">
        <f t="shared" si="36"/>
        <v>0</v>
      </c>
      <c r="CY29">
        <f t="shared" si="37"/>
        <v>4382.3599999999997</v>
      </c>
      <c r="CZ29">
        <f t="shared" si="38"/>
        <v>3725.0059999999999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15</v>
      </c>
      <c r="DW29" t="s">
        <v>15</v>
      </c>
      <c r="DX29">
        <v>100</v>
      </c>
      <c r="EE29">
        <v>39174582</v>
      </c>
      <c r="EF29">
        <v>6</v>
      </c>
      <c r="EG29" t="s">
        <v>30</v>
      </c>
      <c r="EH29">
        <v>0</v>
      </c>
      <c r="EI29" t="s">
        <v>3</v>
      </c>
      <c r="EJ29">
        <v>1</v>
      </c>
      <c r="EK29">
        <v>57001</v>
      </c>
      <c r="EL29" t="s">
        <v>46</v>
      </c>
      <c r="EM29" t="s">
        <v>47</v>
      </c>
      <c r="EO29" t="s">
        <v>3</v>
      </c>
      <c r="EQ29">
        <v>0</v>
      </c>
      <c r="ER29">
        <v>641</v>
      </c>
      <c r="ES29">
        <v>0</v>
      </c>
      <c r="ET29">
        <v>45.01</v>
      </c>
      <c r="EU29">
        <v>19.440000000000001</v>
      </c>
      <c r="EV29">
        <v>595.99</v>
      </c>
      <c r="EW29">
        <v>69.87</v>
      </c>
      <c r="EX29">
        <v>1.44</v>
      </c>
      <c r="EY29">
        <v>0</v>
      </c>
      <c r="FQ29">
        <v>0</v>
      </c>
      <c r="FR29">
        <f t="shared" si="39"/>
        <v>0</v>
      </c>
      <c r="FS29">
        <v>0</v>
      </c>
      <c r="FX29">
        <v>80</v>
      </c>
      <c r="FY29">
        <v>68</v>
      </c>
      <c r="GA29" t="s">
        <v>3</v>
      </c>
      <c r="GD29">
        <v>0</v>
      </c>
      <c r="GF29">
        <v>-1405612292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0"/>
        <v>0</v>
      </c>
      <c r="GM29">
        <f t="shared" si="41"/>
        <v>13812.91</v>
      </c>
      <c r="GN29">
        <f t="shared" si="42"/>
        <v>13812.91</v>
      </c>
      <c r="GO29">
        <f t="shared" si="43"/>
        <v>0</v>
      </c>
      <c r="GP29">
        <f t="shared" si="44"/>
        <v>0</v>
      </c>
      <c r="GR29">
        <v>0</v>
      </c>
      <c r="GS29">
        <v>3</v>
      </c>
      <c r="GT29">
        <v>0</v>
      </c>
      <c r="GU29" t="s">
        <v>3</v>
      </c>
      <c r="GV29">
        <f t="shared" si="45"/>
        <v>0</v>
      </c>
      <c r="GW29">
        <v>1</v>
      </c>
      <c r="GX29">
        <f t="shared" si="46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ROW(SmtRes!A29)</f>
        <v>29</v>
      </c>
      <c r="D30">
        <f>ROW(EtalonRes!A33)</f>
        <v>33</v>
      </c>
      <c r="E30" t="s">
        <v>52</v>
      </c>
      <c r="F30" t="s">
        <v>53</v>
      </c>
      <c r="G30" t="s">
        <v>54</v>
      </c>
      <c r="H30" t="s">
        <v>15</v>
      </c>
      <c r="I30">
        <f>ROUND(129/100,9)</f>
        <v>1.29</v>
      </c>
      <c r="J30">
        <v>0</v>
      </c>
      <c r="O30">
        <f t="shared" si="14"/>
        <v>2548.89</v>
      </c>
      <c r="P30">
        <f t="shared" si="15"/>
        <v>0</v>
      </c>
      <c r="Q30">
        <f t="shared" si="16"/>
        <v>315.01</v>
      </c>
      <c r="R30">
        <f t="shared" si="17"/>
        <v>122.12</v>
      </c>
      <c r="S30">
        <f t="shared" si="18"/>
        <v>2233.88</v>
      </c>
      <c r="T30">
        <f t="shared" si="19"/>
        <v>0</v>
      </c>
      <c r="U30">
        <f t="shared" si="20"/>
        <v>40.774320000000003</v>
      </c>
      <c r="V30">
        <f t="shared" si="21"/>
        <v>1.31064</v>
      </c>
      <c r="W30">
        <f t="shared" si="22"/>
        <v>0</v>
      </c>
      <c r="X30">
        <f t="shared" si="23"/>
        <v>2615.16</v>
      </c>
      <c r="Y30">
        <f t="shared" si="24"/>
        <v>1507.84</v>
      </c>
      <c r="AA30">
        <v>39579451</v>
      </c>
      <c r="AB30">
        <f t="shared" si="25"/>
        <v>286.36</v>
      </c>
      <c r="AC30">
        <f>ROUND(((ES30*0)),2)</f>
        <v>0</v>
      </c>
      <c r="AD30">
        <f>ROUND(((((ET30*0.8))-((EU30*0.8)))+AE30),2)</f>
        <v>35.39</v>
      </c>
      <c r="AE30">
        <f>ROUND(((EU30*0.8)),2)</f>
        <v>13.72</v>
      </c>
      <c r="AF30">
        <f>ROUND(((EV30*0.8)),2)</f>
        <v>250.97</v>
      </c>
      <c r="AG30">
        <f t="shared" si="26"/>
        <v>0</v>
      </c>
      <c r="AH30">
        <f>((EW30*0.8))</f>
        <v>31.608000000000001</v>
      </c>
      <c r="AI30">
        <f>((EX30*0.8))</f>
        <v>1.016</v>
      </c>
      <c r="AJ30">
        <f t="shared" si="27"/>
        <v>0</v>
      </c>
      <c r="AK30">
        <v>366.49</v>
      </c>
      <c r="AL30">
        <v>8.5399999999999991</v>
      </c>
      <c r="AM30">
        <v>44.24</v>
      </c>
      <c r="AN30">
        <v>17.149999999999999</v>
      </c>
      <c r="AO30">
        <v>313.70999999999998</v>
      </c>
      <c r="AP30">
        <v>0</v>
      </c>
      <c r="AQ30">
        <v>39.51</v>
      </c>
      <c r="AR30">
        <v>1.27</v>
      </c>
      <c r="AS30">
        <v>0</v>
      </c>
      <c r="AT30">
        <v>111</v>
      </c>
      <c r="AU30">
        <v>64</v>
      </c>
      <c r="AV30">
        <v>1</v>
      </c>
      <c r="AW30">
        <v>1</v>
      </c>
      <c r="AZ30">
        <v>6.9</v>
      </c>
      <c r="BA30">
        <v>6.9</v>
      </c>
      <c r="BB30">
        <v>6.9</v>
      </c>
      <c r="BC30">
        <v>6.9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1</v>
      </c>
      <c r="BJ30" t="s">
        <v>55</v>
      </c>
      <c r="BM30">
        <v>11001</v>
      </c>
      <c r="BN30">
        <v>0</v>
      </c>
      <c r="BO30" t="s">
        <v>3</v>
      </c>
      <c r="BP30">
        <v>0</v>
      </c>
      <c r="BQ30">
        <v>2</v>
      </c>
      <c r="BR30">
        <v>0</v>
      </c>
      <c r="BS30">
        <v>6.9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123</v>
      </c>
      <c r="CA30">
        <v>75</v>
      </c>
      <c r="CF30">
        <v>0</v>
      </c>
      <c r="CG30">
        <v>0</v>
      </c>
      <c r="CM30">
        <v>0</v>
      </c>
      <c r="CN30" t="s">
        <v>17</v>
      </c>
      <c r="CO30">
        <v>0</v>
      </c>
      <c r="CP30">
        <f t="shared" si="28"/>
        <v>2548.8900000000003</v>
      </c>
      <c r="CQ30">
        <f t="shared" si="29"/>
        <v>0</v>
      </c>
      <c r="CR30">
        <f t="shared" si="30"/>
        <v>244.191</v>
      </c>
      <c r="CS30">
        <f t="shared" si="31"/>
        <v>94.668000000000006</v>
      </c>
      <c r="CT30">
        <f t="shared" si="32"/>
        <v>1731.693</v>
      </c>
      <c r="CU30">
        <f t="shared" si="33"/>
        <v>0</v>
      </c>
      <c r="CV30">
        <f t="shared" si="34"/>
        <v>31.608000000000001</v>
      </c>
      <c r="CW30">
        <f t="shared" si="35"/>
        <v>1.016</v>
      </c>
      <c r="CX30">
        <f t="shared" si="36"/>
        <v>0</v>
      </c>
      <c r="CY30">
        <f t="shared" si="37"/>
        <v>2615.16</v>
      </c>
      <c r="CZ30">
        <f t="shared" si="38"/>
        <v>1507.84</v>
      </c>
      <c r="DC30" t="s">
        <v>3</v>
      </c>
      <c r="DD30" t="s">
        <v>18</v>
      </c>
      <c r="DE30" t="s">
        <v>19</v>
      </c>
      <c r="DF30" t="s">
        <v>19</v>
      </c>
      <c r="DG30" t="s">
        <v>19</v>
      </c>
      <c r="DH30" t="s">
        <v>3</v>
      </c>
      <c r="DI30" t="s">
        <v>19</v>
      </c>
      <c r="DJ30" t="s">
        <v>19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1005</v>
      </c>
      <c r="DV30" t="s">
        <v>15</v>
      </c>
      <c r="DW30" t="s">
        <v>15</v>
      </c>
      <c r="DX30">
        <v>100</v>
      </c>
      <c r="EE30">
        <v>39174504</v>
      </c>
      <c r="EF30">
        <v>2</v>
      </c>
      <c r="EG30" t="s">
        <v>20</v>
      </c>
      <c r="EH30">
        <v>0</v>
      </c>
      <c r="EI30" t="s">
        <v>3</v>
      </c>
      <c r="EJ30">
        <v>1</v>
      </c>
      <c r="EK30">
        <v>11001</v>
      </c>
      <c r="EL30" t="s">
        <v>46</v>
      </c>
      <c r="EM30" t="s">
        <v>56</v>
      </c>
      <c r="EO30" t="s">
        <v>23</v>
      </c>
      <c r="EQ30">
        <v>0</v>
      </c>
      <c r="ER30">
        <v>366.49</v>
      </c>
      <c r="ES30">
        <v>8.5399999999999991</v>
      </c>
      <c r="ET30">
        <v>44.24</v>
      </c>
      <c r="EU30">
        <v>17.149999999999999</v>
      </c>
      <c r="EV30">
        <v>313.70999999999998</v>
      </c>
      <c r="EW30">
        <v>39.51</v>
      </c>
      <c r="EX30">
        <v>1.27</v>
      </c>
      <c r="EY30">
        <v>0</v>
      </c>
      <c r="FQ30">
        <v>0</v>
      </c>
      <c r="FR30">
        <f t="shared" si="39"/>
        <v>0</v>
      </c>
      <c r="FS30">
        <v>0</v>
      </c>
      <c r="FT30" t="s">
        <v>24</v>
      </c>
      <c r="FU30" t="s">
        <v>25</v>
      </c>
      <c r="FX30">
        <v>110.7</v>
      </c>
      <c r="FY30">
        <v>63.75</v>
      </c>
      <c r="GA30" t="s">
        <v>3</v>
      </c>
      <c r="GD30">
        <v>0</v>
      </c>
      <c r="GF30">
        <v>-789602269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0"/>
        <v>0</v>
      </c>
      <c r="GM30">
        <f t="shared" si="41"/>
        <v>6671.89</v>
      </c>
      <c r="GN30">
        <f t="shared" si="42"/>
        <v>6671.89</v>
      </c>
      <c r="GO30">
        <f t="shared" si="43"/>
        <v>0</v>
      </c>
      <c r="GP30">
        <f t="shared" si="44"/>
        <v>0</v>
      </c>
      <c r="GR30">
        <v>0</v>
      </c>
      <c r="GS30">
        <v>3</v>
      </c>
      <c r="GT30">
        <v>0</v>
      </c>
      <c r="GU30" t="s">
        <v>3</v>
      </c>
      <c r="GV30">
        <f t="shared" si="45"/>
        <v>0</v>
      </c>
      <c r="GW30">
        <v>1</v>
      </c>
      <c r="GX30">
        <f t="shared" si="46"/>
        <v>0</v>
      </c>
      <c r="HA30">
        <v>0</v>
      </c>
      <c r="HB30">
        <v>0</v>
      </c>
      <c r="IK30">
        <v>0</v>
      </c>
    </row>
    <row r="31" spans="1:245" x14ac:dyDescent="0.2">
      <c r="A31">
        <v>17</v>
      </c>
      <c r="B31">
        <v>1</v>
      </c>
      <c r="C31">
        <f>ROW(SmtRes!A33)</f>
        <v>33</v>
      </c>
      <c r="D31">
        <f>ROW(EtalonRes!A38)</f>
        <v>38</v>
      </c>
      <c r="E31" t="s">
        <v>57</v>
      </c>
      <c r="F31" t="s">
        <v>58</v>
      </c>
      <c r="G31" t="s">
        <v>59</v>
      </c>
      <c r="H31" t="s">
        <v>15</v>
      </c>
      <c r="I31">
        <f>ROUND(129/100,9)</f>
        <v>1.29</v>
      </c>
      <c r="J31">
        <v>0</v>
      </c>
      <c r="O31">
        <f t="shared" si="14"/>
        <v>166.45</v>
      </c>
      <c r="P31">
        <f t="shared" si="15"/>
        <v>0</v>
      </c>
      <c r="Q31">
        <f t="shared" si="16"/>
        <v>109.93</v>
      </c>
      <c r="R31">
        <f t="shared" si="17"/>
        <v>40.409999999999997</v>
      </c>
      <c r="S31">
        <f t="shared" si="18"/>
        <v>56.52</v>
      </c>
      <c r="T31">
        <f t="shared" si="19"/>
        <v>0</v>
      </c>
      <c r="U31">
        <f t="shared" si="20"/>
        <v>1.032</v>
      </c>
      <c r="V31">
        <f t="shared" si="21"/>
        <v>0.43344000000000005</v>
      </c>
      <c r="W31">
        <f t="shared" si="22"/>
        <v>0</v>
      </c>
      <c r="X31">
        <f t="shared" si="23"/>
        <v>107.59</v>
      </c>
      <c r="Y31">
        <f t="shared" si="24"/>
        <v>62.04</v>
      </c>
      <c r="AA31">
        <v>39579451</v>
      </c>
      <c r="AB31">
        <f t="shared" si="25"/>
        <v>18.7</v>
      </c>
      <c r="AC31">
        <f>ROUND(((ES31*0)),2)</f>
        <v>0</v>
      </c>
      <c r="AD31">
        <f>ROUND(((((ET31*0.8*2))-((EU31*0.8*2)))+AE31),2)</f>
        <v>12.35</v>
      </c>
      <c r="AE31">
        <f>ROUND(((EU31*0.8*2)),2)</f>
        <v>4.54</v>
      </c>
      <c r="AF31">
        <f>ROUND(((EV31*0.8*2)),2)</f>
        <v>6.35</v>
      </c>
      <c r="AG31">
        <f t="shared" si="26"/>
        <v>0</v>
      </c>
      <c r="AH31">
        <f>((EW31*0.8*2))</f>
        <v>0.8</v>
      </c>
      <c r="AI31">
        <f>((EX31*0.8*2))</f>
        <v>0.33600000000000002</v>
      </c>
      <c r="AJ31">
        <f t="shared" si="27"/>
        <v>0</v>
      </c>
      <c r="AK31">
        <v>11.69</v>
      </c>
      <c r="AL31">
        <v>0</v>
      </c>
      <c r="AM31">
        <v>7.72</v>
      </c>
      <c r="AN31">
        <v>2.84</v>
      </c>
      <c r="AO31">
        <v>3.97</v>
      </c>
      <c r="AP31">
        <v>0</v>
      </c>
      <c r="AQ31">
        <v>0.5</v>
      </c>
      <c r="AR31">
        <v>0.21</v>
      </c>
      <c r="AS31">
        <v>0</v>
      </c>
      <c r="AT31">
        <v>111</v>
      </c>
      <c r="AU31">
        <v>64</v>
      </c>
      <c r="AV31">
        <v>1</v>
      </c>
      <c r="AW31">
        <v>1</v>
      </c>
      <c r="AZ31">
        <v>6.9</v>
      </c>
      <c r="BA31">
        <v>6.9</v>
      </c>
      <c r="BB31">
        <v>6.9</v>
      </c>
      <c r="BC31">
        <v>6.9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60</v>
      </c>
      <c r="BM31">
        <v>11001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6.9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123</v>
      </c>
      <c r="CA31">
        <v>75</v>
      </c>
      <c r="CF31">
        <v>0</v>
      </c>
      <c r="CG31">
        <v>0</v>
      </c>
      <c r="CM31">
        <v>0</v>
      </c>
      <c r="CN31" t="s">
        <v>17</v>
      </c>
      <c r="CO31">
        <v>0</v>
      </c>
      <c r="CP31">
        <f t="shared" si="28"/>
        <v>166.45000000000002</v>
      </c>
      <c r="CQ31">
        <f t="shared" si="29"/>
        <v>0</v>
      </c>
      <c r="CR31">
        <f t="shared" si="30"/>
        <v>85.215000000000003</v>
      </c>
      <c r="CS31">
        <f t="shared" si="31"/>
        <v>31.326000000000001</v>
      </c>
      <c r="CT31">
        <f t="shared" si="32"/>
        <v>43.814999999999998</v>
      </c>
      <c r="CU31">
        <f t="shared" si="33"/>
        <v>0</v>
      </c>
      <c r="CV31">
        <f t="shared" si="34"/>
        <v>0.8</v>
      </c>
      <c r="CW31">
        <f t="shared" si="35"/>
        <v>0.33600000000000002</v>
      </c>
      <c r="CX31">
        <f t="shared" si="36"/>
        <v>0</v>
      </c>
      <c r="CY31">
        <f t="shared" si="37"/>
        <v>107.59230000000001</v>
      </c>
      <c r="CZ31">
        <f t="shared" si="38"/>
        <v>62.035200000000003</v>
      </c>
      <c r="DC31" t="s">
        <v>3</v>
      </c>
      <c r="DD31" t="s">
        <v>18</v>
      </c>
      <c r="DE31" t="s">
        <v>61</v>
      </c>
      <c r="DF31" t="s">
        <v>61</v>
      </c>
      <c r="DG31" t="s">
        <v>61</v>
      </c>
      <c r="DH31" t="s">
        <v>3</v>
      </c>
      <c r="DI31" t="s">
        <v>61</v>
      </c>
      <c r="DJ31" t="s">
        <v>61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15</v>
      </c>
      <c r="DW31" t="s">
        <v>15</v>
      </c>
      <c r="DX31">
        <v>100</v>
      </c>
      <c r="EE31">
        <v>39174504</v>
      </c>
      <c r="EF31">
        <v>2</v>
      </c>
      <c r="EG31" t="s">
        <v>20</v>
      </c>
      <c r="EH31">
        <v>0</v>
      </c>
      <c r="EI31" t="s">
        <v>3</v>
      </c>
      <c r="EJ31">
        <v>1</v>
      </c>
      <c r="EK31">
        <v>11001</v>
      </c>
      <c r="EL31" t="s">
        <v>46</v>
      </c>
      <c r="EM31" t="s">
        <v>56</v>
      </c>
      <c r="EO31" t="s">
        <v>23</v>
      </c>
      <c r="EQ31">
        <v>0</v>
      </c>
      <c r="ER31">
        <v>11.69</v>
      </c>
      <c r="ES31">
        <v>0</v>
      </c>
      <c r="ET31">
        <v>7.72</v>
      </c>
      <c r="EU31">
        <v>2.84</v>
      </c>
      <c r="EV31">
        <v>3.97</v>
      </c>
      <c r="EW31">
        <v>0.5</v>
      </c>
      <c r="EX31">
        <v>0.21</v>
      </c>
      <c r="EY31">
        <v>0</v>
      </c>
      <c r="FQ31">
        <v>0</v>
      </c>
      <c r="FR31">
        <f t="shared" si="39"/>
        <v>0</v>
      </c>
      <c r="FS31">
        <v>0</v>
      </c>
      <c r="FT31" t="s">
        <v>24</v>
      </c>
      <c r="FU31" t="s">
        <v>25</v>
      </c>
      <c r="FX31">
        <v>110.7</v>
      </c>
      <c r="FY31">
        <v>63.75</v>
      </c>
      <c r="GA31" t="s">
        <v>3</v>
      </c>
      <c r="GD31">
        <v>0</v>
      </c>
      <c r="GF31">
        <v>2128750831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0"/>
        <v>0</v>
      </c>
      <c r="GM31">
        <f t="shared" si="41"/>
        <v>336.08</v>
      </c>
      <c r="GN31">
        <f t="shared" si="42"/>
        <v>336.08</v>
      </c>
      <c r="GO31">
        <f t="shared" si="43"/>
        <v>0</v>
      </c>
      <c r="GP31">
        <f t="shared" si="44"/>
        <v>0</v>
      </c>
      <c r="GR31">
        <v>0</v>
      </c>
      <c r="GS31">
        <v>3</v>
      </c>
      <c r="GT31">
        <v>0</v>
      </c>
      <c r="GU31" t="s">
        <v>3</v>
      </c>
      <c r="GV31">
        <f t="shared" si="45"/>
        <v>0</v>
      </c>
      <c r="GW31">
        <v>1</v>
      </c>
      <c r="GX31">
        <f t="shared" si="46"/>
        <v>0</v>
      </c>
      <c r="HA31">
        <v>0</v>
      </c>
      <c r="HB31">
        <v>0</v>
      </c>
      <c r="IK31">
        <v>0</v>
      </c>
    </row>
    <row r="32" spans="1:245" x14ac:dyDescent="0.2">
      <c r="A32">
        <v>17</v>
      </c>
      <c r="B32">
        <v>1</v>
      </c>
      <c r="C32">
        <f>ROW(SmtRes!A40)</f>
        <v>40</v>
      </c>
      <c r="D32">
        <f>ROW(EtalonRes!A47)</f>
        <v>47</v>
      </c>
      <c r="E32" t="s">
        <v>62</v>
      </c>
      <c r="F32" t="s">
        <v>63</v>
      </c>
      <c r="G32" t="s">
        <v>64</v>
      </c>
      <c r="H32" t="s">
        <v>15</v>
      </c>
      <c r="I32">
        <f>ROUND(15.08/100,9)</f>
        <v>0.15079999999999999</v>
      </c>
      <c r="J32">
        <v>0</v>
      </c>
      <c r="O32">
        <f t="shared" si="14"/>
        <v>736.58</v>
      </c>
      <c r="P32">
        <f t="shared" si="15"/>
        <v>0</v>
      </c>
      <c r="Q32">
        <f t="shared" si="16"/>
        <v>251.07</v>
      </c>
      <c r="R32">
        <f t="shared" si="17"/>
        <v>44.32</v>
      </c>
      <c r="S32">
        <f t="shared" si="18"/>
        <v>485.51</v>
      </c>
      <c r="T32">
        <f t="shared" si="19"/>
        <v>0</v>
      </c>
      <c r="U32">
        <f t="shared" si="20"/>
        <v>8.3965439999999987</v>
      </c>
      <c r="V32">
        <f t="shared" si="21"/>
        <v>0.55373759999999994</v>
      </c>
      <c r="W32">
        <f t="shared" si="22"/>
        <v>0</v>
      </c>
      <c r="X32">
        <f t="shared" si="23"/>
        <v>561.62</v>
      </c>
      <c r="Y32">
        <f t="shared" si="24"/>
        <v>286.11</v>
      </c>
      <c r="AA32">
        <v>39579451</v>
      </c>
      <c r="AB32">
        <f t="shared" si="25"/>
        <v>707.89</v>
      </c>
      <c r="AC32">
        <f>ROUND(((ES32*0)),2)</f>
        <v>0</v>
      </c>
      <c r="AD32">
        <f>ROUND(((((ET32*0.8))-((EU32*0.8)))+AE32),2)</f>
        <v>241.29</v>
      </c>
      <c r="AE32">
        <f>ROUND(((EU32*0.8)),2)</f>
        <v>42.59</v>
      </c>
      <c r="AF32">
        <f>ROUND(((EV32*0.8)),2)</f>
        <v>466.6</v>
      </c>
      <c r="AG32">
        <f t="shared" si="26"/>
        <v>0</v>
      </c>
      <c r="AH32">
        <f>((EW32*0.8))</f>
        <v>55.68</v>
      </c>
      <c r="AI32">
        <f>((EX32*0.8))</f>
        <v>3.6720000000000002</v>
      </c>
      <c r="AJ32">
        <f t="shared" si="27"/>
        <v>0</v>
      </c>
      <c r="AK32">
        <v>5218.46</v>
      </c>
      <c r="AL32">
        <v>4333.6000000000004</v>
      </c>
      <c r="AM32">
        <v>301.61</v>
      </c>
      <c r="AN32">
        <v>53.24</v>
      </c>
      <c r="AO32">
        <v>583.25</v>
      </c>
      <c r="AP32">
        <v>0</v>
      </c>
      <c r="AQ32">
        <v>69.599999999999994</v>
      </c>
      <c r="AR32">
        <v>4.59</v>
      </c>
      <c r="AS32">
        <v>0</v>
      </c>
      <c r="AT32">
        <v>106</v>
      </c>
      <c r="AU32">
        <v>54</v>
      </c>
      <c r="AV32">
        <v>1</v>
      </c>
      <c r="AW32">
        <v>1</v>
      </c>
      <c r="AZ32">
        <v>6.9</v>
      </c>
      <c r="BA32">
        <v>6.9</v>
      </c>
      <c r="BB32">
        <v>6.9</v>
      </c>
      <c r="BC32">
        <v>6.9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1</v>
      </c>
      <c r="BJ32" t="s">
        <v>65</v>
      </c>
      <c r="BM32">
        <v>10001</v>
      </c>
      <c r="BN32">
        <v>0</v>
      </c>
      <c r="BO32" t="s">
        <v>3</v>
      </c>
      <c r="BP32">
        <v>0</v>
      </c>
      <c r="BQ32">
        <v>2</v>
      </c>
      <c r="BR32">
        <v>0</v>
      </c>
      <c r="BS32">
        <v>6.9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118</v>
      </c>
      <c r="CA32">
        <v>63</v>
      </c>
      <c r="CF32">
        <v>0</v>
      </c>
      <c r="CG32">
        <v>0</v>
      </c>
      <c r="CM32">
        <v>0</v>
      </c>
      <c r="CN32" t="s">
        <v>17</v>
      </c>
      <c r="CO32">
        <v>0</v>
      </c>
      <c r="CP32">
        <f t="shared" si="28"/>
        <v>736.57999999999993</v>
      </c>
      <c r="CQ32">
        <f t="shared" si="29"/>
        <v>0</v>
      </c>
      <c r="CR32">
        <f t="shared" si="30"/>
        <v>1664.9010000000001</v>
      </c>
      <c r="CS32">
        <f t="shared" si="31"/>
        <v>293.87100000000004</v>
      </c>
      <c r="CT32">
        <f t="shared" si="32"/>
        <v>3219.5400000000004</v>
      </c>
      <c r="CU32">
        <f t="shared" si="33"/>
        <v>0</v>
      </c>
      <c r="CV32">
        <f t="shared" si="34"/>
        <v>55.68</v>
      </c>
      <c r="CW32">
        <f t="shared" si="35"/>
        <v>3.6720000000000002</v>
      </c>
      <c r="CX32">
        <f t="shared" si="36"/>
        <v>0</v>
      </c>
      <c r="CY32">
        <f t="shared" si="37"/>
        <v>561.61980000000005</v>
      </c>
      <c r="CZ32">
        <f t="shared" si="38"/>
        <v>286.10820000000001</v>
      </c>
      <c r="DC32" t="s">
        <v>3</v>
      </c>
      <c r="DD32" t="s">
        <v>18</v>
      </c>
      <c r="DE32" t="s">
        <v>19</v>
      </c>
      <c r="DF32" t="s">
        <v>19</v>
      </c>
      <c r="DG32" t="s">
        <v>19</v>
      </c>
      <c r="DH32" t="s">
        <v>3</v>
      </c>
      <c r="DI32" t="s">
        <v>19</v>
      </c>
      <c r="DJ32" t="s">
        <v>19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15</v>
      </c>
      <c r="DW32" t="s">
        <v>15</v>
      </c>
      <c r="DX32">
        <v>100</v>
      </c>
      <c r="EE32">
        <v>39174503</v>
      </c>
      <c r="EF32">
        <v>2</v>
      </c>
      <c r="EG32" t="s">
        <v>20</v>
      </c>
      <c r="EH32">
        <v>0</v>
      </c>
      <c r="EI32" t="s">
        <v>3</v>
      </c>
      <c r="EJ32">
        <v>1</v>
      </c>
      <c r="EK32">
        <v>10001</v>
      </c>
      <c r="EL32" t="s">
        <v>66</v>
      </c>
      <c r="EM32" t="s">
        <v>67</v>
      </c>
      <c r="EO32" t="s">
        <v>23</v>
      </c>
      <c r="EQ32">
        <v>0</v>
      </c>
      <c r="ER32">
        <v>5218.46</v>
      </c>
      <c r="ES32">
        <v>4333.6000000000004</v>
      </c>
      <c r="ET32">
        <v>301.61</v>
      </c>
      <c r="EU32">
        <v>53.24</v>
      </c>
      <c r="EV32">
        <v>583.25</v>
      </c>
      <c r="EW32">
        <v>69.599999999999994</v>
      </c>
      <c r="EX32">
        <v>4.59</v>
      </c>
      <c r="EY32">
        <v>0</v>
      </c>
      <c r="FQ32">
        <v>0</v>
      </c>
      <c r="FR32">
        <f t="shared" si="39"/>
        <v>0</v>
      </c>
      <c r="FS32">
        <v>0</v>
      </c>
      <c r="FT32" t="s">
        <v>24</v>
      </c>
      <c r="FU32" t="s">
        <v>25</v>
      </c>
      <c r="FX32">
        <v>106.2</v>
      </c>
      <c r="FY32">
        <v>53.55</v>
      </c>
      <c r="GA32" t="s">
        <v>3</v>
      </c>
      <c r="GD32">
        <v>0</v>
      </c>
      <c r="GF32">
        <v>-736123517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0"/>
        <v>0</v>
      </c>
      <c r="GM32">
        <f t="shared" si="41"/>
        <v>1584.31</v>
      </c>
      <c r="GN32">
        <f t="shared" si="42"/>
        <v>1584.31</v>
      </c>
      <c r="GO32">
        <f t="shared" si="43"/>
        <v>0</v>
      </c>
      <c r="GP32">
        <f t="shared" si="44"/>
        <v>0</v>
      </c>
      <c r="GR32">
        <v>0</v>
      </c>
      <c r="GS32">
        <v>3</v>
      </c>
      <c r="GT32">
        <v>0</v>
      </c>
      <c r="GU32" t="s">
        <v>3</v>
      </c>
      <c r="GV32">
        <f t="shared" si="45"/>
        <v>0</v>
      </c>
      <c r="GW32">
        <v>1</v>
      </c>
      <c r="GX32">
        <f t="shared" si="46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ROW(SmtRes!A43)</f>
        <v>43</v>
      </c>
      <c r="D33">
        <f>ROW(EtalonRes!A50)</f>
        <v>50</v>
      </c>
      <c r="E33" t="s">
        <v>68</v>
      </c>
      <c r="F33" t="s">
        <v>69</v>
      </c>
      <c r="G33" t="s">
        <v>70</v>
      </c>
      <c r="H33" t="s">
        <v>15</v>
      </c>
      <c r="I33">
        <f>ROUND(6.09/100,9)</f>
        <v>6.0900000000000003E-2</v>
      </c>
      <c r="J33">
        <v>0</v>
      </c>
      <c r="O33">
        <f t="shared" si="14"/>
        <v>454.91</v>
      </c>
      <c r="P33">
        <f t="shared" si="15"/>
        <v>0</v>
      </c>
      <c r="Q33">
        <f t="shared" si="16"/>
        <v>101.67</v>
      </c>
      <c r="R33">
        <f t="shared" si="17"/>
        <v>43.91</v>
      </c>
      <c r="S33">
        <f t="shared" si="18"/>
        <v>353.24</v>
      </c>
      <c r="T33">
        <f t="shared" si="19"/>
        <v>0</v>
      </c>
      <c r="U33">
        <f t="shared" si="20"/>
        <v>6.328119</v>
      </c>
      <c r="V33">
        <f t="shared" si="21"/>
        <v>0.47136600000000001</v>
      </c>
      <c r="W33">
        <f t="shared" si="22"/>
        <v>0</v>
      </c>
      <c r="X33">
        <f t="shared" si="23"/>
        <v>393.18</v>
      </c>
      <c r="Y33">
        <f t="shared" si="24"/>
        <v>238.29</v>
      </c>
      <c r="AA33">
        <v>39579451</v>
      </c>
      <c r="AB33">
        <f t="shared" si="25"/>
        <v>1082.58</v>
      </c>
      <c r="AC33">
        <f>ROUND((ES33),2)</f>
        <v>0</v>
      </c>
      <c r="AD33">
        <f>ROUND((((ET33)-(EU33))+AE33),2)</f>
        <v>241.95</v>
      </c>
      <c r="AE33">
        <f>ROUND((EU33),2)</f>
        <v>104.49</v>
      </c>
      <c r="AF33">
        <f>ROUND((EV33),2)</f>
        <v>840.63</v>
      </c>
      <c r="AG33">
        <f t="shared" si="26"/>
        <v>0</v>
      </c>
      <c r="AH33">
        <f>(EW33)</f>
        <v>103.91</v>
      </c>
      <c r="AI33">
        <f>(EX33)</f>
        <v>7.74</v>
      </c>
      <c r="AJ33">
        <f t="shared" si="27"/>
        <v>0</v>
      </c>
      <c r="AK33">
        <v>1082.58</v>
      </c>
      <c r="AL33">
        <v>0</v>
      </c>
      <c r="AM33">
        <v>241.95</v>
      </c>
      <c r="AN33">
        <v>104.49</v>
      </c>
      <c r="AO33">
        <v>840.63</v>
      </c>
      <c r="AP33">
        <v>0</v>
      </c>
      <c r="AQ33">
        <v>103.91</v>
      </c>
      <c r="AR33">
        <v>7.74</v>
      </c>
      <c r="AS33">
        <v>0</v>
      </c>
      <c r="AT33">
        <v>99</v>
      </c>
      <c r="AU33">
        <v>60</v>
      </c>
      <c r="AV33">
        <v>1</v>
      </c>
      <c r="AW33">
        <v>1</v>
      </c>
      <c r="AZ33">
        <v>6.9</v>
      </c>
      <c r="BA33">
        <v>6.9</v>
      </c>
      <c r="BB33">
        <v>6.9</v>
      </c>
      <c r="BC33">
        <v>6.9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71</v>
      </c>
      <c r="BM33">
        <v>46001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6.9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110</v>
      </c>
      <c r="CA33">
        <v>70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28"/>
        <v>454.91</v>
      </c>
      <c r="CQ33">
        <f t="shared" si="29"/>
        <v>0</v>
      </c>
      <c r="CR33">
        <f t="shared" si="30"/>
        <v>1669.4549999999999</v>
      </c>
      <c r="CS33">
        <f t="shared" si="31"/>
        <v>720.98099999999999</v>
      </c>
      <c r="CT33">
        <f t="shared" si="32"/>
        <v>5800.3470000000007</v>
      </c>
      <c r="CU33">
        <f t="shared" si="33"/>
        <v>0</v>
      </c>
      <c r="CV33">
        <f t="shared" si="34"/>
        <v>103.91</v>
      </c>
      <c r="CW33">
        <f t="shared" si="35"/>
        <v>7.74</v>
      </c>
      <c r="CX33">
        <f t="shared" si="36"/>
        <v>0</v>
      </c>
      <c r="CY33">
        <f t="shared" si="37"/>
        <v>393.17849999999999</v>
      </c>
      <c r="CZ33">
        <f t="shared" si="38"/>
        <v>238.29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15</v>
      </c>
      <c r="DW33" t="s">
        <v>15</v>
      </c>
      <c r="DX33">
        <v>100</v>
      </c>
      <c r="EE33">
        <v>39174571</v>
      </c>
      <c r="EF33">
        <v>2</v>
      </c>
      <c r="EG33" t="s">
        <v>20</v>
      </c>
      <c r="EH33">
        <v>0</v>
      </c>
      <c r="EI33" t="s">
        <v>3</v>
      </c>
      <c r="EJ33">
        <v>1</v>
      </c>
      <c r="EK33">
        <v>46001</v>
      </c>
      <c r="EL33" t="s">
        <v>72</v>
      </c>
      <c r="EM33" t="s">
        <v>73</v>
      </c>
      <c r="EO33" t="s">
        <v>3</v>
      </c>
      <c r="EQ33">
        <v>0</v>
      </c>
      <c r="ER33">
        <v>1082.58</v>
      </c>
      <c r="ES33">
        <v>0</v>
      </c>
      <c r="ET33">
        <v>241.95</v>
      </c>
      <c r="EU33">
        <v>104.49</v>
      </c>
      <c r="EV33">
        <v>840.63</v>
      </c>
      <c r="EW33">
        <v>103.91</v>
      </c>
      <c r="EX33">
        <v>7.74</v>
      </c>
      <c r="EY33">
        <v>0</v>
      </c>
      <c r="FQ33">
        <v>0</v>
      </c>
      <c r="FR33">
        <f t="shared" si="39"/>
        <v>0</v>
      </c>
      <c r="FS33">
        <v>0</v>
      </c>
      <c r="FT33" t="s">
        <v>24</v>
      </c>
      <c r="FU33" t="s">
        <v>25</v>
      </c>
      <c r="FX33">
        <v>99</v>
      </c>
      <c r="FY33">
        <v>59.5</v>
      </c>
      <c r="GA33" t="s">
        <v>3</v>
      </c>
      <c r="GD33">
        <v>0</v>
      </c>
      <c r="GF33">
        <v>309229644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0"/>
        <v>0</v>
      </c>
      <c r="GM33">
        <f t="shared" si="41"/>
        <v>1086.3800000000001</v>
      </c>
      <c r="GN33">
        <f t="shared" si="42"/>
        <v>1086.3800000000001</v>
      </c>
      <c r="GO33">
        <f t="shared" si="43"/>
        <v>0</v>
      </c>
      <c r="GP33">
        <f t="shared" si="44"/>
        <v>0</v>
      </c>
      <c r="GR33">
        <v>0</v>
      </c>
      <c r="GS33">
        <v>3</v>
      </c>
      <c r="GT33">
        <v>0</v>
      </c>
      <c r="GU33" t="s">
        <v>3</v>
      </c>
      <c r="GV33">
        <f t="shared" si="45"/>
        <v>0</v>
      </c>
      <c r="GW33">
        <v>1</v>
      </c>
      <c r="GX33">
        <f t="shared" si="46"/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C34">
        <f>ROW(SmtRes!A51)</f>
        <v>51</v>
      </c>
      <c r="D34">
        <f>ROW(EtalonRes!A58)</f>
        <v>58</v>
      </c>
      <c r="E34" t="s">
        <v>74</v>
      </c>
      <c r="F34" t="s">
        <v>75</v>
      </c>
      <c r="G34" t="s">
        <v>76</v>
      </c>
      <c r="H34" t="s">
        <v>15</v>
      </c>
      <c r="I34">
        <f>ROUND(129/100,9)</f>
        <v>1.29</v>
      </c>
      <c r="J34">
        <v>0</v>
      </c>
      <c r="O34">
        <f t="shared" si="14"/>
        <v>2482.66</v>
      </c>
      <c r="P34">
        <f t="shared" si="15"/>
        <v>1889.59</v>
      </c>
      <c r="Q34">
        <f t="shared" si="16"/>
        <v>246.38</v>
      </c>
      <c r="R34">
        <f t="shared" si="17"/>
        <v>6.5</v>
      </c>
      <c r="S34">
        <f t="shared" si="18"/>
        <v>346.69</v>
      </c>
      <c r="T34">
        <f t="shared" si="19"/>
        <v>0</v>
      </c>
      <c r="U34">
        <f t="shared" si="20"/>
        <v>5.4741150000000003</v>
      </c>
      <c r="V34">
        <f t="shared" si="21"/>
        <v>8.0625000000000002E-2</v>
      </c>
      <c r="W34">
        <f t="shared" si="22"/>
        <v>0</v>
      </c>
      <c r="X34">
        <f t="shared" si="23"/>
        <v>335.53</v>
      </c>
      <c r="Y34">
        <f t="shared" si="24"/>
        <v>166</v>
      </c>
      <c r="AA34">
        <v>39579451</v>
      </c>
      <c r="AB34">
        <f t="shared" si="25"/>
        <v>278.92</v>
      </c>
      <c r="AC34">
        <f>ROUND((ES34),2)</f>
        <v>212.29</v>
      </c>
      <c r="AD34">
        <f>ROUND(((((ET34*1.25))-((EU34*1.25)))+AE34),2)</f>
        <v>27.68</v>
      </c>
      <c r="AE34">
        <f>ROUND(((EU34*1.25)),2)</f>
        <v>0.73</v>
      </c>
      <c r="AF34">
        <f>ROUND(((EV34*1.15)),2)</f>
        <v>38.950000000000003</v>
      </c>
      <c r="AG34">
        <f t="shared" si="26"/>
        <v>0</v>
      </c>
      <c r="AH34">
        <f>((EW34*1.15))</f>
        <v>4.2435</v>
      </c>
      <c r="AI34">
        <f>((EX34*1.25))</f>
        <v>6.25E-2</v>
      </c>
      <c r="AJ34">
        <f t="shared" si="27"/>
        <v>0</v>
      </c>
      <c r="AK34">
        <v>268.3</v>
      </c>
      <c r="AL34">
        <v>212.29</v>
      </c>
      <c r="AM34">
        <v>22.14</v>
      </c>
      <c r="AN34">
        <v>0.57999999999999996</v>
      </c>
      <c r="AO34">
        <v>33.869999999999997</v>
      </c>
      <c r="AP34">
        <v>0</v>
      </c>
      <c r="AQ34">
        <v>3.69</v>
      </c>
      <c r="AR34">
        <v>0.05</v>
      </c>
      <c r="AS34">
        <v>0</v>
      </c>
      <c r="AT34">
        <v>95</v>
      </c>
      <c r="AU34">
        <v>47</v>
      </c>
      <c r="AV34">
        <v>1</v>
      </c>
      <c r="AW34">
        <v>1</v>
      </c>
      <c r="AZ34">
        <v>6.9</v>
      </c>
      <c r="BA34">
        <v>6.9</v>
      </c>
      <c r="BB34">
        <v>6.9</v>
      </c>
      <c r="BC34">
        <v>6.9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1</v>
      </c>
      <c r="BJ34" t="s">
        <v>77</v>
      </c>
      <c r="BM34">
        <v>15001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6.9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105</v>
      </c>
      <c r="CA34">
        <v>55</v>
      </c>
      <c r="CF34">
        <v>0</v>
      </c>
      <c r="CG34">
        <v>0</v>
      </c>
      <c r="CM34">
        <v>0</v>
      </c>
      <c r="CN34" t="s">
        <v>787</v>
      </c>
      <c r="CO34">
        <v>0</v>
      </c>
      <c r="CP34">
        <f t="shared" si="28"/>
        <v>2482.66</v>
      </c>
      <c r="CQ34">
        <f t="shared" si="29"/>
        <v>1464.8009999999999</v>
      </c>
      <c r="CR34">
        <f t="shared" si="30"/>
        <v>190.99200000000002</v>
      </c>
      <c r="CS34">
        <f t="shared" si="31"/>
        <v>5.0369999999999999</v>
      </c>
      <c r="CT34">
        <f t="shared" si="32"/>
        <v>268.75500000000005</v>
      </c>
      <c r="CU34">
        <f t="shared" si="33"/>
        <v>0</v>
      </c>
      <c r="CV34">
        <f t="shared" si="34"/>
        <v>4.2435</v>
      </c>
      <c r="CW34">
        <f t="shared" si="35"/>
        <v>6.25E-2</v>
      </c>
      <c r="CX34">
        <f t="shared" si="36"/>
        <v>0</v>
      </c>
      <c r="CY34">
        <f t="shared" si="37"/>
        <v>335.53050000000002</v>
      </c>
      <c r="CZ34">
        <f t="shared" si="38"/>
        <v>165.99930000000001</v>
      </c>
      <c r="DC34" t="s">
        <v>3</v>
      </c>
      <c r="DD34" t="s">
        <v>3</v>
      </c>
      <c r="DE34" t="s">
        <v>78</v>
      </c>
      <c r="DF34" t="s">
        <v>78</v>
      </c>
      <c r="DG34" t="s">
        <v>79</v>
      </c>
      <c r="DH34" t="s">
        <v>3</v>
      </c>
      <c r="DI34" t="s">
        <v>79</v>
      </c>
      <c r="DJ34" t="s">
        <v>78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1005</v>
      </c>
      <c r="DV34" t="s">
        <v>15</v>
      </c>
      <c r="DW34" t="s">
        <v>15</v>
      </c>
      <c r="DX34">
        <v>100</v>
      </c>
      <c r="EE34">
        <v>39174529</v>
      </c>
      <c r="EF34">
        <v>2</v>
      </c>
      <c r="EG34" t="s">
        <v>20</v>
      </c>
      <c r="EH34">
        <v>0</v>
      </c>
      <c r="EI34" t="s">
        <v>3</v>
      </c>
      <c r="EJ34">
        <v>1</v>
      </c>
      <c r="EK34">
        <v>15001</v>
      </c>
      <c r="EL34" t="s">
        <v>21</v>
      </c>
      <c r="EM34" t="s">
        <v>22</v>
      </c>
      <c r="EO34" t="s">
        <v>80</v>
      </c>
      <c r="EQ34">
        <v>0</v>
      </c>
      <c r="ER34">
        <v>268.3</v>
      </c>
      <c r="ES34">
        <v>212.29</v>
      </c>
      <c r="ET34">
        <v>22.14</v>
      </c>
      <c r="EU34">
        <v>0.57999999999999996</v>
      </c>
      <c r="EV34">
        <v>33.869999999999997</v>
      </c>
      <c r="EW34">
        <v>3.69</v>
      </c>
      <c r="EX34">
        <v>0.05</v>
      </c>
      <c r="EY34">
        <v>0</v>
      </c>
      <c r="FQ34">
        <v>0</v>
      </c>
      <c r="FR34">
        <f t="shared" si="39"/>
        <v>0</v>
      </c>
      <c r="FS34">
        <v>0</v>
      </c>
      <c r="FT34" t="s">
        <v>24</v>
      </c>
      <c r="FU34" t="s">
        <v>25</v>
      </c>
      <c r="FX34">
        <v>94.5</v>
      </c>
      <c r="FY34">
        <v>46.75</v>
      </c>
      <c r="GA34" t="s">
        <v>3</v>
      </c>
      <c r="GD34">
        <v>0</v>
      </c>
      <c r="GF34">
        <v>1491721436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0"/>
        <v>0</v>
      </c>
      <c r="GM34">
        <f t="shared" si="41"/>
        <v>2984.19</v>
      </c>
      <c r="GN34">
        <f t="shared" si="42"/>
        <v>2984.19</v>
      </c>
      <c r="GO34">
        <f t="shared" si="43"/>
        <v>0</v>
      </c>
      <c r="GP34">
        <f t="shared" si="44"/>
        <v>0</v>
      </c>
      <c r="GR34">
        <v>0</v>
      </c>
      <c r="GS34">
        <v>3</v>
      </c>
      <c r="GT34">
        <v>0</v>
      </c>
      <c r="GU34" t="s">
        <v>3</v>
      </c>
      <c r="GV34">
        <f t="shared" si="45"/>
        <v>0</v>
      </c>
      <c r="GW34">
        <v>1</v>
      </c>
      <c r="GX34">
        <f t="shared" si="46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ROW(SmtRes!A58)</f>
        <v>58</v>
      </c>
      <c r="D35">
        <f>ROW(EtalonRes!A64)</f>
        <v>64</v>
      </c>
      <c r="E35" t="s">
        <v>81</v>
      </c>
      <c r="F35" t="s">
        <v>53</v>
      </c>
      <c r="G35" t="s">
        <v>82</v>
      </c>
      <c r="H35" t="s">
        <v>15</v>
      </c>
      <c r="I35">
        <f>ROUND(129/100,9)</f>
        <v>1.29</v>
      </c>
      <c r="J35">
        <v>0</v>
      </c>
      <c r="O35">
        <f t="shared" si="14"/>
        <v>3779.45</v>
      </c>
      <c r="P35">
        <f t="shared" si="15"/>
        <v>76.010000000000005</v>
      </c>
      <c r="Q35">
        <f t="shared" si="16"/>
        <v>492.23</v>
      </c>
      <c r="R35">
        <f t="shared" si="17"/>
        <v>190.84</v>
      </c>
      <c r="S35">
        <f t="shared" si="18"/>
        <v>3211.21</v>
      </c>
      <c r="T35">
        <f t="shared" si="19"/>
        <v>0</v>
      </c>
      <c r="U35">
        <f t="shared" si="20"/>
        <v>58.613084999999998</v>
      </c>
      <c r="V35">
        <f t="shared" si="21"/>
        <v>2.0478749999999999</v>
      </c>
      <c r="W35">
        <f t="shared" si="22"/>
        <v>0</v>
      </c>
      <c r="X35">
        <f t="shared" si="23"/>
        <v>3776.28</v>
      </c>
      <c r="Y35">
        <f t="shared" si="24"/>
        <v>2177.31</v>
      </c>
      <c r="AA35">
        <v>39579451</v>
      </c>
      <c r="AB35">
        <f t="shared" si="25"/>
        <v>424.61</v>
      </c>
      <c r="AC35">
        <f>ROUND((ES35),2)</f>
        <v>8.5399999999999991</v>
      </c>
      <c r="AD35">
        <f>ROUND(((((ET35*1.25))-((EU35*1.25)))+AE35),2)</f>
        <v>55.3</v>
      </c>
      <c r="AE35">
        <f>ROUND(((EU35*1.25)),2)</f>
        <v>21.44</v>
      </c>
      <c r="AF35">
        <f>ROUND(((EV35*1.15)),2)</f>
        <v>360.77</v>
      </c>
      <c r="AG35">
        <f t="shared" si="26"/>
        <v>0</v>
      </c>
      <c r="AH35">
        <f>((EW35*1.15))</f>
        <v>45.436499999999995</v>
      </c>
      <c r="AI35">
        <f>((EX35*1.25))</f>
        <v>1.5874999999999999</v>
      </c>
      <c r="AJ35">
        <f t="shared" si="27"/>
        <v>0</v>
      </c>
      <c r="AK35">
        <v>366.49</v>
      </c>
      <c r="AL35">
        <v>8.5399999999999991</v>
      </c>
      <c r="AM35">
        <v>44.24</v>
      </c>
      <c r="AN35">
        <v>17.149999999999999</v>
      </c>
      <c r="AO35">
        <v>313.70999999999998</v>
      </c>
      <c r="AP35">
        <v>0</v>
      </c>
      <c r="AQ35">
        <v>39.51</v>
      </c>
      <c r="AR35">
        <v>1.27</v>
      </c>
      <c r="AS35">
        <v>0</v>
      </c>
      <c r="AT35">
        <v>111</v>
      </c>
      <c r="AU35">
        <v>64</v>
      </c>
      <c r="AV35">
        <v>1</v>
      </c>
      <c r="AW35">
        <v>1</v>
      </c>
      <c r="AZ35">
        <v>6.9</v>
      </c>
      <c r="BA35">
        <v>6.9</v>
      </c>
      <c r="BB35">
        <v>6.9</v>
      </c>
      <c r="BC35">
        <v>6.9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55</v>
      </c>
      <c r="BM35">
        <v>11001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6.9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123</v>
      </c>
      <c r="CA35">
        <v>75</v>
      </c>
      <c r="CF35">
        <v>0</v>
      </c>
      <c r="CG35">
        <v>0</v>
      </c>
      <c r="CM35">
        <v>0</v>
      </c>
      <c r="CN35" t="s">
        <v>787</v>
      </c>
      <c r="CO35">
        <v>0</v>
      </c>
      <c r="CP35">
        <f t="shared" si="28"/>
        <v>3779.45</v>
      </c>
      <c r="CQ35">
        <f t="shared" si="29"/>
        <v>58.925999999999995</v>
      </c>
      <c r="CR35">
        <f t="shared" si="30"/>
        <v>381.57</v>
      </c>
      <c r="CS35">
        <f t="shared" si="31"/>
        <v>147.93600000000001</v>
      </c>
      <c r="CT35">
        <f t="shared" si="32"/>
        <v>2489.3130000000001</v>
      </c>
      <c r="CU35">
        <f t="shared" si="33"/>
        <v>0</v>
      </c>
      <c r="CV35">
        <f t="shared" si="34"/>
        <v>45.436499999999995</v>
      </c>
      <c r="CW35">
        <f t="shared" si="35"/>
        <v>1.5874999999999999</v>
      </c>
      <c r="CX35">
        <f t="shared" si="36"/>
        <v>0</v>
      </c>
      <c r="CY35">
        <f t="shared" si="37"/>
        <v>3776.2755000000006</v>
      </c>
      <c r="CZ35">
        <f t="shared" si="38"/>
        <v>2177.3119999999999</v>
      </c>
      <c r="DC35" t="s">
        <v>3</v>
      </c>
      <c r="DD35" t="s">
        <v>3</v>
      </c>
      <c r="DE35" t="s">
        <v>78</v>
      </c>
      <c r="DF35" t="s">
        <v>78</v>
      </c>
      <c r="DG35" t="s">
        <v>79</v>
      </c>
      <c r="DH35" t="s">
        <v>3</v>
      </c>
      <c r="DI35" t="s">
        <v>79</v>
      </c>
      <c r="DJ35" t="s">
        <v>78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15</v>
      </c>
      <c r="DW35" t="s">
        <v>15</v>
      </c>
      <c r="DX35">
        <v>100</v>
      </c>
      <c r="EE35">
        <v>39174504</v>
      </c>
      <c r="EF35">
        <v>2</v>
      </c>
      <c r="EG35" t="s">
        <v>20</v>
      </c>
      <c r="EH35">
        <v>0</v>
      </c>
      <c r="EI35" t="s">
        <v>3</v>
      </c>
      <c r="EJ35">
        <v>1</v>
      </c>
      <c r="EK35">
        <v>11001</v>
      </c>
      <c r="EL35" t="s">
        <v>46</v>
      </c>
      <c r="EM35" t="s">
        <v>56</v>
      </c>
      <c r="EO35" t="s">
        <v>80</v>
      </c>
      <c r="EQ35">
        <v>0</v>
      </c>
      <c r="ER35">
        <v>366.49</v>
      </c>
      <c r="ES35">
        <v>8.5399999999999991</v>
      </c>
      <c r="ET35">
        <v>44.24</v>
      </c>
      <c r="EU35">
        <v>17.149999999999999</v>
      </c>
      <c r="EV35">
        <v>313.70999999999998</v>
      </c>
      <c r="EW35">
        <v>39.51</v>
      </c>
      <c r="EX35">
        <v>1.27</v>
      </c>
      <c r="EY35">
        <v>0</v>
      </c>
      <c r="FQ35">
        <v>0</v>
      </c>
      <c r="FR35">
        <f t="shared" si="39"/>
        <v>0</v>
      </c>
      <c r="FS35">
        <v>0</v>
      </c>
      <c r="FT35" t="s">
        <v>24</v>
      </c>
      <c r="FU35" t="s">
        <v>25</v>
      </c>
      <c r="FX35">
        <v>110.7</v>
      </c>
      <c r="FY35">
        <v>63.75</v>
      </c>
      <c r="GA35" t="s">
        <v>3</v>
      </c>
      <c r="GD35">
        <v>0</v>
      </c>
      <c r="GF35">
        <v>192743499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0"/>
        <v>0</v>
      </c>
      <c r="GM35">
        <f t="shared" si="41"/>
        <v>9733.0400000000009</v>
      </c>
      <c r="GN35">
        <f t="shared" si="42"/>
        <v>9733.0400000000009</v>
      </c>
      <c r="GO35">
        <f t="shared" si="43"/>
        <v>0</v>
      </c>
      <c r="GP35">
        <f t="shared" si="44"/>
        <v>0</v>
      </c>
      <c r="GR35">
        <v>0</v>
      </c>
      <c r="GS35">
        <v>3</v>
      </c>
      <c r="GT35">
        <v>0</v>
      </c>
      <c r="GU35" t="s">
        <v>3</v>
      </c>
      <c r="GV35">
        <f t="shared" si="45"/>
        <v>0</v>
      </c>
      <c r="GW35">
        <v>1</v>
      </c>
      <c r="GX35">
        <f t="shared" si="46"/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C36">
        <v>58</v>
      </c>
      <c r="E36" t="s">
        <v>83</v>
      </c>
      <c r="F36" t="s">
        <v>84</v>
      </c>
      <c r="G36" t="s">
        <v>85</v>
      </c>
      <c r="H36" t="s">
        <v>86</v>
      </c>
      <c r="I36">
        <f>I35*J36</f>
        <v>2.6316000000000002</v>
      </c>
      <c r="J36">
        <v>2.04</v>
      </c>
      <c r="O36">
        <f t="shared" si="14"/>
        <v>9438.5499999999993</v>
      </c>
      <c r="P36">
        <f t="shared" si="15"/>
        <v>9438.5499999999993</v>
      </c>
      <c r="Q36">
        <f t="shared" si="16"/>
        <v>0</v>
      </c>
      <c r="R36">
        <f t="shared" si="17"/>
        <v>0</v>
      </c>
      <c r="S36">
        <f t="shared" si="18"/>
        <v>0</v>
      </c>
      <c r="T36">
        <f t="shared" si="19"/>
        <v>0</v>
      </c>
      <c r="U36">
        <f t="shared" si="20"/>
        <v>0</v>
      </c>
      <c r="V36">
        <f t="shared" si="21"/>
        <v>0</v>
      </c>
      <c r="W36">
        <f t="shared" si="22"/>
        <v>0</v>
      </c>
      <c r="X36">
        <f t="shared" si="23"/>
        <v>0</v>
      </c>
      <c r="Y36">
        <f t="shared" si="24"/>
        <v>0</v>
      </c>
      <c r="AA36">
        <v>39579451</v>
      </c>
      <c r="AB36">
        <f t="shared" si="25"/>
        <v>519.79999999999995</v>
      </c>
      <c r="AC36">
        <f>ROUND((ES36),2)</f>
        <v>519.79999999999995</v>
      </c>
      <c r="AD36">
        <f>ROUND((((ET36)-(EU36))+AE36),2)</f>
        <v>0</v>
      </c>
      <c r="AE36">
        <f>ROUND((EU36),2)</f>
        <v>0</v>
      </c>
      <c r="AF36">
        <f>ROUND((EV36),2)</f>
        <v>0</v>
      </c>
      <c r="AG36">
        <f t="shared" si="26"/>
        <v>0</v>
      </c>
      <c r="AH36">
        <f>(EW36)</f>
        <v>0</v>
      </c>
      <c r="AI36">
        <f>(EX36)</f>
        <v>0</v>
      </c>
      <c r="AJ36">
        <f t="shared" si="27"/>
        <v>0</v>
      </c>
      <c r="AK36">
        <v>519.79999999999995</v>
      </c>
      <c r="AL36">
        <v>519.79999999999995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111</v>
      </c>
      <c r="AU36">
        <v>64</v>
      </c>
      <c r="AV36">
        <v>1</v>
      </c>
      <c r="AW36">
        <v>1</v>
      </c>
      <c r="AZ36">
        <v>6.9</v>
      </c>
      <c r="BA36">
        <v>1</v>
      </c>
      <c r="BB36">
        <v>1</v>
      </c>
      <c r="BC36">
        <v>6.9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1</v>
      </c>
      <c r="BJ36" t="s">
        <v>87</v>
      </c>
      <c r="BM36">
        <v>11001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123</v>
      </c>
      <c r="CA36">
        <v>75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28"/>
        <v>9438.5499999999993</v>
      </c>
      <c r="CQ36">
        <f t="shared" si="29"/>
        <v>3586.62</v>
      </c>
      <c r="CR36">
        <f t="shared" si="30"/>
        <v>0</v>
      </c>
      <c r="CS36">
        <f t="shared" si="31"/>
        <v>0</v>
      </c>
      <c r="CT36">
        <f t="shared" si="32"/>
        <v>0</v>
      </c>
      <c r="CU36">
        <f t="shared" si="33"/>
        <v>0</v>
      </c>
      <c r="CV36">
        <f t="shared" si="34"/>
        <v>0</v>
      </c>
      <c r="CW36">
        <f t="shared" si="35"/>
        <v>0</v>
      </c>
      <c r="CX36">
        <f t="shared" si="36"/>
        <v>0</v>
      </c>
      <c r="CY36">
        <f t="shared" si="37"/>
        <v>0</v>
      </c>
      <c r="CZ36">
        <f t="shared" si="38"/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1007</v>
      </c>
      <c r="DV36" t="s">
        <v>86</v>
      </c>
      <c r="DW36" t="s">
        <v>86</v>
      </c>
      <c r="DX36">
        <v>1</v>
      </c>
      <c r="EE36">
        <v>39174504</v>
      </c>
      <c r="EF36">
        <v>2</v>
      </c>
      <c r="EG36" t="s">
        <v>20</v>
      </c>
      <c r="EH36">
        <v>0</v>
      </c>
      <c r="EI36" t="s">
        <v>3</v>
      </c>
      <c r="EJ36">
        <v>1</v>
      </c>
      <c r="EK36">
        <v>11001</v>
      </c>
      <c r="EL36" t="s">
        <v>46</v>
      </c>
      <c r="EM36" t="s">
        <v>56</v>
      </c>
      <c r="EO36" t="s">
        <v>3</v>
      </c>
      <c r="EQ36">
        <v>0</v>
      </c>
      <c r="ER36">
        <v>519.79999999999995</v>
      </c>
      <c r="ES36">
        <v>519.79999999999995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39"/>
        <v>0</v>
      </c>
      <c r="FS36">
        <v>0</v>
      </c>
      <c r="FT36" t="s">
        <v>24</v>
      </c>
      <c r="FU36" t="s">
        <v>25</v>
      </c>
      <c r="FX36">
        <v>110.7</v>
      </c>
      <c r="FY36">
        <v>63.75</v>
      </c>
      <c r="GA36" t="s">
        <v>3</v>
      </c>
      <c r="GD36">
        <v>0</v>
      </c>
      <c r="GF36">
        <v>519185539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0"/>
        <v>0</v>
      </c>
      <c r="GM36">
        <f t="shared" si="41"/>
        <v>9438.5499999999993</v>
      </c>
      <c r="GN36">
        <f t="shared" si="42"/>
        <v>9438.5499999999993</v>
      </c>
      <c r="GO36">
        <f t="shared" si="43"/>
        <v>0</v>
      </c>
      <c r="GP36">
        <f t="shared" si="44"/>
        <v>0</v>
      </c>
      <c r="GR36">
        <v>0</v>
      </c>
      <c r="GS36">
        <v>3</v>
      </c>
      <c r="GT36">
        <v>0</v>
      </c>
      <c r="GU36" t="s">
        <v>3</v>
      </c>
      <c r="GV36">
        <f t="shared" si="45"/>
        <v>0</v>
      </c>
      <c r="GW36">
        <v>1</v>
      </c>
      <c r="GX36">
        <f t="shared" si="46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57</v>
      </c>
      <c r="E37" t="s">
        <v>88</v>
      </c>
      <c r="F37" t="s">
        <v>89</v>
      </c>
      <c r="G37" t="s">
        <v>90</v>
      </c>
      <c r="H37" t="s">
        <v>86</v>
      </c>
      <c r="I37">
        <f>I35*J37</f>
        <v>2.6316000000000002</v>
      </c>
      <c r="J37">
        <v>2.04</v>
      </c>
      <c r="O37">
        <f t="shared" si="14"/>
        <v>0</v>
      </c>
      <c r="P37">
        <f t="shared" si="15"/>
        <v>0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39579451</v>
      </c>
      <c r="AB37">
        <f t="shared" si="25"/>
        <v>0</v>
      </c>
      <c r="AC37">
        <f>ROUND((ES37),2)</f>
        <v>0</v>
      </c>
      <c r="AD37">
        <f>ROUND((((ET37)-(EU37))+AE37),2)</f>
        <v>0</v>
      </c>
      <c r="AE37">
        <f>ROUND((EU37),2)</f>
        <v>0</v>
      </c>
      <c r="AF37">
        <f>ROUND((EV37),2)</f>
        <v>0</v>
      </c>
      <c r="AG37">
        <f t="shared" si="26"/>
        <v>0</v>
      </c>
      <c r="AH37">
        <f>(EW37)</f>
        <v>0</v>
      </c>
      <c r="AI37">
        <f>(EX37)</f>
        <v>0</v>
      </c>
      <c r="AJ37">
        <f t="shared" si="27"/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111</v>
      </c>
      <c r="AU37">
        <v>64</v>
      </c>
      <c r="AV37">
        <v>1</v>
      </c>
      <c r="AW37">
        <v>1</v>
      </c>
      <c r="AZ37">
        <v>6.9</v>
      </c>
      <c r="BA37">
        <v>1</v>
      </c>
      <c r="BB37">
        <v>1</v>
      </c>
      <c r="BC37">
        <v>6.9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1</v>
      </c>
      <c r="BJ37" t="s">
        <v>3</v>
      </c>
      <c r="BM37">
        <v>11001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123</v>
      </c>
      <c r="CA37">
        <v>75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28"/>
        <v>0</v>
      </c>
      <c r="CQ37">
        <f t="shared" si="29"/>
        <v>0</v>
      </c>
      <c r="CR37">
        <f t="shared" si="30"/>
        <v>0</v>
      </c>
      <c r="CS37">
        <f t="shared" si="31"/>
        <v>0</v>
      </c>
      <c r="CT37">
        <f t="shared" si="32"/>
        <v>0</v>
      </c>
      <c r="CU37">
        <f t="shared" si="33"/>
        <v>0</v>
      </c>
      <c r="CV37">
        <f t="shared" si="34"/>
        <v>0</v>
      </c>
      <c r="CW37">
        <f t="shared" si="35"/>
        <v>0</v>
      </c>
      <c r="CX37">
        <f t="shared" si="36"/>
        <v>0</v>
      </c>
      <c r="CY37">
        <f t="shared" si="37"/>
        <v>0</v>
      </c>
      <c r="CZ37">
        <f t="shared" si="38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1007</v>
      </c>
      <c r="DV37" t="s">
        <v>86</v>
      </c>
      <c r="DW37" t="s">
        <v>86</v>
      </c>
      <c r="DX37">
        <v>1</v>
      </c>
      <c r="EE37">
        <v>39174504</v>
      </c>
      <c r="EF37">
        <v>2</v>
      </c>
      <c r="EG37" t="s">
        <v>20</v>
      </c>
      <c r="EH37">
        <v>0</v>
      </c>
      <c r="EI37" t="s">
        <v>3</v>
      </c>
      <c r="EJ37">
        <v>1</v>
      </c>
      <c r="EK37">
        <v>11001</v>
      </c>
      <c r="EL37" t="s">
        <v>46</v>
      </c>
      <c r="EM37" t="s">
        <v>56</v>
      </c>
      <c r="EO37" t="s">
        <v>3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39"/>
        <v>0</v>
      </c>
      <c r="FS37">
        <v>0</v>
      </c>
      <c r="FT37" t="s">
        <v>24</v>
      </c>
      <c r="FU37" t="s">
        <v>25</v>
      </c>
      <c r="FX37">
        <v>110.7</v>
      </c>
      <c r="FY37">
        <v>63.75</v>
      </c>
      <c r="GA37" t="s">
        <v>3</v>
      </c>
      <c r="GD37">
        <v>0</v>
      </c>
      <c r="GF37">
        <v>-2113302258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0"/>
        <v>0</v>
      </c>
      <c r="GM37">
        <f t="shared" si="41"/>
        <v>0</v>
      </c>
      <c r="GN37">
        <f t="shared" si="42"/>
        <v>0</v>
      </c>
      <c r="GO37">
        <f t="shared" si="43"/>
        <v>0</v>
      </c>
      <c r="GP37">
        <f t="shared" si="44"/>
        <v>0</v>
      </c>
      <c r="GR37">
        <v>0</v>
      </c>
      <c r="GS37">
        <v>3</v>
      </c>
      <c r="GT37">
        <v>0</v>
      </c>
      <c r="GU37" t="s">
        <v>3</v>
      </c>
      <c r="GV37">
        <f t="shared" si="45"/>
        <v>0</v>
      </c>
      <c r="GW37">
        <v>1</v>
      </c>
      <c r="GX37">
        <f t="shared" si="46"/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ROW(SmtRes!A64)</f>
        <v>64</v>
      </c>
      <c r="D38">
        <f>ROW(EtalonRes!A69)</f>
        <v>69</v>
      </c>
      <c r="E38" t="s">
        <v>91</v>
      </c>
      <c r="F38" t="s">
        <v>58</v>
      </c>
      <c r="G38" t="s">
        <v>92</v>
      </c>
      <c r="H38" t="s">
        <v>15</v>
      </c>
      <c r="I38">
        <f>ROUND(129/100,9)</f>
        <v>1.29</v>
      </c>
      <c r="J38">
        <v>0</v>
      </c>
      <c r="O38">
        <f t="shared" si="14"/>
        <v>253.06</v>
      </c>
      <c r="P38">
        <f t="shared" si="15"/>
        <v>0</v>
      </c>
      <c r="Q38">
        <f t="shared" si="16"/>
        <v>171.79</v>
      </c>
      <c r="R38">
        <f t="shared" si="17"/>
        <v>63.2</v>
      </c>
      <c r="S38">
        <f t="shared" si="18"/>
        <v>81.27</v>
      </c>
      <c r="T38">
        <f t="shared" si="19"/>
        <v>0</v>
      </c>
      <c r="U38">
        <f t="shared" si="20"/>
        <v>1.4834999999999998</v>
      </c>
      <c r="V38">
        <f t="shared" si="21"/>
        <v>0.67725000000000002</v>
      </c>
      <c r="W38">
        <f t="shared" si="22"/>
        <v>0</v>
      </c>
      <c r="X38">
        <f t="shared" si="23"/>
        <v>160.36000000000001</v>
      </c>
      <c r="Y38">
        <f t="shared" si="24"/>
        <v>92.46</v>
      </c>
      <c r="AA38">
        <v>39579451</v>
      </c>
      <c r="AB38">
        <f t="shared" si="25"/>
        <v>28.43</v>
      </c>
      <c r="AC38">
        <f>ROUND(((ES38*2)),2)</f>
        <v>0</v>
      </c>
      <c r="AD38">
        <f>ROUND(((((ET38*1.25*2))-((EU38*1.25*2)))+AE38),2)</f>
        <v>19.3</v>
      </c>
      <c r="AE38">
        <f>ROUND(((EU38*1.25*2)),2)</f>
        <v>7.1</v>
      </c>
      <c r="AF38">
        <f>ROUND(((EV38*1.15*2)),2)</f>
        <v>9.1300000000000008</v>
      </c>
      <c r="AG38">
        <f t="shared" si="26"/>
        <v>0</v>
      </c>
      <c r="AH38">
        <f>((EW38*1.15*2))</f>
        <v>1.1499999999999999</v>
      </c>
      <c r="AI38">
        <f>((EX38*1.25*2))</f>
        <v>0.52500000000000002</v>
      </c>
      <c r="AJ38">
        <f t="shared" si="27"/>
        <v>0</v>
      </c>
      <c r="AK38">
        <v>11.69</v>
      </c>
      <c r="AL38">
        <v>0</v>
      </c>
      <c r="AM38">
        <v>7.72</v>
      </c>
      <c r="AN38">
        <v>2.84</v>
      </c>
      <c r="AO38">
        <v>3.97</v>
      </c>
      <c r="AP38">
        <v>0</v>
      </c>
      <c r="AQ38">
        <v>0.5</v>
      </c>
      <c r="AR38">
        <v>0.21</v>
      </c>
      <c r="AS38">
        <v>0</v>
      </c>
      <c r="AT38">
        <v>111</v>
      </c>
      <c r="AU38">
        <v>64</v>
      </c>
      <c r="AV38">
        <v>1</v>
      </c>
      <c r="AW38">
        <v>1</v>
      </c>
      <c r="AZ38">
        <v>6.9</v>
      </c>
      <c r="BA38">
        <v>6.9</v>
      </c>
      <c r="BB38">
        <v>6.9</v>
      </c>
      <c r="BC38">
        <v>6.9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1</v>
      </c>
      <c r="BJ38" t="s">
        <v>60</v>
      </c>
      <c r="BM38">
        <v>11001</v>
      </c>
      <c r="BN38">
        <v>0</v>
      </c>
      <c r="BO38" t="s">
        <v>3</v>
      </c>
      <c r="BP38">
        <v>0</v>
      </c>
      <c r="BQ38">
        <v>2</v>
      </c>
      <c r="BR38">
        <v>0</v>
      </c>
      <c r="BS38">
        <v>6.9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123</v>
      </c>
      <c r="CA38">
        <v>75</v>
      </c>
      <c r="CF38">
        <v>0</v>
      </c>
      <c r="CG38">
        <v>0</v>
      </c>
      <c r="CM38">
        <v>0</v>
      </c>
      <c r="CN38" t="s">
        <v>787</v>
      </c>
      <c r="CO38">
        <v>0</v>
      </c>
      <c r="CP38">
        <f t="shared" si="28"/>
        <v>253.06</v>
      </c>
      <c r="CQ38">
        <f t="shared" si="29"/>
        <v>0</v>
      </c>
      <c r="CR38">
        <f t="shared" si="30"/>
        <v>133.17000000000002</v>
      </c>
      <c r="CS38">
        <f t="shared" si="31"/>
        <v>48.99</v>
      </c>
      <c r="CT38">
        <f t="shared" si="32"/>
        <v>62.997000000000007</v>
      </c>
      <c r="CU38">
        <f t="shared" si="33"/>
        <v>0</v>
      </c>
      <c r="CV38">
        <f t="shared" si="34"/>
        <v>1.1499999999999999</v>
      </c>
      <c r="CW38">
        <f t="shared" si="35"/>
        <v>0.52500000000000002</v>
      </c>
      <c r="CX38">
        <f t="shared" si="36"/>
        <v>0</v>
      </c>
      <c r="CY38">
        <f t="shared" si="37"/>
        <v>160.36170000000001</v>
      </c>
      <c r="CZ38">
        <f t="shared" si="38"/>
        <v>92.460800000000006</v>
      </c>
      <c r="DC38" t="s">
        <v>3</v>
      </c>
      <c r="DD38" t="s">
        <v>93</v>
      </c>
      <c r="DE38" t="s">
        <v>94</v>
      </c>
      <c r="DF38" t="s">
        <v>94</v>
      </c>
      <c r="DG38" t="s">
        <v>95</v>
      </c>
      <c r="DH38" t="s">
        <v>3</v>
      </c>
      <c r="DI38" t="s">
        <v>95</v>
      </c>
      <c r="DJ38" t="s">
        <v>94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1005</v>
      </c>
      <c r="DV38" t="s">
        <v>15</v>
      </c>
      <c r="DW38" t="s">
        <v>15</v>
      </c>
      <c r="DX38">
        <v>100</v>
      </c>
      <c r="EE38">
        <v>39174504</v>
      </c>
      <c r="EF38">
        <v>2</v>
      </c>
      <c r="EG38" t="s">
        <v>20</v>
      </c>
      <c r="EH38">
        <v>0</v>
      </c>
      <c r="EI38" t="s">
        <v>3</v>
      </c>
      <c r="EJ38">
        <v>1</v>
      </c>
      <c r="EK38">
        <v>11001</v>
      </c>
      <c r="EL38" t="s">
        <v>46</v>
      </c>
      <c r="EM38" t="s">
        <v>56</v>
      </c>
      <c r="EO38" t="s">
        <v>80</v>
      </c>
      <c r="EQ38">
        <v>0</v>
      </c>
      <c r="ER38">
        <v>11.69</v>
      </c>
      <c r="ES38">
        <v>0</v>
      </c>
      <c r="ET38">
        <v>7.72</v>
      </c>
      <c r="EU38">
        <v>2.84</v>
      </c>
      <c r="EV38">
        <v>3.97</v>
      </c>
      <c r="EW38">
        <v>0.5</v>
      </c>
      <c r="EX38">
        <v>0.21</v>
      </c>
      <c r="EY38">
        <v>0</v>
      </c>
      <c r="FQ38">
        <v>0</v>
      </c>
      <c r="FR38">
        <f t="shared" si="39"/>
        <v>0</v>
      </c>
      <c r="FS38">
        <v>0</v>
      </c>
      <c r="FT38" t="s">
        <v>24</v>
      </c>
      <c r="FU38" t="s">
        <v>25</v>
      </c>
      <c r="FX38">
        <v>110.7</v>
      </c>
      <c r="FY38">
        <v>63.75</v>
      </c>
      <c r="GA38" t="s">
        <v>3</v>
      </c>
      <c r="GD38">
        <v>0</v>
      </c>
      <c r="GF38">
        <v>-869721543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0"/>
        <v>0</v>
      </c>
      <c r="GM38">
        <f t="shared" si="41"/>
        <v>505.88</v>
      </c>
      <c r="GN38">
        <f t="shared" si="42"/>
        <v>505.88</v>
      </c>
      <c r="GO38">
        <f t="shared" si="43"/>
        <v>0</v>
      </c>
      <c r="GP38">
        <f t="shared" si="44"/>
        <v>0</v>
      </c>
      <c r="GR38">
        <v>0</v>
      </c>
      <c r="GS38">
        <v>3</v>
      </c>
      <c r="GT38">
        <v>0</v>
      </c>
      <c r="GU38" t="s">
        <v>3</v>
      </c>
      <c r="GV38">
        <f t="shared" si="45"/>
        <v>0</v>
      </c>
      <c r="GW38">
        <v>1</v>
      </c>
      <c r="GX38">
        <f t="shared" si="46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64</v>
      </c>
      <c r="E39" t="s">
        <v>96</v>
      </c>
      <c r="F39" t="s">
        <v>84</v>
      </c>
      <c r="G39" t="s">
        <v>85</v>
      </c>
      <c r="H39" t="s">
        <v>86</v>
      </c>
      <c r="I39">
        <f>I38*J39</f>
        <v>1.3158000000000001</v>
      </c>
      <c r="J39">
        <v>1.02</v>
      </c>
      <c r="O39">
        <f t="shared" si="14"/>
        <v>4719.2700000000004</v>
      </c>
      <c r="P39">
        <f t="shared" si="15"/>
        <v>4719.2700000000004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39579451</v>
      </c>
      <c r="AB39">
        <f t="shared" si="25"/>
        <v>519.79999999999995</v>
      </c>
      <c r="AC39">
        <f t="shared" ref="AC39:AC70" si="47">ROUND((ES39),2)</f>
        <v>519.79999999999995</v>
      </c>
      <c r="AD39">
        <f>ROUND((((ET39)-(EU39))+AE39),2)</f>
        <v>0</v>
      </c>
      <c r="AE39">
        <f>ROUND((EU39),2)</f>
        <v>0</v>
      </c>
      <c r="AF39">
        <f>ROUND((EV39),2)</f>
        <v>0</v>
      </c>
      <c r="AG39">
        <f t="shared" si="26"/>
        <v>0</v>
      </c>
      <c r="AH39">
        <f>(EW39)</f>
        <v>0</v>
      </c>
      <c r="AI39">
        <f>(EX39)</f>
        <v>0</v>
      </c>
      <c r="AJ39">
        <f t="shared" si="27"/>
        <v>0</v>
      </c>
      <c r="AK39">
        <v>519.79999999999995</v>
      </c>
      <c r="AL39">
        <v>519.79999999999995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111</v>
      </c>
      <c r="AU39">
        <v>64</v>
      </c>
      <c r="AV39">
        <v>1</v>
      </c>
      <c r="AW39">
        <v>1</v>
      </c>
      <c r="AZ39">
        <v>6.9</v>
      </c>
      <c r="BA39">
        <v>1</v>
      </c>
      <c r="BB39">
        <v>1</v>
      </c>
      <c r="BC39">
        <v>6.9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87</v>
      </c>
      <c r="BM39">
        <v>11001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123</v>
      </c>
      <c r="CA39">
        <v>75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28"/>
        <v>4719.2700000000004</v>
      </c>
      <c r="CQ39">
        <f t="shared" si="29"/>
        <v>3586.62</v>
      </c>
      <c r="CR39">
        <f t="shared" si="30"/>
        <v>0</v>
      </c>
      <c r="CS39">
        <f t="shared" si="31"/>
        <v>0</v>
      </c>
      <c r="CT39">
        <f t="shared" si="32"/>
        <v>0</v>
      </c>
      <c r="CU39">
        <f t="shared" si="33"/>
        <v>0</v>
      </c>
      <c r="CV39">
        <f t="shared" si="34"/>
        <v>0</v>
      </c>
      <c r="CW39">
        <f t="shared" si="35"/>
        <v>0</v>
      </c>
      <c r="CX39">
        <f t="shared" si="36"/>
        <v>0</v>
      </c>
      <c r="CY39">
        <f t="shared" si="37"/>
        <v>0</v>
      </c>
      <c r="CZ39">
        <f t="shared" si="38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1007</v>
      </c>
      <c r="DV39" t="s">
        <v>86</v>
      </c>
      <c r="DW39" t="s">
        <v>86</v>
      </c>
      <c r="DX39">
        <v>1</v>
      </c>
      <c r="EE39">
        <v>39174504</v>
      </c>
      <c r="EF39">
        <v>2</v>
      </c>
      <c r="EG39" t="s">
        <v>20</v>
      </c>
      <c r="EH39">
        <v>0</v>
      </c>
      <c r="EI39" t="s">
        <v>3</v>
      </c>
      <c r="EJ39">
        <v>1</v>
      </c>
      <c r="EK39">
        <v>11001</v>
      </c>
      <c r="EL39" t="s">
        <v>46</v>
      </c>
      <c r="EM39" t="s">
        <v>56</v>
      </c>
      <c r="EO39" t="s">
        <v>3</v>
      </c>
      <c r="EQ39">
        <v>0</v>
      </c>
      <c r="ER39">
        <v>519.79999999999995</v>
      </c>
      <c r="ES39">
        <v>519.79999999999995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39"/>
        <v>0</v>
      </c>
      <c r="FS39">
        <v>0</v>
      </c>
      <c r="FT39" t="s">
        <v>24</v>
      </c>
      <c r="FU39" t="s">
        <v>25</v>
      </c>
      <c r="FX39">
        <v>110.7</v>
      </c>
      <c r="FY39">
        <v>63.75</v>
      </c>
      <c r="GA39" t="s">
        <v>3</v>
      </c>
      <c r="GD39">
        <v>0</v>
      </c>
      <c r="GF39">
        <v>519185539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0"/>
        <v>0</v>
      </c>
      <c r="GM39">
        <f t="shared" si="41"/>
        <v>4719.2700000000004</v>
      </c>
      <c r="GN39">
        <f t="shared" si="42"/>
        <v>4719.2700000000004</v>
      </c>
      <c r="GO39">
        <f t="shared" si="43"/>
        <v>0</v>
      </c>
      <c r="GP39">
        <f t="shared" si="44"/>
        <v>0</v>
      </c>
      <c r="GR39">
        <v>0</v>
      </c>
      <c r="GS39">
        <v>3</v>
      </c>
      <c r="GT39">
        <v>0</v>
      </c>
      <c r="GU39" t="s">
        <v>3</v>
      </c>
      <c r="GV39">
        <f t="shared" si="45"/>
        <v>0</v>
      </c>
      <c r="GW39">
        <v>1</v>
      </c>
      <c r="GX39">
        <f t="shared" si="46"/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63</v>
      </c>
      <c r="E40" t="s">
        <v>97</v>
      </c>
      <c r="F40" t="s">
        <v>89</v>
      </c>
      <c r="G40" t="s">
        <v>90</v>
      </c>
      <c r="H40" t="s">
        <v>86</v>
      </c>
      <c r="I40">
        <f>I38*J40</f>
        <v>1.3158000000000001</v>
      </c>
      <c r="J40">
        <v>1.02</v>
      </c>
      <c r="O40">
        <f t="shared" si="14"/>
        <v>0</v>
      </c>
      <c r="P40">
        <f t="shared" si="15"/>
        <v>0</v>
      </c>
      <c r="Q40">
        <f t="shared" si="16"/>
        <v>0</v>
      </c>
      <c r="R40">
        <f t="shared" si="17"/>
        <v>0</v>
      </c>
      <c r="S40">
        <f t="shared" si="18"/>
        <v>0</v>
      </c>
      <c r="T40">
        <f t="shared" si="19"/>
        <v>0</v>
      </c>
      <c r="U40">
        <f t="shared" si="20"/>
        <v>0</v>
      </c>
      <c r="V40">
        <f t="shared" si="21"/>
        <v>0</v>
      </c>
      <c r="W40">
        <f t="shared" si="22"/>
        <v>0</v>
      </c>
      <c r="X40">
        <f t="shared" si="23"/>
        <v>0</v>
      </c>
      <c r="Y40">
        <f t="shared" si="24"/>
        <v>0</v>
      </c>
      <c r="AA40">
        <v>39579451</v>
      </c>
      <c r="AB40">
        <f t="shared" si="25"/>
        <v>0</v>
      </c>
      <c r="AC40">
        <f t="shared" si="47"/>
        <v>0</v>
      </c>
      <c r="AD40">
        <f>ROUND((((ET40)-(EU40))+AE40),2)</f>
        <v>0</v>
      </c>
      <c r="AE40">
        <f>ROUND((EU40),2)</f>
        <v>0</v>
      </c>
      <c r="AF40">
        <f>ROUND((EV40),2)</f>
        <v>0</v>
      </c>
      <c r="AG40">
        <f t="shared" si="26"/>
        <v>0</v>
      </c>
      <c r="AH40">
        <f>(EW40)</f>
        <v>0</v>
      </c>
      <c r="AI40">
        <f>(EX40)</f>
        <v>0</v>
      </c>
      <c r="AJ40">
        <f t="shared" si="27"/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111</v>
      </c>
      <c r="AU40">
        <v>64</v>
      </c>
      <c r="AV40">
        <v>1</v>
      </c>
      <c r="AW40">
        <v>1</v>
      </c>
      <c r="AZ40">
        <v>6.9</v>
      </c>
      <c r="BA40">
        <v>1</v>
      </c>
      <c r="BB40">
        <v>1</v>
      </c>
      <c r="BC40">
        <v>6.9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1</v>
      </c>
      <c r="BJ40" t="s">
        <v>3</v>
      </c>
      <c r="BM40">
        <v>11001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123</v>
      </c>
      <c r="CA40">
        <v>75</v>
      </c>
      <c r="CF40">
        <v>0</v>
      </c>
      <c r="CG40">
        <v>0</v>
      </c>
      <c r="CM40">
        <v>0</v>
      </c>
      <c r="CN40" t="s">
        <v>787</v>
      </c>
      <c r="CO40">
        <v>0</v>
      </c>
      <c r="CP40">
        <f t="shared" si="28"/>
        <v>0</v>
      </c>
      <c r="CQ40">
        <f t="shared" si="29"/>
        <v>0</v>
      </c>
      <c r="CR40">
        <f t="shared" si="30"/>
        <v>0</v>
      </c>
      <c r="CS40">
        <f t="shared" si="31"/>
        <v>0</v>
      </c>
      <c r="CT40">
        <f t="shared" si="32"/>
        <v>0</v>
      </c>
      <c r="CU40">
        <f t="shared" si="33"/>
        <v>0</v>
      </c>
      <c r="CV40">
        <f t="shared" si="34"/>
        <v>0</v>
      </c>
      <c r="CW40">
        <f t="shared" si="35"/>
        <v>0</v>
      </c>
      <c r="CX40">
        <f t="shared" si="36"/>
        <v>0</v>
      </c>
      <c r="CY40">
        <f t="shared" si="37"/>
        <v>0</v>
      </c>
      <c r="CZ40">
        <f t="shared" si="38"/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1007</v>
      </c>
      <c r="DV40" t="s">
        <v>86</v>
      </c>
      <c r="DW40" t="s">
        <v>86</v>
      </c>
      <c r="DX40">
        <v>1</v>
      </c>
      <c r="EE40">
        <v>39174504</v>
      </c>
      <c r="EF40">
        <v>2</v>
      </c>
      <c r="EG40" t="s">
        <v>20</v>
      </c>
      <c r="EH40">
        <v>0</v>
      </c>
      <c r="EI40" t="s">
        <v>3</v>
      </c>
      <c r="EJ40">
        <v>1</v>
      </c>
      <c r="EK40">
        <v>11001</v>
      </c>
      <c r="EL40" t="s">
        <v>46</v>
      </c>
      <c r="EM40" t="s">
        <v>56</v>
      </c>
      <c r="EO40" t="s">
        <v>80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39"/>
        <v>0</v>
      </c>
      <c r="FS40">
        <v>0</v>
      </c>
      <c r="FT40" t="s">
        <v>24</v>
      </c>
      <c r="FU40" t="s">
        <v>25</v>
      </c>
      <c r="FX40">
        <v>110.7</v>
      </c>
      <c r="FY40">
        <v>63.75</v>
      </c>
      <c r="GA40" t="s">
        <v>3</v>
      </c>
      <c r="GD40">
        <v>0</v>
      </c>
      <c r="GF40">
        <v>-2113302258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0"/>
        <v>0</v>
      </c>
      <c r="GM40">
        <f t="shared" si="41"/>
        <v>0</v>
      </c>
      <c r="GN40">
        <f t="shared" si="42"/>
        <v>0</v>
      </c>
      <c r="GO40">
        <f t="shared" si="43"/>
        <v>0</v>
      </c>
      <c r="GP40">
        <f t="shared" si="44"/>
        <v>0</v>
      </c>
      <c r="GR40">
        <v>0</v>
      </c>
      <c r="GS40">
        <v>3</v>
      </c>
      <c r="GT40">
        <v>0</v>
      </c>
      <c r="GU40" t="s">
        <v>3</v>
      </c>
      <c r="GV40">
        <f t="shared" si="45"/>
        <v>0</v>
      </c>
      <c r="GW40">
        <v>1</v>
      </c>
      <c r="GX40">
        <f t="shared" si="46"/>
        <v>0</v>
      </c>
      <c r="HA40">
        <v>0</v>
      </c>
      <c r="HB40">
        <v>0</v>
      </c>
      <c r="IK40">
        <v>0</v>
      </c>
    </row>
    <row r="41" spans="1:245" x14ac:dyDescent="0.2">
      <c r="A41">
        <v>17</v>
      </c>
      <c r="B41">
        <v>1</v>
      </c>
      <c r="C41">
        <f>ROW(SmtRes!A72)</f>
        <v>72</v>
      </c>
      <c r="D41">
        <f>ROW(EtalonRes!A76)</f>
        <v>76</v>
      </c>
      <c r="E41" t="s">
        <v>98</v>
      </c>
      <c r="F41" t="s">
        <v>99</v>
      </c>
      <c r="G41" t="s">
        <v>100</v>
      </c>
      <c r="H41" t="s">
        <v>15</v>
      </c>
      <c r="I41">
        <f>ROUND(129/100,9)</f>
        <v>1.29</v>
      </c>
      <c r="J41">
        <v>0</v>
      </c>
      <c r="O41">
        <f t="shared" si="14"/>
        <v>53602.720000000001</v>
      </c>
      <c r="P41">
        <f t="shared" si="15"/>
        <v>50883.37</v>
      </c>
      <c r="Q41">
        <f t="shared" si="16"/>
        <v>36.14</v>
      </c>
      <c r="R41">
        <f t="shared" si="17"/>
        <v>11.57</v>
      </c>
      <c r="S41">
        <f t="shared" si="18"/>
        <v>2683.21</v>
      </c>
      <c r="T41">
        <f t="shared" si="19"/>
        <v>0</v>
      </c>
      <c r="U41">
        <f t="shared" si="20"/>
        <v>45.587955000000001</v>
      </c>
      <c r="V41">
        <f t="shared" si="21"/>
        <v>0.14512499999999998</v>
      </c>
      <c r="W41">
        <f t="shared" si="22"/>
        <v>0</v>
      </c>
      <c r="X41">
        <f t="shared" si="23"/>
        <v>2991.21</v>
      </c>
      <c r="Y41">
        <f t="shared" si="24"/>
        <v>1724.66</v>
      </c>
      <c r="AA41">
        <v>39579451</v>
      </c>
      <c r="AB41">
        <f t="shared" si="25"/>
        <v>6022.1</v>
      </c>
      <c r="AC41">
        <f t="shared" si="47"/>
        <v>5716.59</v>
      </c>
      <c r="AD41">
        <f>ROUND(((((ET41*1.25))-((EU41*1.25)))+AE41),2)</f>
        <v>4.0599999999999996</v>
      </c>
      <c r="AE41">
        <f>ROUND(((EU41*1.25)),2)</f>
        <v>1.3</v>
      </c>
      <c r="AF41">
        <f>ROUND(((EV41*1.15)),2)</f>
        <v>301.45</v>
      </c>
      <c r="AG41">
        <f t="shared" si="26"/>
        <v>0</v>
      </c>
      <c r="AH41">
        <f>((EW41*1.15))</f>
        <v>35.339500000000001</v>
      </c>
      <c r="AI41">
        <f>((EX41*1.25))</f>
        <v>0.11249999999999999</v>
      </c>
      <c r="AJ41">
        <f t="shared" si="27"/>
        <v>0</v>
      </c>
      <c r="AK41">
        <v>5981.97</v>
      </c>
      <c r="AL41">
        <v>5716.59</v>
      </c>
      <c r="AM41">
        <v>3.25</v>
      </c>
      <c r="AN41">
        <v>1.04</v>
      </c>
      <c r="AO41">
        <v>262.13</v>
      </c>
      <c r="AP41">
        <v>0</v>
      </c>
      <c r="AQ41">
        <v>30.73</v>
      </c>
      <c r="AR41">
        <v>0.09</v>
      </c>
      <c r="AS41">
        <v>0</v>
      </c>
      <c r="AT41">
        <v>111</v>
      </c>
      <c r="AU41">
        <v>64</v>
      </c>
      <c r="AV41">
        <v>1</v>
      </c>
      <c r="AW41">
        <v>1</v>
      </c>
      <c r="AZ41">
        <v>6.9</v>
      </c>
      <c r="BA41">
        <v>6.9</v>
      </c>
      <c r="BB41">
        <v>6.9</v>
      </c>
      <c r="BC41">
        <v>6.9</v>
      </c>
      <c r="BD41" t="s">
        <v>3</v>
      </c>
      <c r="BE41" t="s">
        <v>3</v>
      </c>
      <c r="BF41" t="s">
        <v>3</v>
      </c>
      <c r="BG41" t="s">
        <v>3</v>
      </c>
      <c r="BH41">
        <v>0</v>
      </c>
      <c r="BI41">
        <v>1</v>
      </c>
      <c r="BJ41" t="s">
        <v>101</v>
      </c>
      <c r="BM41">
        <v>11001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6.9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123</v>
      </c>
      <c r="CA41">
        <v>75</v>
      </c>
      <c r="CF41">
        <v>0</v>
      </c>
      <c r="CG41">
        <v>0</v>
      </c>
      <c r="CM41">
        <v>0</v>
      </c>
      <c r="CN41" t="s">
        <v>787</v>
      </c>
      <c r="CO41">
        <v>0</v>
      </c>
      <c r="CP41">
        <f t="shared" si="28"/>
        <v>53602.720000000001</v>
      </c>
      <c r="CQ41">
        <f t="shared" si="29"/>
        <v>39444.471000000005</v>
      </c>
      <c r="CR41">
        <f t="shared" si="30"/>
        <v>28.013999999999999</v>
      </c>
      <c r="CS41">
        <f t="shared" si="31"/>
        <v>8.9700000000000006</v>
      </c>
      <c r="CT41">
        <f t="shared" si="32"/>
        <v>2080.0050000000001</v>
      </c>
      <c r="CU41">
        <f t="shared" si="33"/>
        <v>0</v>
      </c>
      <c r="CV41">
        <f t="shared" si="34"/>
        <v>35.339500000000001</v>
      </c>
      <c r="CW41">
        <f t="shared" si="35"/>
        <v>0.11249999999999999</v>
      </c>
      <c r="CX41">
        <f t="shared" si="36"/>
        <v>0</v>
      </c>
      <c r="CY41">
        <f t="shared" si="37"/>
        <v>2991.2058000000002</v>
      </c>
      <c r="CZ41">
        <f t="shared" si="38"/>
        <v>1724.6592000000001</v>
      </c>
      <c r="DC41" t="s">
        <v>3</v>
      </c>
      <c r="DD41" t="s">
        <v>3</v>
      </c>
      <c r="DE41" t="s">
        <v>78</v>
      </c>
      <c r="DF41" t="s">
        <v>78</v>
      </c>
      <c r="DG41" t="s">
        <v>79</v>
      </c>
      <c r="DH41" t="s">
        <v>3</v>
      </c>
      <c r="DI41" t="s">
        <v>79</v>
      </c>
      <c r="DJ41" t="s">
        <v>78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15</v>
      </c>
      <c r="DW41" t="s">
        <v>15</v>
      </c>
      <c r="DX41">
        <v>100</v>
      </c>
      <c r="EE41">
        <v>39174504</v>
      </c>
      <c r="EF41">
        <v>2</v>
      </c>
      <c r="EG41" t="s">
        <v>20</v>
      </c>
      <c r="EH41">
        <v>0</v>
      </c>
      <c r="EI41" t="s">
        <v>3</v>
      </c>
      <c r="EJ41">
        <v>1</v>
      </c>
      <c r="EK41">
        <v>11001</v>
      </c>
      <c r="EL41" t="s">
        <v>46</v>
      </c>
      <c r="EM41" t="s">
        <v>56</v>
      </c>
      <c r="EO41" t="s">
        <v>80</v>
      </c>
      <c r="EQ41">
        <v>0</v>
      </c>
      <c r="ER41">
        <v>5981.97</v>
      </c>
      <c r="ES41">
        <v>5716.59</v>
      </c>
      <c r="ET41">
        <v>3.25</v>
      </c>
      <c r="EU41">
        <v>1.04</v>
      </c>
      <c r="EV41">
        <v>262.13</v>
      </c>
      <c r="EW41">
        <v>30.73</v>
      </c>
      <c r="EX41">
        <v>0.09</v>
      </c>
      <c r="EY41">
        <v>0</v>
      </c>
      <c r="FQ41">
        <v>0</v>
      </c>
      <c r="FR41">
        <f t="shared" si="39"/>
        <v>0</v>
      </c>
      <c r="FS41">
        <v>0</v>
      </c>
      <c r="FT41" t="s">
        <v>24</v>
      </c>
      <c r="FU41" t="s">
        <v>25</v>
      </c>
      <c r="FX41">
        <v>110.7</v>
      </c>
      <c r="FY41">
        <v>63.75</v>
      </c>
      <c r="GA41" t="s">
        <v>3</v>
      </c>
      <c r="GD41">
        <v>0</v>
      </c>
      <c r="GF41">
        <v>1534119486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0"/>
        <v>0</v>
      </c>
      <c r="GM41">
        <f t="shared" si="41"/>
        <v>58318.59</v>
      </c>
      <c r="GN41">
        <f t="shared" si="42"/>
        <v>58318.59</v>
      </c>
      <c r="GO41">
        <f t="shared" si="43"/>
        <v>0</v>
      </c>
      <c r="GP41">
        <f t="shared" si="44"/>
        <v>0</v>
      </c>
      <c r="GR41">
        <v>0</v>
      </c>
      <c r="GS41">
        <v>3</v>
      </c>
      <c r="GT41">
        <v>0</v>
      </c>
      <c r="GU41" t="s">
        <v>3</v>
      </c>
      <c r="GV41">
        <f t="shared" si="45"/>
        <v>0</v>
      </c>
      <c r="GW41">
        <v>1</v>
      </c>
      <c r="GX41">
        <f t="shared" si="46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70</v>
      </c>
      <c r="E42" t="s">
        <v>102</v>
      </c>
      <c r="F42" t="s">
        <v>103</v>
      </c>
      <c r="G42" t="s">
        <v>104</v>
      </c>
      <c r="H42" t="s">
        <v>105</v>
      </c>
      <c r="I42">
        <f>I41*J42</f>
        <v>-0.58050000000000002</v>
      </c>
      <c r="J42">
        <v>-0.45</v>
      </c>
      <c r="O42">
        <f t="shared" si="14"/>
        <v>-46807.69</v>
      </c>
      <c r="P42">
        <f t="shared" si="15"/>
        <v>-46807.69</v>
      </c>
      <c r="Q42">
        <f t="shared" si="16"/>
        <v>0</v>
      </c>
      <c r="R42">
        <f t="shared" si="17"/>
        <v>0</v>
      </c>
      <c r="S42">
        <f t="shared" si="18"/>
        <v>0</v>
      </c>
      <c r="T42">
        <f t="shared" si="19"/>
        <v>0</v>
      </c>
      <c r="U42">
        <f t="shared" si="20"/>
        <v>0</v>
      </c>
      <c r="V42">
        <f t="shared" si="21"/>
        <v>0</v>
      </c>
      <c r="W42">
        <f t="shared" si="22"/>
        <v>0</v>
      </c>
      <c r="X42">
        <f t="shared" si="23"/>
        <v>0</v>
      </c>
      <c r="Y42">
        <f t="shared" si="24"/>
        <v>0</v>
      </c>
      <c r="AA42">
        <v>39579451</v>
      </c>
      <c r="AB42">
        <f t="shared" si="25"/>
        <v>11686</v>
      </c>
      <c r="AC42">
        <f t="shared" si="47"/>
        <v>11686</v>
      </c>
      <c r="AD42">
        <f>ROUND((((ET42)-(EU42))+AE42),2)</f>
        <v>0</v>
      </c>
      <c r="AE42">
        <f>ROUND((EU42),2)</f>
        <v>0</v>
      </c>
      <c r="AF42">
        <f>ROUND((EV42),2)</f>
        <v>0</v>
      </c>
      <c r="AG42">
        <f t="shared" si="26"/>
        <v>0</v>
      </c>
      <c r="AH42">
        <f>(EW42)</f>
        <v>0</v>
      </c>
      <c r="AI42">
        <f>(EX42)</f>
        <v>0</v>
      </c>
      <c r="AJ42">
        <f t="shared" si="27"/>
        <v>0</v>
      </c>
      <c r="AK42">
        <v>11686</v>
      </c>
      <c r="AL42">
        <v>11686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111</v>
      </c>
      <c r="AU42">
        <v>64</v>
      </c>
      <c r="AV42">
        <v>1</v>
      </c>
      <c r="AW42">
        <v>1</v>
      </c>
      <c r="AZ42">
        <v>6.9</v>
      </c>
      <c r="BA42">
        <v>1</v>
      </c>
      <c r="BB42">
        <v>1</v>
      </c>
      <c r="BC42">
        <v>6.9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106</v>
      </c>
      <c r="BM42">
        <v>11001</v>
      </c>
      <c r="BN42">
        <v>0</v>
      </c>
      <c r="BO42" t="s">
        <v>3</v>
      </c>
      <c r="BP42">
        <v>0</v>
      </c>
      <c r="BQ42">
        <v>2</v>
      </c>
      <c r="BR42">
        <v>1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123</v>
      </c>
      <c r="CA42">
        <v>75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28"/>
        <v>-46807.69</v>
      </c>
      <c r="CQ42">
        <f t="shared" si="29"/>
        <v>80633.400000000009</v>
      </c>
      <c r="CR42">
        <f t="shared" si="30"/>
        <v>0</v>
      </c>
      <c r="CS42">
        <f t="shared" si="31"/>
        <v>0</v>
      </c>
      <c r="CT42">
        <f t="shared" si="32"/>
        <v>0</v>
      </c>
      <c r="CU42">
        <f t="shared" si="33"/>
        <v>0</v>
      </c>
      <c r="CV42">
        <f t="shared" si="34"/>
        <v>0</v>
      </c>
      <c r="CW42">
        <f t="shared" si="35"/>
        <v>0</v>
      </c>
      <c r="CX42">
        <f t="shared" si="36"/>
        <v>0</v>
      </c>
      <c r="CY42">
        <f t="shared" si="37"/>
        <v>0</v>
      </c>
      <c r="CZ42">
        <f t="shared" si="38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1009</v>
      </c>
      <c r="DV42" t="s">
        <v>105</v>
      </c>
      <c r="DW42" t="s">
        <v>105</v>
      </c>
      <c r="DX42">
        <v>1000</v>
      </c>
      <c r="EE42">
        <v>39174504</v>
      </c>
      <c r="EF42">
        <v>2</v>
      </c>
      <c r="EG42" t="s">
        <v>20</v>
      </c>
      <c r="EH42">
        <v>0</v>
      </c>
      <c r="EI42" t="s">
        <v>3</v>
      </c>
      <c r="EJ42">
        <v>1</v>
      </c>
      <c r="EK42">
        <v>11001</v>
      </c>
      <c r="EL42" t="s">
        <v>46</v>
      </c>
      <c r="EM42" t="s">
        <v>56</v>
      </c>
      <c r="EO42" t="s">
        <v>3</v>
      </c>
      <c r="EQ42">
        <v>0</v>
      </c>
      <c r="ER42">
        <v>11686</v>
      </c>
      <c r="ES42">
        <v>11686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39"/>
        <v>0</v>
      </c>
      <c r="FS42">
        <v>0</v>
      </c>
      <c r="FT42" t="s">
        <v>24</v>
      </c>
      <c r="FU42" t="s">
        <v>25</v>
      </c>
      <c r="FX42">
        <v>110.7</v>
      </c>
      <c r="FY42">
        <v>63.75</v>
      </c>
      <c r="GA42" t="s">
        <v>3</v>
      </c>
      <c r="GD42">
        <v>0</v>
      </c>
      <c r="GF42">
        <v>1150528328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0"/>
        <v>0</v>
      </c>
      <c r="GM42">
        <f t="shared" si="41"/>
        <v>-46807.69</v>
      </c>
      <c r="GN42">
        <f t="shared" si="42"/>
        <v>-46807.69</v>
      </c>
      <c r="GO42">
        <f t="shared" si="43"/>
        <v>0</v>
      </c>
      <c r="GP42">
        <f t="shared" si="44"/>
        <v>0</v>
      </c>
      <c r="GR42">
        <v>0</v>
      </c>
      <c r="GS42">
        <v>3</v>
      </c>
      <c r="GT42">
        <v>0</v>
      </c>
      <c r="GU42" t="s">
        <v>3</v>
      </c>
      <c r="GV42">
        <f t="shared" si="45"/>
        <v>0</v>
      </c>
      <c r="GW42">
        <v>1</v>
      </c>
      <c r="GX42">
        <f t="shared" si="46"/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71</v>
      </c>
      <c r="E43" t="s">
        <v>107</v>
      </c>
      <c r="F43" t="s">
        <v>108</v>
      </c>
      <c r="G43" t="s">
        <v>109</v>
      </c>
      <c r="H43" t="s">
        <v>105</v>
      </c>
      <c r="I43">
        <f>I41*J43</f>
        <v>0.58050000000000002</v>
      </c>
      <c r="J43">
        <v>0.45</v>
      </c>
      <c r="O43">
        <f t="shared" si="14"/>
        <v>69409.64</v>
      </c>
      <c r="P43">
        <f t="shared" si="15"/>
        <v>69409.64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39579451</v>
      </c>
      <c r="AB43">
        <f t="shared" si="25"/>
        <v>17328.8</v>
      </c>
      <c r="AC43">
        <f t="shared" si="47"/>
        <v>17328.8</v>
      </c>
      <c r="AD43">
        <f>ROUND((((ET43)-(EU43))+AE43),2)</f>
        <v>0</v>
      </c>
      <c r="AE43">
        <f>ROUND((EU43),2)</f>
        <v>0</v>
      </c>
      <c r="AF43">
        <f>ROUND((EV43),2)</f>
        <v>0</v>
      </c>
      <c r="AG43">
        <f t="shared" si="26"/>
        <v>0</v>
      </c>
      <c r="AH43">
        <f>(EW43)</f>
        <v>0</v>
      </c>
      <c r="AI43">
        <f>(EX43)</f>
        <v>0</v>
      </c>
      <c r="AJ43">
        <f t="shared" si="27"/>
        <v>0</v>
      </c>
      <c r="AK43">
        <v>17328.8</v>
      </c>
      <c r="AL43">
        <v>17328.8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111</v>
      </c>
      <c r="AU43">
        <v>64</v>
      </c>
      <c r="AV43">
        <v>1</v>
      </c>
      <c r="AW43">
        <v>1</v>
      </c>
      <c r="AZ43">
        <v>6.9</v>
      </c>
      <c r="BA43">
        <v>1</v>
      </c>
      <c r="BB43">
        <v>1</v>
      </c>
      <c r="BC43">
        <v>6.9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1</v>
      </c>
      <c r="BJ43" t="s">
        <v>110</v>
      </c>
      <c r="BM43">
        <v>11001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123</v>
      </c>
      <c r="CA43">
        <v>75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28"/>
        <v>69409.64</v>
      </c>
      <c r="CQ43">
        <f t="shared" si="29"/>
        <v>119568.72</v>
      </c>
      <c r="CR43">
        <f t="shared" si="30"/>
        <v>0</v>
      </c>
      <c r="CS43">
        <f t="shared" si="31"/>
        <v>0</v>
      </c>
      <c r="CT43">
        <f t="shared" si="32"/>
        <v>0</v>
      </c>
      <c r="CU43">
        <f t="shared" si="33"/>
        <v>0</v>
      </c>
      <c r="CV43">
        <f t="shared" si="34"/>
        <v>0</v>
      </c>
      <c r="CW43">
        <f t="shared" si="35"/>
        <v>0</v>
      </c>
      <c r="CX43">
        <f t="shared" si="36"/>
        <v>0</v>
      </c>
      <c r="CY43">
        <f t="shared" si="37"/>
        <v>0</v>
      </c>
      <c r="CZ43">
        <f t="shared" si="38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1009</v>
      </c>
      <c r="DV43" t="s">
        <v>105</v>
      </c>
      <c r="DW43" t="s">
        <v>105</v>
      </c>
      <c r="DX43">
        <v>1000</v>
      </c>
      <c r="EE43">
        <v>39174504</v>
      </c>
      <c r="EF43">
        <v>2</v>
      </c>
      <c r="EG43" t="s">
        <v>20</v>
      </c>
      <c r="EH43">
        <v>0</v>
      </c>
      <c r="EI43" t="s">
        <v>3</v>
      </c>
      <c r="EJ43">
        <v>1</v>
      </c>
      <c r="EK43">
        <v>11001</v>
      </c>
      <c r="EL43" t="s">
        <v>46</v>
      </c>
      <c r="EM43" t="s">
        <v>56</v>
      </c>
      <c r="EO43" t="s">
        <v>3</v>
      </c>
      <c r="EQ43">
        <v>0</v>
      </c>
      <c r="ER43">
        <v>17328.8</v>
      </c>
      <c r="ES43">
        <v>17328.8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39"/>
        <v>0</v>
      </c>
      <c r="FS43">
        <v>0</v>
      </c>
      <c r="FT43" t="s">
        <v>24</v>
      </c>
      <c r="FU43" t="s">
        <v>25</v>
      </c>
      <c r="FX43">
        <v>110.7</v>
      </c>
      <c r="FY43">
        <v>63.75</v>
      </c>
      <c r="GA43" t="s">
        <v>3</v>
      </c>
      <c r="GD43">
        <v>0</v>
      </c>
      <c r="GF43">
        <v>-566653352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0"/>
        <v>0</v>
      </c>
      <c r="GM43">
        <f t="shared" si="41"/>
        <v>69409.64</v>
      </c>
      <c r="GN43">
        <f t="shared" si="42"/>
        <v>69409.64</v>
      </c>
      <c r="GO43">
        <f t="shared" si="43"/>
        <v>0</v>
      </c>
      <c r="GP43">
        <f t="shared" si="44"/>
        <v>0</v>
      </c>
      <c r="GR43">
        <v>0</v>
      </c>
      <c r="GS43">
        <v>3</v>
      </c>
      <c r="GT43">
        <v>0</v>
      </c>
      <c r="GU43" t="s">
        <v>3</v>
      </c>
      <c r="GV43">
        <f t="shared" si="45"/>
        <v>0</v>
      </c>
      <c r="GW43">
        <v>1</v>
      </c>
      <c r="GX43">
        <f t="shared" si="46"/>
        <v>0</v>
      </c>
      <c r="HA43">
        <v>0</v>
      </c>
      <c r="HB43">
        <v>0</v>
      </c>
      <c r="IK43">
        <v>0</v>
      </c>
    </row>
    <row r="44" spans="1:245" x14ac:dyDescent="0.2">
      <c r="A44">
        <v>17</v>
      </c>
      <c r="B44">
        <v>1</v>
      </c>
      <c r="C44">
        <f>ROW(SmtRes!A84)</f>
        <v>84</v>
      </c>
      <c r="D44">
        <f>ROW(EtalonRes!A88)</f>
        <v>88</v>
      </c>
      <c r="E44" t="s">
        <v>111</v>
      </c>
      <c r="F44" t="s">
        <v>112</v>
      </c>
      <c r="G44" t="s">
        <v>113</v>
      </c>
      <c r="H44" t="s">
        <v>15</v>
      </c>
      <c r="I44">
        <f>ROUND(129/100,9)</f>
        <v>1.29</v>
      </c>
      <c r="J44">
        <v>0</v>
      </c>
      <c r="O44">
        <f t="shared" si="14"/>
        <v>244535.92</v>
      </c>
      <c r="P44">
        <f t="shared" si="15"/>
        <v>223250.34</v>
      </c>
      <c r="Q44">
        <f t="shared" si="16"/>
        <v>268.72000000000003</v>
      </c>
      <c r="R44">
        <f t="shared" si="17"/>
        <v>194.84</v>
      </c>
      <c r="S44">
        <f t="shared" si="18"/>
        <v>21016.86</v>
      </c>
      <c r="T44">
        <f t="shared" si="19"/>
        <v>0</v>
      </c>
      <c r="U44">
        <f t="shared" si="20"/>
        <v>348.50381999999996</v>
      </c>
      <c r="V44">
        <f t="shared" si="21"/>
        <v>2.789625</v>
      </c>
      <c r="W44">
        <f t="shared" si="22"/>
        <v>0</v>
      </c>
      <c r="X44">
        <f t="shared" si="23"/>
        <v>23544.99</v>
      </c>
      <c r="Y44">
        <f t="shared" si="24"/>
        <v>13575.49</v>
      </c>
      <c r="AA44">
        <v>39579451</v>
      </c>
      <c r="AB44">
        <f t="shared" si="25"/>
        <v>27472.86</v>
      </c>
      <c r="AC44">
        <f t="shared" si="47"/>
        <v>25081.49</v>
      </c>
      <c r="AD44">
        <f>ROUND(((((ET44*1.25))-((EU44*1.25)))+AE44),2)</f>
        <v>30.19</v>
      </c>
      <c r="AE44">
        <f>ROUND(((EU44*1.25)),2)</f>
        <v>21.89</v>
      </c>
      <c r="AF44">
        <f>ROUND(((EV44*1.15)),2)</f>
        <v>2361.1799999999998</v>
      </c>
      <c r="AG44">
        <f t="shared" si="26"/>
        <v>0</v>
      </c>
      <c r="AH44">
        <f>((EW44*1.15))</f>
        <v>270.15799999999996</v>
      </c>
      <c r="AI44">
        <f>((EX44*1.25))</f>
        <v>2.1625000000000001</v>
      </c>
      <c r="AJ44">
        <f t="shared" si="27"/>
        <v>0</v>
      </c>
      <c r="AK44">
        <v>27158.84</v>
      </c>
      <c r="AL44">
        <v>25081.49</v>
      </c>
      <c r="AM44">
        <v>24.15</v>
      </c>
      <c r="AN44">
        <v>17.510000000000002</v>
      </c>
      <c r="AO44">
        <v>2053.1999999999998</v>
      </c>
      <c r="AP44">
        <v>0</v>
      </c>
      <c r="AQ44">
        <v>234.92</v>
      </c>
      <c r="AR44">
        <v>1.73</v>
      </c>
      <c r="AS44">
        <v>0</v>
      </c>
      <c r="AT44">
        <v>111</v>
      </c>
      <c r="AU44">
        <v>64</v>
      </c>
      <c r="AV44">
        <v>1</v>
      </c>
      <c r="AW44">
        <v>1</v>
      </c>
      <c r="AZ44">
        <v>6.9</v>
      </c>
      <c r="BA44">
        <v>6.9</v>
      </c>
      <c r="BB44">
        <v>6.9</v>
      </c>
      <c r="BC44">
        <v>6.9</v>
      </c>
      <c r="BD44" t="s">
        <v>3</v>
      </c>
      <c r="BE44" t="s">
        <v>3</v>
      </c>
      <c r="BF44" t="s">
        <v>3</v>
      </c>
      <c r="BG44" t="s">
        <v>3</v>
      </c>
      <c r="BH44">
        <v>0</v>
      </c>
      <c r="BI44">
        <v>1</v>
      </c>
      <c r="BJ44" t="s">
        <v>114</v>
      </c>
      <c r="BM44">
        <v>11001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6.9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123</v>
      </c>
      <c r="CA44">
        <v>75</v>
      </c>
      <c r="CF44">
        <v>0</v>
      </c>
      <c r="CG44">
        <v>0</v>
      </c>
      <c r="CM44">
        <v>0</v>
      </c>
      <c r="CN44" t="s">
        <v>787</v>
      </c>
      <c r="CO44">
        <v>0</v>
      </c>
      <c r="CP44">
        <f t="shared" si="28"/>
        <v>244535.91999999998</v>
      </c>
      <c r="CQ44">
        <f t="shared" si="29"/>
        <v>173062.28100000002</v>
      </c>
      <c r="CR44">
        <f t="shared" si="30"/>
        <v>208.31100000000001</v>
      </c>
      <c r="CS44">
        <f t="shared" si="31"/>
        <v>151.04100000000003</v>
      </c>
      <c r="CT44">
        <f t="shared" si="32"/>
        <v>16292.142</v>
      </c>
      <c r="CU44">
        <f t="shared" si="33"/>
        <v>0</v>
      </c>
      <c r="CV44">
        <f t="shared" si="34"/>
        <v>270.15799999999996</v>
      </c>
      <c r="CW44">
        <f t="shared" si="35"/>
        <v>2.1625000000000001</v>
      </c>
      <c r="CX44">
        <f t="shared" si="36"/>
        <v>0</v>
      </c>
      <c r="CY44">
        <f t="shared" si="37"/>
        <v>23544.987000000001</v>
      </c>
      <c r="CZ44">
        <f t="shared" si="38"/>
        <v>13575.488000000001</v>
      </c>
      <c r="DC44" t="s">
        <v>3</v>
      </c>
      <c r="DD44" t="s">
        <v>3</v>
      </c>
      <c r="DE44" t="s">
        <v>78</v>
      </c>
      <c r="DF44" t="s">
        <v>78</v>
      </c>
      <c r="DG44" t="s">
        <v>79</v>
      </c>
      <c r="DH44" t="s">
        <v>3</v>
      </c>
      <c r="DI44" t="s">
        <v>79</v>
      </c>
      <c r="DJ44" t="s">
        <v>78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1005</v>
      </c>
      <c r="DV44" t="s">
        <v>15</v>
      </c>
      <c r="DW44" t="s">
        <v>15</v>
      </c>
      <c r="DX44">
        <v>100</v>
      </c>
      <c r="EE44">
        <v>39174504</v>
      </c>
      <c r="EF44">
        <v>2</v>
      </c>
      <c r="EG44" t="s">
        <v>20</v>
      </c>
      <c r="EH44">
        <v>0</v>
      </c>
      <c r="EI44" t="s">
        <v>3</v>
      </c>
      <c r="EJ44">
        <v>1</v>
      </c>
      <c r="EK44">
        <v>11001</v>
      </c>
      <c r="EL44" t="s">
        <v>46</v>
      </c>
      <c r="EM44" t="s">
        <v>56</v>
      </c>
      <c r="EO44" t="s">
        <v>80</v>
      </c>
      <c r="EQ44">
        <v>0</v>
      </c>
      <c r="ER44">
        <v>27158.84</v>
      </c>
      <c r="ES44">
        <v>25081.49</v>
      </c>
      <c r="ET44">
        <v>24.15</v>
      </c>
      <c r="EU44">
        <v>17.510000000000002</v>
      </c>
      <c r="EV44">
        <v>2053.1999999999998</v>
      </c>
      <c r="EW44">
        <v>234.92</v>
      </c>
      <c r="EX44">
        <v>1.73</v>
      </c>
      <c r="EY44">
        <v>0</v>
      </c>
      <c r="FQ44">
        <v>0</v>
      </c>
      <c r="FR44">
        <f t="shared" si="39"/>
        <v>0</v>
      </c>
      <c r="FS44">
        <v>0</v>
      </c>
      <c r="FT44" t="s">
        <v>24</v>
      </c>
      <c r="FU44" t="s">
        <v>25</v>
      </c>
      <c r="FX44">
        <v>110.7</v>
      </c>
      <c r="FY44">
        <v>63.75</v>
      </c>
      <c r="GA44" t="s">
        <v>3</v>
      </c>
      <c r="GD44">
        <v>0</v>
      </c>
      <c r="GF44">
        <v>828904307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0"/>
        <v>0</v>
      </c>
      <c r="GM44">
        <f t="shared" si="41"/>
        <v>281656.40000000002</v>
      </c>
      <c r="GN44">
        <f t="shared" si="42"/>
        <v>281656.40000000002</v>
      </c>
      <c r="GO44">
        <f t="shared" si="43"/>
        <v>0</v>
      </c>
      <c r="GP44">
        <f t="shared" si="44"/>
        <v>0</v>
      </c>
      <c r="GR44">
        <v>0</v>
      </c>
      <c r="GS44">
        <v>3</v>
      </c>
      <c r="GT44">
        <v>0</v>
      </c>
      <c r="GU44" t="s">
        <v>3</v>
      </c>
      <c r="GV44">
        <f t="shared" si="45"/>
        <v>0</v>
      </c>
      <c r="GW44">
        <v>1</v>
      </c>
      <c r="GX44">
        <f t="shared" si="46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83</v>
      </c>
      <c r="E45" t="s">
        <v>115</v>
      </c>
      <c r="F45" t="s">
        <v>116</v>
      </c>
      <c r="G45" t="s">
        <v>117</v>
      </c>
      <c r="H45" t="s">
        <v>118</v>
      </c>
      <c r="I45">
        <f>I44*J45</f>
        <v>17.802</v>
      </c>
      <c r="J45">
        <v>13.799999999999999</v>
      </c>
      <c r="O45">
        <f t="shared" si="14"/>
        <v>1873.22</v>
      </c>
      <c r="P45">
        <f t="shared" si="15"/>
        <v>1873.22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39579451</v>
      </c>
      <c r="AB45">
        <f t="shared" si="25"/>
        <v>15.25</v>
      </c>
      <c r="AC45">
        <f t="shared" si="47"/>
        <v>15.25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 t="shared" si="26"/>
        <v>0</v>
      </c>
      <c r="AH45">
        <f>(EW45)</f>
        <v>0</v>
      </c>
      <c r="AI45">
        <f>(EX45)</f>
        <v>0</v>
      </c>
      <c r="AJ45">
        <f t="shared" si="27"/>
        <v>0</v>
      </c>
      <c r="AK45">
        <v>15.25</v>
      </c>
      <c r="AL45">
        <v>15.25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111</v>
      </c>
      <c r="AU45">
        <v>64</v>
      </c>
      <c r="AV45">
        <v>1</v>
      </c>
      <c r="AW45">
        <v>1</v>
      </c>
      <c r="AZ45">
        <v>6.9</v>
      </c>
      <c r="BA45">
        <v>1</v>
      </c>
      <c r="BB45">
        <v>1</v>
      </c>
      <c r="BC45">
        <v>6.9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119</v>
      </c>
      <c r="BM45">
        <v>11001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123</v>
      </c>
      <c r="CA45">
        <v>75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28"/>
        <v>1873.22</v>
      </c>
      <c r="CQ45">
        <f t="shared" si="29"/>
        <v>105.22500000000001</v>
      </c>
      <c r="CR45">
        <f t="shared" si="30"/>
        <v>0</v>
      </c>
      <c r="CS45">
        <f t="shared" si="31"/>
        <v>0</v>
      </c>
      <c r="CT45">
        <f t="shared" si="32"/>
        <v>0</v>
      </c>
      <c r="CU45">
        <f t="shared" si="33"/>
        <v>0</v>
      </c>
      <c r="CV45">
        <f t="shared" si="34"/>
        <v>0</v>
      </c>
      <c r="CW45">
        <f t="shared" si="35"/>
        <v>0</v>
      </c>
      <c r="CX45">
        <f t="shared" si="36"/>
        <v>0</v>
      </c>
      <c r="CY45">
        <f t="shared" si="37"/>
        <v>0</v>
      </c>
      <c r="CZ45">
        <f t="shared" si="38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118</v>
      </c>
      <c r="DW45" t="s">
        <v>118</v>
      </c>
      <c r="DX45">
        <v>1</v>
      </c>
      <c r="EE45">
        <v>39174504</v>
      </c>
      <c r="EF45">
        <v>2</v>
      </c>
      <c r="EG45" t="s">
        <v>20</v>
      </c>
      <c r="EH45">
        <v>0</v>
      </c>
      <c r="EI45" t="s">
        <v>3</v>
      </c>
      <c r="EJ45">
        <v>1</v>
      </c>
      <c r="EK45">
        <v>11001</v>
      </c>
      <c r="EL45" t="s">
        <v>46</v>
      </c>
      <c r="EM45" t="s">
        <v>56</v>
      </c>
      <c r="EO45" t="s">
        <v>3</v>
      </c>
      <c r="EQ45">
        <v>0</v>
      </c>
      <c r="ER45">
        <v>15.25</v>
      </c>
      <c r="ES45">
        <v>15.25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39"/>
        <v>0</v>
      </c>
      <c r="FS45">
        <v>0</v>
      </c>
      <c r="FT45" t="s">
        <v>24</v>
      </c>
      <c r="FU45" t="s">
        <v>25</v>
      </c>
      <c r="FX45">
        <v>110.7</v>
      </c>
      <c r="FY45">
        <v>63.75</v>
      </c>
      <c r="GA45" t="s">
        <v>3</v>
      </c>
      <c r="GD45">
        <v>0</v>
      </c>
      <c r="GF45">
        <v>303141801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0"/>
        <v>0</v>
      </c>
      <c r="GM45">
        <f t="shared" si="41"/>
        <v>1873.22</v>
      </c>
      <c r="GN45">
        <f t="shared" si="42"/>
        <v>1873.22</v>
      </c>
      <c r="GO45">
        <f t="shared" si="43"/>
        <v>0</v>
      </c>
      <c r="GP45">
        <f t="shared" si="44"/>
        <v>0</v>
      </c>
      <c r="GR45">
        <v>0</v>
      </c>
      <c r="GS45">
        <v>3</v>
      </c>
      <c r="GT45">
        <v>0</v>
      </c>
      <c r="GU45" t="s">
        <v>3</v>
      </c>
      <c r="GV45">
        <f t="shared" si="45"/>
        <v>0</v>
      </c>
      <c r="GW45">
        <v>1</v>
      </c>
      <c r="GX45">
        <f t="shared" si="46"/>
        <v>0</v>
      </c>
      <c r="HA45">
        <v>0</v>
      </c>
      <c r="HB45">
        <v>0</v>
      </c>
      <c r="IK45">
        <v>0</v>
      </c>
    </row>
    <row r="46" spans="1:245" x14ac:dyDescent="0.2">
      <c r="A46">
        <v>18</v>
      </c>
      <c r="B46">
        <v>1</v>
      </c>
      <c r="C46">
        <v>84</v>
      </c>
      <c r="E46" t="s">
        <v>120</v>
      </c>
      <c r="F46" t="s">
        <v>121</v>
      </c>
      <c r="G46" t="s">
        <v>122</v>
      </c>
      <c r="H46" t="s">
        <v>105</v>
      </c>
      <c r="I46">
        <f>I44*J46</f>
        <v>0.17802000000000001</v>
      </c>
      <c r="J46">
        <v>0.13800000000000001</v>
      </c>
      <c r="O46">
        <f t="shared" si="14"/>
        <v>0</v>
      </c>
      <c r="P46">
        <f t="shared" si="15"/>
        <v>0</v>
      </c>
      <c r="Q46">
        <f t="shared" si="16"/>
        <v>0</v>
      </c>
      <c r="R46">
        <f t="shared" si="17"/>
        <v>0</v>
      </c>
      <c r="S46">
        <f t="shared" si="18"/>
        <v>0</v>
      </c>
      <c r="T46">
        <f t="shared" si="19"/>
        <v>0</v>
      </c>
      <c r="U46">
        <f t="shared" si="20"/>
        <v>0</v>
      </c>
      <c r="V46">
        <f t="shared" si="21"/>
        <v>0</v>
      </c>
      <c r="W46">
        <f t="shared" si="22"/>
        <v>0</v>
      </c>
      <c r="X46">
        <f t="shared" si="23"/>
        <v>0</v>
      </c>
      <c r="Y46">
        <f t="shared" si="24"/>
        <v>0</v>
      </c>
      <c r="AA46">
        <v>39579451</v>
      </c>
      <c r="AB46">
        <f t="shared" si="25"/>
        <v>0</v>
      </c>
      <c r="AC46">
        <f t="shared" si="47"/>
        <v>0</v>
      </c>
      <c r="AD46">
        <f>ROUND((((ET46)-(EU46))+AE46),2)</f>
        <v>0</v>
      </c>
      <c r="AE46">
        <f>ROUND((EU46),2)</f>
        <v>0</v>
      </c>
      <c r="AF46">
        <f>ROUND((EV46),2)</f>
        <v>0</v>
      </c>
      <c r="AG46">
        <f t="shared" si="26"/>
        <v>0</v>
      </c>
      <c r="AH46">
        <f>(EW46)</f>
        <v>0</v>
      </c>
      <c r="AI46">
        <f>(EX46)</f>
        <v>0</v>
      </c>
      <c r="AJ46">
        <f t="shared" si="27"/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111</v>
      </c>
      <c r="AU46">
        <v>64</v>
      </c>
      <c r="AV46">
        <v>1</v>
      </c>
      <c r="AW46">
        <v>1</v>
      </c>
      <c r="AZ46">
        <v>6.9</v>
      </c>
      <c r="BA46">
        <v>1</v>
      </c>
      <c r="BB46">
        <v>1</v>
      </c>
      <c r="BC46">
        <v>6.9</v>
      </c>
      <c r="BD46" t="s">
        <v>3</v>
      </c>
      <c r="BE46" t="s">
        <v>3</v>
      </c>
      <c r="BF46" t="s">
        <v>3</v>
      </c>
      <c r="BG46" t="s">
        <v>3</v>
      </c>
      <c r="BH46">
        <v>3</v>
      </c>
      <c r="BI46">
        <v>1</v>
      </c>
      <c r="BJ46" t="s">
        <v>3</v>
      </c>
      <c r="BM46">
        <v>11001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123</v>
      </c>
      <c r="CA46">
        <v>75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 t="shared" si="28"/>
        <v>0</v>
      </c>
      <c r="CQ46">
        <f t="shared" si="29"/>
        <v>0</v>
      </c>
      <c r="CR46">
        <f t="shared" si="30"/>
        <v>0</v>
      </c>
      <c r="CS46">
        <f t="shared" si="31"/>
        <v>0</v>
      </c>
      <c r="CT46">
        <f t="shared" si="32"/>
        <v>0</v>
      </c>
      <c r="CU46">
        <f t="shared" si="33"/>
        <v>0</v>
      </c>
      <c r="CV46">
        <f t="shared" si="34"/>
        <v>0</v>
      </c>
      <c r="CW46">
        <f t="shared" si="35"/>
        <v>0</v>
      </c>
      <c r="CX46">
        <f t="shared" si="36"/>
        <v>0</v>
      </c>
      <c r="CY46">
        <f t="shared" si="37"/>
        <v>0</v>
      </c>
      <c r="CZ46">
        <f t="shared" si="38"/>
        <v>0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1009</v>
      </c>
      <c r="DV46" t="s">
        <v>105</v>
      </c>
      <c r="DW46" t="s">
        <v>105</v>
      </c>
      <c r="DX46">
        <v>1000</v>
      </c>
      <c r="EE46">
        <v>39174504</v>
      </c>
      <c r="EF46">
        <v>2</v>
      </c>
      <c r="EG46" t="s">
        <v>20</v>
      </c>
      <c r="EH46">
        <v>0</v>
      </c>
      <c r="EI46" t="s">
        <v>3</v>
      </c>
      <c r="EJ46">
        <v>1</v>
      </c>
      <c r="EK46">
        <v>11001</v>
      </c>
      <c r="EL46" t="s">
        <v>46</v>
      </c>
      <c r="EM46" t="s">
        <v>56</v>
      </c>
      <c r="EO46" t="s">
        <v>3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0</v>
      </c>
      <c r="EX46">
        <v>0</v>
      </c>
      <c r="FQ46">
        <v>0</v>
      </c>
      <c r="FR46">
        <f t="shared" si="39"/>
        <v>0</v>
      </c>
      <c r="FS46">
        <v>0</v>
      </c>
      <c r="FT46" t="s">
        <v>24</v>
      </c>
      <c r="FU46" t="s">
        <v>25</v>
      </c>
      <c r="FX46">
        <v>110.7</v>
      </c>
      <c r="FY46">
        <v>63.75</v>
      </c>
      <c r="GA46" t="s">
        <v>3</v>
      </c>
      <c r="GD46">
        <v>0</v>
      </c>
      <c r="GF46">
        <v>-1212923053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0"/>
        <v>0</v>
      </c>
      <c r="GM46">
        <f t="shared" si="41"/>
        <v>0</v>
      </c>
      <c r="GN46">
        <f t="shared" si="42"/>
        <v>0</v>
      </c>
      <c r="GO46">
        <f t="shared" si="43"/>
        <v>0</v>
      </c>
      <c r="GP46">
        <f t="shared" si="44"/>
        <v>0</v>
      </c>
      <c r="GR46">
        <v>0</v>
      </c>
      <c r="GS46">
        <v>3</v>
      </c>
      <c r="GT46">
        <v>0</v>
      </c>
      <c r="GU46" t="s">
        <v>3</v>
      </c>
      <c r="GV46">
        <f t="shared" si="45"/>
        <v>0</v>
      </c>
      <c r="GW46">
        <v>1</v>
      </c>
      <c r="GX46">
        <f t="shared" si="46"/>
        <v>0</v>
      </c>
      <c r="HA46">
        <v>0</v>
      </c>
      <c r="HB46">
        <v>0</v>
      </c>
      <c r="IK46">
        <v>0</v>
      </c>
    </row>
    <row r="47" spans="1:245" x14ac:dyDescent="0.2">
      <c r="A47">
        <v>17</v>
      </c>
      <c r="B47">
        <v>1</v>
      </c>
      <c r="C47">
        <f>ROW(SmtRes!A92)</f>
        <v>92</v>
      </c>
      <c r="D47">
        <f>ROW(EtalonRes!A94)</f>
        <v>94</v>
      </c>
      <c r="E47" t="s">
        <v>123</v>
      </c>
      <c r="F47" t="s">
        <v>124</v>
      </c>
      <c r="G47" t="s">
        <v>125</v>
      </c>
      <c r="H47" t="s">
        <v>44</v>
      </c>
      <c r="I47">
        <f>ROUND(38/100,9)</f>
        <v>0.38</v>
      </c>
      <c r="J47">
        <v>0</v>
      </c>
      <c r="O47">
        <f t="shared" si="14"/>
        <v>701.1</v>
      </c>
      <c r="P47">
        <f t="shared" si="15"/>
        <v>0</v>
      </c>
      <c r="Q47">
        <f t="shared" si="16"/>
        <v>18.04</v>
      </c>
      <c r="R47">
        <f t="shared" si="17"/>
        <v>4.54</v>
      </c>
      <c r="S47">
        <f t="shared" si="18"/>
        <v>683.06</v>
      </c>
      <c r="T47">
        <f t="shared" si="19"/>
        <v>0</v>
      </c>
      <c r="U47">
        <f t="shared" si="20"/>
        <v>10.409339999999998</v>
      </c>
      <c r="V47">
        <f t="shared" si="21"/>
        <v>5.2250000000000005E-2</v>
      </c>
      <c r="W47">
        <f t="shared" si="22"/>
        <v>0</v>
      </c>
      <c r="X47">
        <f t="shared" si="23"/>
        <v>763.24</v>
      </c>
      <c r="Y47">
        <f t="shared" si="24"/>
        <v>440.06</v>
      </c>
      <c r="AA47">
        <v>39579451</v>
      </c>
      <c r="AB47">
        <f t="shared" si="25"/>
        <v>267.39</v>
      </c>
      <c r="AC47">
        <f t="shared" si="47"/>
        <v>0</v>
      </c>
      <c r="AD47">
        <f>ROUND(((((ET47*1.25))-((EU47*1.25)))+AE47),2)</f>
        <v>6.88</v>
      </c>
      <c r="AE47">
        <f>ROUND(((EU47*1.25)),2)</f>
        <v>1.73</v>
      </c>
      <c r="AF47">
        <f>ROUND(((EV47*1.15)),2)</f>
        <v>260.51</v>
      </c>
      <c r="AG47">
        <f t="shared" si="26"/>
        <v>0</v>
      </c>
      <c r="AH47">
        <f>((EW47*1.15))</f>
        <v>27.392999999999997</v>
      </c>
      <c r="AI47">
        <f>((EX47*1.25))</f>
        <v>0.13750000000000001</v>
      </c>
      <c r="AJ47">
        <f t="shared" si="27"/>
        <v>0</v>
      </c>
      <c r="AK47">
        <v>232.03</v>
      </c>
      <c r="AL47">
        <v>0</v>
      </c>
      <c r="AM47">
        <v>5.5</v>
      </c>
      <c r="AN47">
        <v>1.38</v>
      </c>
      <c r="AO47">
        <v>226.53</v>
      </c>
      <c r="AP47">
        <v>0</v>
      </c>
      <c r="AQ47">
        <v>23.82</v>
      </c>
      <c r="AR47">
        <v>0.11</v>
      </c>
      <c r="AS47">
        <v>0</v>
      </c>
      <c r="AT47">
        <v>111</v>
      </c>
      <c r="AU47">
        <v>64</v>
      </c>
      <c r="AV47">
        <v>1</v>
      </c>
      <c r="AW47">
        <v>1</v>
      </c>
      <c r="AZ47">
        <v>6.9</v>
      </c>
      <c r="BA47">
        <v>6.9</v>
      </c>
      <c r="BB47">
        <v>6.9</v>
      </c>
      <c r="BC47">
        <v>6.9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1</v>
      </c>
      <c r="BJ47" t="s">
        <v>126</v>
      </c>
      <c r="BM47">
        <v>11001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6.9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123</v>
      </c>
      <c r="CA47">
        <v>75</v>
      </c>
      <c r="CF47">
        <v>0</v>
      </c>
      <c r="CG47">
        <v>0</v>
      </c>
      <c r="CM47">
        <v>0</v>
      </c>
      <c r="CN47" t="s">
        <v>787</v>
      </c>
      <c r="CO47">
        <v>0</v>
      </c>
      <c r="CP47">
        <f t="shared" si="28"/>
        <v>701.09999999999991</v>
      </c>
      <c r="CQ47">
        <f t="shared" si="29"/>
        <v>0</v>
      </c>
      <c r="CR47">
        <f t="shared" si="30"/>
        <v>47.472000000000001</v>
      </c>
      <c r="CS47">
        <f t="shared" si="31"/>
        <v>11.937000000000001</v>
      </c>
      <c r="CT47">
        <f t="shared" si="32"/>
        <v>1797.519</v>
      </c>
      <c r="CU47">
        <f t="shared" si="33"/>
        <v>0</v>
      </c>
      <c r="CV47">
        <f t="shared" si="34"/>
        <v>27.392999999999997</v>
      </c>
      <c r="CW47">
        <f t="shared" si="35"/>
        <v>0.13750000000000001</v>
      </c>
      <c r="CX47">
        <f t="shared" si="36"/>
        <v>0</v>
      </c>
      <c r="CY47">
        <f t="shared" si="37"/>
        <v>763.23599999999988</v>
      </c>
      <c r="CZ47">
        <f t="shared" si="38"/>
        <v>440.06399999999996</v>
      </c>
      <c r="DC47" t="s">
        <v>3</v>
      </c>
      <c r="DD47" t="s">
        <v>3</v>
      </c>
      <c r="DE47" t="s">
        <v>78</v>
      </c>
      <c r="DF47" t="s">
        <v>78</v>
      </c>
      <c r="DG47" t="s">
        <v>79</v>
      </c>
      <c r="DH47" t="s">
        <v>3</v>
      </c>
      <c r="DI47" t="s">
        <v>79</v>
      </c>
      <c r="DJ47" t="s">
        <v>78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1003</v>
      </c>
      <c r="DV47" t="s">
        <v>44</v>
      </c>
      <c r="DW47" t="s">
        <v>44</v>
      </c>
      <c r="DX47">
        <v>100</v>
      </c>
      <c r="EE47">
        <v>39174504</v>
      </c>
      <c r="EF47">
        <v>2</v>
      </c>
      <c r="EG47" t="s">
        <v>20</v>
      </c>
      <c r="EH47">
        <v>0</v>
      </c>
      <c r="EI47" t="s">
        <v>3</v>
      </c>
      <c r="EJ47">
        <v>1</v>
      </c>
      <c r="EK47">
        <v>11001</v>
      </c>
      <c r="EL47" t="s">
        <v>46</v>
      </c>
      <c r="EM47" t="s">
        <v>56</v>
      </c>
      <c r="EO47" t="s">
        <v>80</v>
      </c>
      <c r="EQ47">
        <v>0</v>
      </c>
      <c r="ER47">
        <v>232.03</v>
      </c>
      <c r="ES47">
        <v>0</v>
      </c>
      <c r="ET47">
        <v>5.5</v>
      </c>
      <c r="EU47">
        <v>1.38</v>
      </c>
      <c r="EV47">
        <v>226.53</v>
      </c>
      <c r="EW47">
        <v>23.82</v>
      </c>
      <c r="EX47">
        <v>0.11</v>
      </c>
      <c r="EY47">
        <v>0</v>
      </c>
      <c r="FQ47">
        <v>0</v>
      </c>
      <c r="FR47">
        <f t="shared" si="39"/>
        <v>0</v>
      </c>
      <c r="FS47">
        <v>0</v>
      </c>
      <c r="FT47" t="s">
        <v>24</v>
      </c>
      <c r="FU47" t="s">
        <v>25</v>
      </c>
      <c r="FX47">
        <v>110.7</v>
      </c>
      <c r="FY47">
        <v>63.75</v>
      </c>
      <c r="GA47" t="s">
        <v>3</v>
      </c>
      <c r="GD47">
        <v>0</v>
      </c>
      <c r="GF47">
        <v>1990727352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0"/>
        <v>0</v>
      </c>
      <c r="GM47">
        <f t="shared" si="41"/>
        <v>1904.4</v>
      </c>
      <c r="GN47">
        <f t="shared" si="42"/>
        <v>1904.4</v>
      </c>
      <c r="GO47">
        <f t="shared" si="43"/>
        <v>0</v>
      </c>
      <c r="GP47">
        <f t="shared" si="44"/>
        <v>0</v>
      </c>
      <c r="GR47">
        <v>0</v>
      </c>
      <c r="GS47">
        <v>3</v>
      </c>
      <c r="GT47">
        <v>0</v>
      </c>
      <c r="GU47" t="s">
        <v>3</v>
      </c>
      <c r="GV47">
        <f t="shared" si="45"/>
        <v>0</v>
      </c>
      <c r="GW47">
        <v>1</v>
      </c>
      <c r="GX47">
        <f t="shared" si="46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90</v>
      </c>
      <c r="E48" t="s">
        <v>127</v>
      </c>
      <c r="F48" t="s">
        <v>84</v>
      </c>
      <c r="G48" t="s">
        <v>85</v>
      </c>
      <c r="H48" t="s">
        <v>86</v>
      </c>
      <c r="I48">
        <f>I47*J48</f>
        <v>6.08E-2</v>
      </c>
      <c r="J48">
        <v>0.16</v>
      </c>
      <c r="O48">
        <f t="shared" si="14"/>
        <v>218.07</v>
      </c>
      <c r="P48">
        <f t="shared" si="15"/>
        <v>218.07</v>
      </c>
      <c r="Q48">
        <f t="shared" si="16"/>
        <v>0</v>
      </c>
      <c r="R48">
        <f t="shared" si="17"/>
        <v>0</v>
      </c>
      <c r="S48">
        <f t="shared" si="18"/>
        <v>0</v>
      </c>
      <c r="T48">
        <f t="shared" si="19"/>
        <v>0</v>
      </c>
      <c r="U48">
        <f t="shared" si="20"/>
        <v>0</v>
      </c>
      <c r="V48">
        <f t="shared" si="21"/>
        <v>0</v>
      </c>
      <c r="W48">
        <f t="shared" si="22"/>
        <v>0</v>
      </c>
      <c r="X48">
        <f t="shared" si="23"/>
        <v>0</v>
      </c>
      <c r="Y48">
        <f t="shared" si="24"/>
        <v>0</v>
      </c>
      <c r="AA48">
        <v>39579451</v>
      </c>
      <c r="AB48">
        <f t="shared" si="25"/>
        <v>519.79999999999995</v>
      </c>
      <c r="AC48">
        <f t="shared" si="47"/>
        <v>519.79999999999995</v>
      </c>
      <c r="AD48">
        <f>ROUND((((ET48)-(EU48))+AE48),2)</f>
        <v>0</v>
      </c>
      <c r="AE48">
        <f t="shared" ref="AE48:AF51" si="48">ROUND((EU48),2)</f>
        <v>0</v>
      </c>
      <c r="AF48">
        <f t="shared" si="48"/>
        <v>0</v>
      </c>
      <c r="AG48">
        <f t="shared" si="26"/>
        <v>0</v>
      </c>
      <c r="AH48">
        <f t="shared" ref="AH48:AI51" si="49">(EW48)</f>
        <v>0</v>
      </c>
      <c r="AI48">
        <f t="shared" si="49"/>
        <v>0</v>
      </c>
      <c r="AJ48">
        <f t="shared" si="27"/>
        <v>0</v>
      </c>
      <c r="AK48">
        <v>519.79999999999995</v>
      </c>
      <c r="AL48">
        <v>519.79999999999995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111</v>
      </c>
      <c r="AU48">
        <v>64</v>
      </c>
      <c r="AV48">
        <v>1</v>
      </c>
      <c r="AW48">
        <v>1</v>
      </c>
      <c r="AZ48">
        <v>6.9</v>
      </c>
      <c r="BA48">
        <v>1</v>
      </c>
      <c r="BB48">
        <v>1</v>
      </c>
      <c r="BC48">
        <v>6.9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87</v>
      </c>
      <c r="BM48">
        <v>11001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123</v>
      </c>
      <c r="CA48">
        <v>75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28"/>
        <v>218.07</v>
      </c>
      <c r="CQ48">
        <f t="shared" si="29"/>
        <v>3586.62</v>
      </c>
      <c r="CR48">
        <f t="shared" si="30"/>
        <v>0</v>
      </c>
      <c r="CS48">
        <f t="shared" si="31"/>
        <v>0</v>
      </c>
      <c r="CT48">
        <f t="shared" si="32"/>
        <v>0</v>
      </c>
      <c r="CU48">
        <f t="shared" si="33"/>
        <v>0</v>
      </c>
      <c r="CV48">
        <f t="shared" si="34"/>
        <v>0</v>
      </c>
      <c r="CW48">
        <f t="shared" si="35"/>
        <v>0</v>
      </c>
      <c r="CX48">
        <f t="shared" si="36"/>
        <v>0</v>
      </c>
      <c r="CY48">
        <f t="shared" si="37"/>
        <v>0</v>
      </c>
      <c r="CZ48">
        <f t="shared" si="38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1007</v>
      </c>
      <c r="DV48" t="s">
        <v>86</v>
      </c>
      <c r="DW48" t="s">
        <v>86</v>
      </c>
      <c r="DX48">
        <v>1</v>
      </c>
      <c r="EE48">
        <v>39174504</v>
      </c>
      <c r="EF48">
        <v>2</v>
      </c>
      <c r="EG48" t="s">
        <v>20</v>
      </c>
      <c r="EH48">
        <v>0</v>
      </c>
      <c r="EI48" t="s">
        <v>3</v>
      </c>
      <c r="EJ48">
        <v>1</v>
      </c>
      <c r="EK48">
        <v>11001</v>
      </c>
      <c r="EL48" t="s">
        <v>46</v>
      </c>
      <c r="EM48" t="s">
        <v>56</v>
      </c>
      <c r="EO48" t="s">
        <v>3</v>
      </c>
      <c r="EQ48">
        <v>0</v>
      </c>
      <c r="ER48">
        <v>519.79999999999995</v>
      </c>
      <c r="ES48">
        <v>519.79999999999995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39"/>
        <v>0</v>
      </c>
      <c r="FS48">
        <v>0</v>
      </c>
      <c r="FT48" t="s">
        <v>24</v>
      </c>
      <c r="FU48" t="s">
        <v>25</v>
      </c>
      <c r="FX48">
        <v>110.7</v>
      </c>
      <c r="FY48">
        <v>63.75</v>
      </c>
      <c r="GA48" t="s">
        <v>3</v>
      </c>
      <c r="GD48">
        <v>0</v>
      </c>
      <c r="GF48">
        <v>519185539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0"/>
        <v>0</v>
      </c>
      <c r="GM48">
        <f t="shared" si="41"/>
        <v>218.07</v>
      </c>
      <c r="GN48">
        <f t="shared" si="42"/>
        <v>218.07</v>
      </c>
      <c r="GO48">
        <f t="shared" si="43"/>
        <v>0</v>
      </c>
      <c r="GP48">
        <f t="shared" si="44"/>
        <v>0</v>
      </c>
      <c r="GR48">
        <v>0</v>
      </c>
      <c r="GS48">
        <v>3</v>
      </c>
      <c r="GT48">
        <v>0</v>
      </c>
      <c r="GU48" t="s">
        <v>3</v>
      </c>
      <c r="GV48">
        <f t="shared" si="45"/>
        <v>0</v>
      </c>
      <c r="GW48">
        <v>1</v>
      </c>
      <c r="GX48">
        <f t="shared" si="46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92</v>
      </c>
      <c r="E49" t="s">
        <v>128</v>
      </c>
      <c r="F49" t="s">
        <v>129</v>
      </c>
      <c r="G49" t="s">
        <v>130</v>
      </c>
      <c r="H49" t="s">
        <v>131</v>
      </c>
      <c r="I49">
        <f>I47*J49</f>
        <v>38.380000000000003</v>
      </c>
      <c r="J49">
        <v>101</v>
      </c>
      <c r="O49">
        <f t="shared" si="14"/>
        <v>6284.23</v>
      </c>
      <c r="P49">
        <f t="shared" si="15"/>
        <v>6284.23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39579451</v>
      </c>
      <c r="AB49">
        <f t="shared" si="25"/>
        <v>23.73</v>
      </c>
      <c r="AC49">
        <f t="shared" si="47"/>
        <v>23.73</v>
      </c>
      <c r="AD49">
        <f>ROUND((((ET49)-(EU49))+AE49),2)</f>
        <v>0</v>
      </c>
      <c r="AE49">
        <f t="shared" si="48"/>
        <v>0</v>
      </c>
      <c r="AF49">
        <f t="shared" si="48"/>
        <v>0</v>
      </c>
      <c r="AG49">
        <f t="shared" si="26"/>
        <v>0</v>
      </c>
      <c r="AH49">
        <f t="shared" si="49"/>
        <v>0</v>
      </c>
      <c r="AI49">
        <f t="shared" si="49"/>
        <v>0</v>
      </c>
      <c r="AJ49">
        <f t="shared" si="27"/>
        <v>0</v>
      </c>
      <c r="AK49">
        <v>23.73</v>
      </c>
      <c r="AL49">
        <v>23.73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111</v>
      </c>
      <c r="AU49">
        <v>64</v>
      </c>
      <c r="AV49">
        <v>1</v>
      </c>
      <c r="AW49">
        <v>1</v>
      </c>
      <c r="AZ49">
        <v>6.9</v>
      </c>
      <c r="BA49">
        <v>1</v>
      </c>
      <c r="BB49">
        <v>1</v>
      </c>
      <c r="BC49">
        <v>6.9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132</v>
      </c>
      <c r="BM49">
        <v>11001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123</v>
      </c>
      <c r="CA49">
        <v>75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28"/>
        <v>6284.23</v>
      </c>
      <c r="CQ49">
        <f t="shared" si="29"/>
        <v>163.73700000000002</v>
      </c>
      <c r="CR49">
        <f t="shared" si="30"/>
        <v>0</v>
      </c>
      <c r="CS49">
        <f t="shared" si="31"/>
        <v>0</v>
      </c>
      <c r="CT49">
        <f t="shared" si="32"/>
        <v>0</v>
      </c>
      <c r="CU49">
        <f t="shared" si="33"/>
        <v>0</v>
      </c>
      <c r="CV49">
        <f t="shared" si="34"/>
        <v>0</v>
      </c>
      <c r="CW49">
        <f t="shared" si="35"/>
        <v>0</v>
      </c>
      <c r="CX49">
        <f t="shared" si="36"/>
        <v>0</v>
      </c>
      <c r="CY49">
        <f t="shared" si="37"/>
        <v>0</v>
      </c>
      <c r="CZ49">
        <f t="shared" si="38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1003</v>
      </c>
      <c r="DV49" t="s">
        <v>131</v>
      </c>
      <c r="DW49" t="s">
        <v>131</v>
      </c>
      <c r="DX49">
        <v>1</v>
      </c>
      <c r="EE49">
        <v>39174504</v>
      </c>
      <c r="EF49">
        <v>2</v>
      </c>
      <c r="EG49" t="s">
        <v>20</v>
      </c>
      <c r="EH49">
        <v>0</v>
      </c>
      <c r="EI49" t="s">
        <v>3</v>
      </c>
      <c r="EJ49">
        <v>1</v>
      </c>
      <c r="EK49">
        <v>11001</v>
      </c>
      <c r="EL49" t="s">
        <v>46</v>
      </c>
      <c r="EM49" t="s">
        <v>56</v>
      </c>
      <c r="EO49" t="s">
        <v>3</v>
      </c>
      <c r="EQ49">
        <v>0</v>
      </c>
      <c r="ER49">
        <v>23.73</v>
      </c>
      <c r="ES49">
        <v>23.73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39"/>
        <v>0</v>
      </c>
      <c r="FS49">
        <v>0</v>
      </c>
      <c r="FT49" t="s">
        <v>24</v>
      </c>
      <c r="FU49" t="s">
        <v>25</v>
      </c>
      <c r="FX49">
        <v>110.7</v>
      </c>
      <c r="FY49">
        <v>63.75</v>
      </c>
      <c r="GA49" t="s">
        <v>3</v>
      </c>
      <c r="GD49">
        <v>0</v>
      </c>
      <c r="GF49">
        <v>831643793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0"/>
        <v>0</v>
      </c>
      <c r="GM49">
        <f t="shared" si="41"/>
        <v>6284.23</v>
      </c>
      <c r="GN49">
        <f t="shared" si="42"/>
        <v>6284.23</v>
      </c>
      <c r="GO49">
        <f t="shared" si="43"/>
        <v>0</v>
      </c>
      <c r="GP49">
        <f t="shared" si="44"/>
        <v>0</v>
      </c>
      <c r="GR49">
        <v>0</v>
      </c>
      <c r="GS49">
        <v>3</v>
      </c>
      <c r="GT49">
        <v>0</v>
      </c>
      <c r="GU49" t="s">
        <v>3</v>
      </c>
      <c r="GV49">
        <f t="shared" si="45"/>
        <v>0</v>
      </c>
      <c r="GW49">
        <v>1</v>
      </c>
      <c r="GX49">
        <f t="shared" si="46"/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89</v>
      </c>
      <c r="E50" t="s">
        <v>133</v>
      </c>
      <c r="F50" t="s">
        <v>89</v>
      </c>
      <c r="G50" t="s">
        <v>90</v>
      </c>
      <c r="H50" t="s">
        <v>86</v>
      </c>
      <c r="I50">
        <f>I47*J50</f>
        <v>6.08E-2</v>
      </c>
      <c r="J50">
        <v>0.16</v>
      </c>
      <c r="O50">
        <f t="shared" si="14"/>
        <v>0</v>
      </c>
      <c r="P50">
        <f t="shared" si="15"/>
        <v>0</v>
      </c>
      <c r="Q50">
        <f t="shared" si="16"/>
        <v>0</v>
      </c>
      <c r="R50">
        <f t="shared" si="17"/>
        <v>0</v>
      </c>
      <c r="S50">
        <f t="shared" si="18"/>
        <v>0</v>
      </c>
      <c r="T50">
        <f t="shared" si="19"/>
        <v>0</v>
      </c>
      <c r="U50">
        <f t="shared" si="20"/>
        <v>0</v>
      </c>
      <c r="V50">
        <f t="shared" si="21"/>
        <v>0</v>
      </c>
      <c r="W50">
        <f t="shared" si="22"/>
        <v>0</v>
      </c>
      <c r="X50">
        <f t="shared" si="23"/>
        <v>0</v>
      </c>
      <c r="Y50">
        <f t="shared" si="24"/>
        <v>0</v>
      </c>
      <c r="AA50">
        <v>39579451</v>
      </c>
      <c r="AB50">
        <f t="shared" si="25"/>
        <v>0</v>
      </c>
      <c r="AC50">
        <f t="shared" si="47"/>
        <v>0</v>
      </c>
      <c r="AD50">
        <f>ROUND((((ET50)-(EU50))+AE50),2)</f>
        <v>0</v>
      </c>
      <c r="AE50">
        <f t="shared" si="48"/>
        <v>0</v>
      </c>
      <c r="AF50">
        <f t="shared" si="48"/>
        <v>0</v>
      </c>
      <c r="AG50">
        <f t="shared" si="26"/>
        <v>0</v>
      </c>
      <c r="AH50">
        <f t="shared" si="49"/>
        <v>0</v>
      </c>
      <c r="AI50">
        <f t="shared" si="49"/>
        <v>0</v>
      </c>
      <c r="AJ50">
        <f t="shared" si="27"/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111</v>
      </c>
      <c r="AU50">
        <v>64</v>
      </c>
      <c r="AV50">
        <v>1</v>
      </c>
      <c r="AW50">
        <v>1</v>
      </c>
      <c r="AZ50">
        <v>6.9</v>
      </c>
      <c r="BA50">
        <v>1</v>
      </c>
      <c r="BB50">
        <v>1</v>
      </c>
      <c r="BC50">
        <v>6.9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1</v>
      </c>
      <c r="BJ50" t="s">
        <v>3</v>
      </c>
      <c r="BM50">
        <v>11001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123</v>
      </c>
      <c r="CA50">
        <v>75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28"/>
        <v>0</v>
      </c>
      <c r="CQ50">
        <f t="shared" si="29"/>
        <v>0</v>
      </c>
      <c r="CR50">
        <f t="shared" si="30"/>
        <v>0</v>
      </c>
      <c r="CS50">
        <f t="shared" si="31"/>
        <v>0</v>
      </c>
      <c r="CT50">
        <f t="shared" si="32"/>
        <v>0</v>
      </c>
      <c r="CU50">
        <f t="shared" si="33"/>
        <v>0</v>
      </c>
      <c r="CV50">
        <f t="shared" si="34"/>
        <v>0</v>
      </c>
      <c r="CW50">
        <f t="shared" si="35"/>
        <v>0</v>
      </c>
      <c r="CX50">
        <f t="shared" si="36"/>
        <v>0</v>
      </c>
      <c r="CY50">
        <f t="shared" si="37"/>
        <v>0</v>
      </c>
      <c r="CZ50">
        <f t="shared" si="38"/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1007</v>
      </c>
      <c r="DV50" t="s">
        <v>86</v>
      </c>
      <c r="DW50" t="s">
        <v>86</v>
      </c>
      <c r="DX50">
        <v>1</v>
      </c>
      <c r="EE50">
        <v>39174504</v>
      </c>
      <c r="EF50">
        <v>2</v>
      </c>
      <c r="EG50" t="s">
        <v>20</v>
      </c>
      <c r="EH50">
        <v>0</v>
      </c>
      <c r="EI50" t="s">
        <v>3</v>
      </c>
      <c r="EJ50">
        <v>1</v>
      </c>
      <c r="EK50">
        <v>11001</v>
      </c>
      <c r="EL50" t="s">
        <v>46</v>
      </c>
      <c r="EM50" t="s">
        <v>56</v>
      </c>
      <c r="EO50" t="s">
        <v>3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39"/>
        <v>0</v>
      </c>
      <c r="FS50">
        <v>0</v>
      </c>
      <c r="FT50" t="s">
        <v>24</v>
      </c>
      <c r="FU50" t="s">
        <v>25</v>
      </c>
      <c r="FX50">
        <v>110.7</v>
      </c>
      <c r="FY50">
        <v>63.75</v>
      </c>
      <c r="GA50" t="s">
        <v>3</v>
      </c>
      <c r="GD50">
        <v>0</v>
      </c>
      <c r="GF50">
        <v>-2113302258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0"/>
        <v>0</v>
      </c>
      <c r="GM50">
        <f t="shared" si="41"/>
        <v>0</v>
      </c>
      <c r="GN50">
        <f t="shared" si="42"/>
        <v>0</v>
      </c>
      <c r="GO50">
        <f t="shared" si="43"/>
        <v>0</v>
      </c>
      <c r="GP50">
        <f t="shared" si="44"/>
        <v>0</v>
      </c>
      <c r="GR50">
        <v>0</v>
      </c>
      <c r="GS50">
        <v>3</v>
      </c>
      <c r="GT50">
        <v>0</v>
      </c>
      <c r="GU50" t="s">
        <v>3</v>
      </c>
      <c r="GV50">
        <f t="shared" si="45"/>
        <v>0</v>
      </c>
      <c r="GW50">
        <v>1</v>
      </c>
      <c r="GX50">
        <f t="shared" si="46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91</v>
      </c>
      <c r="E51" t="s">
        <v>134</v>
      </c>
      <c r="F51" t="s">
        <v>135</v>
      </c>
      <c r="G51" t="s">
        <v>136</v>
      </c>
      <c r="H51" t="s">
        <v>131</v>
      </c>
      <c r="I51">
        <f>I47*J51</f>
        <v>38.380000000000003</v>
      </c>
      <c r="J51">
        <v>101</v>
      </c>
      <c r="O51">
        <f t="shared" si="14"/>
        <v>0</v>
      </c>
      <c r="P51">
        <f t="shared" si="15"/>
        <v>0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39579451</v>
      </c>
      <c r="AB51">
        <f t="shared" si="25"/>
        <v>0</v>
      </c>
      <c r="AC51">
        <f t="shared" si="47"/>
        <v>0</v>
      </c>
      <c r="AD51">
        <f>ROUND((((ET51)-(EU51))+AE51),2)</f>
        <v>0</v>
      </c>
      <c r="AE51">
        <f t="shared" si="48"/>
        <v>0</v>
      </c>
      <c r="AF51">
        <f t="shared" si="48"/>
        <v>0</v>
      </c>
      <c r="AG51">
        <f t="shared" si="26"/>
        <v>0</v>
      </c>
      <c r="AH51">
        <f t="shared" si="49"/>
        <v>0</v>
      </c>
      <c r="AI51">
        <f t="shared" si="49"/>
        <v>0</v>
      </c>
      <c r="AJ51">
        <f t="shared" si="27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111</v>
      </c>
      <c r="AU51">
        <v>64</v>
      </c>
      <c r="AV51">
        <v>1</v>
      </c>
      <c r="AW51">
        <v>1</v>
      </c>
      <c r="AZ51">
        <v>6.9</v>
      </c>
      <c r="BA51">
        <v>1</v>
      </c>
      <c r="BB51">
        <v>1</v>
      </c>
      <c r="BC51">
        <v>6.9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3</v>
      </c>
      <c r="BM51">
        <v>11001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123</v>
      </c>
      <c r="CA51">
        <v>75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28"/>
        <v>0</v>
      </c>
      <c r="CQ51">
        <f t="shared" si="29"/>
        <v>0</v>
      </c>
      <c r="CR51">
        <f t="shared" si="30"/>
        <v>0</v>
      </c>
      <c r="CS51">
        <f t="shared" si="31"/>
        <v>0</v>
      </c>
      <c r="CT51">
        <f t="shared" si="32"/>
        <v>0</v>
      </c>
      <c r="CU51">
        <f t="shared" si="33"/>
        <v>0</v>
      </c>
      <c r="CV51">
        <f t="shared" si="34"/>
        <v>0</v>
      </c>
      <c r="CW51">
        <f t="shared" si="35"/>
        <v>0</v>
      </c>
      <c r="CX51">
        <f t="shared" si="36"/>
        <v>0</v>
      </c>
      <c r="CY51">
        <f t="shared" si="37"/>
        <v>0</v>
      </c>
      <c r="CZ51">
        <f t="shared" si="38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1003</v>
      </c>
      <c r="DV51" t="s">
        <v>131</v>
      </c>
      <c r="DW51" t="s">
        <v>131</v>
      </c>
      <c r="DX51">
        <v>1</v>
      </c>
      <c r="EE51">
        <v>39174504</v>
      </c>
      <c r="EF51">
        <v>2</v>
      </c>
      <c r="EG51" t="s">
        <v>20</v>
      </c>
      <c r="EH51">
        <v>0</v>
      </c>
      <c r="EI51" t="s">
        <v>3</v>
      </c>
      <c r="EJ51">
        <v>1</v>
      </c>
      <c r="EK51">
        <v>11001</v>
      </c>
      <c r="EL51" t="s">
        <v>46</v>
      </c>
      <c r="EM51" t="s">
        <v>56</v>
      </c>
      <c r="EO51" t="s">
        <v>3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39"/>
        <v>0</v>
      </c>
      <c r="FS51">
        <v>0</v>
      </c>
      <c r="FT51" t="s">
        <v>24</v>
      </c>
      <c r="FU51" t="s">
        <v>25</v>
      </c>
      <c r="FX51">
        <v>110.7</v>
      </c>
      <c r="FY51">
        <v>63.75</v>
      </c>
      <c r="GA51" t="s">
        <v>3</v>
      </c>
      <c r="GD51">
        <v>0</v>
      </c>
      <c r="GF51">
        <v>1949164399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0"/>
        <v>0</v>
      </c>
      <c r="GM51">
        <f t="shared" si="41"/>
        <v>0</v>
      </c>
      <c r="GN51">
        <f t="shared" si="42"/>
        <v>0</v>
      </c>
      <c r="GO51">
        <f t="shared" si="43"/>
        <v>0</v>
      </c>
      <c r="GP51">
        <f t="shared" si="44"/>
        <v>0</v>
      </c>
      <c r="GR51">
        <v>0</v>
      </c>
      <c r="GS51">
        <v>3</v>
      </c>
      <c r="GT51">
        <v>0</v>
      </c>
      <c r="GU51" t="s">
        <v>3</v>
      </c>
      <c r="GV51">
        <f t="shared" si="45"/>
        <v>0</v>
      </c>
      <c r="GW51">
        <v>1</v>
      </c>
      <c r="GX51">
        <f t="shared" si="46"/>
        <v>0</v>
      </c>
      <c r="HA51">
        <v>0</v>
      </c>
      <c r="HB51">
        <v>0</v>
      </c>
      <c r="IK51">
        <v>0</v>
      </c>
    </row>
    <row r="52" spans="1:245" x14ac:dyDescent="0.2">
      <c r="A52">
        <v>17</v>
      </c>
      <c r="B52">
        <v>1</v>
      </c>
      <c r="C52">
        <f>ROW(SmtRes!A97)</f>
        <v>97</v>
      </c>
      <c r="D52">
        <f>ROW(EtalonRes!A99)</f>
        <v>99</v>
      </c>
      <c r="E52" t="s">
        <v>137</v>
      </c>
      <c r="F52" t="s">
        <v>13</v>
      </c>
      <c r="G52" t="s">
        <v>138</v>
      </c>
      <c r="H52" t="s">
        <v>15</v>
      </c>
      <c r="I52">
        <f>ROUND(11.52/100,9)</f>
        <v>0.1152</v>
      </c>
      <c r="J52">
        <v>0</v>
      </c>
      <c r="O52">
        <f t="shared" si="14"/>
        <v>5444.03</v>
      </c>
      <c r="P52">
        <f t="shared" si="15"/>
        <v>4241</v>
      </c>
      <c r="Q52">
        <f t="shared" si="16"/>
        <v>322.63</v>
      </c>
      <c r="R52">
        <f t="shared" si="17"/>
        <v>62.99</v>
      </c>
      <c r="S52">
        <f t="shared" si="18"/>
        <v>880.4</v>
      </c>
      <c r="T52">
        <f t="shared" si="19"/>
        <v>0</v>
      </c>
      <c r="U52">
        <f t="shared" si="20"/>
        <v>13.573900799999997</v>
      </c>
      <c r="V52">
        <f t="shared" si="21"/>
        <v>0.76895999999999998</v>
      </c>
      <c r="W52">
        <f t="shared" si="22"/>
        <v>0</v>
      </c>
      <c r="X52">
        <f t="shared" si="23"/>
        <v>896.22</v>
      </c>
      <c r="Y52">
        <f t="shared" si="24"/>
        <v>443.39</v>
      </c>
      <c r="AA52">
        <v>39579451</v>
      </c>
      <c r="AB52">
        <f t="shared" si="25"/>
        <v>6848.88</v>
      </c>
      <c r="AC52">
        <f t="shared" si="47"/>
        <v>5335.4</v>
      </c>
      <c r="AD52">
        <f>ROUND(((((ET52*1.25))-((EU52*1.25)))+AE52),2)</f>
        <v>405.89</v>
      </c>
      <c r="AE52">
        <f>ROUND(((EU52*1.25)),2)</f>
        <v>79.239999999999995</v>
      </c>
      <c r="AF52">
        <f>ROUND(((EV52*1.15)),2)</f>
        <v>1107.5899999999999</v>
      </c>
      <c r="AG52">
        <f t="shared" si="26"/>
        <v>0</v>
      </c>
      <c r="AH52">
        <f>((EW52*1.15))</f>
        <v>117.82899999999998</v>
      </c>
      <c r="AI52">
        <f>((EX52*1.25))</f>
        <v>6.6749999999999998</v>
      </c>
      <c r="AJ52">
        <f t="shared" si="27"/>
        <v>0</v>
      </c>
      <c r="AK52">
        <v>6623.23</v>
      </c>
      <c r="AL52">
        <v>5335.4</v>
      </c>
      <c r="AM52">
        <v>324.70999999999998</v>
      </c>
      <c r="AN52">
        <v>63.39</v>
      </c>
      <c r="AO52">
        <v>963.12</v>
      </c>
      <c r="AP52">
        <v>0</v>
      </c>
      <c r="AQ52">
        <v>102.46</v>
      </c>
      <c r="AR52">
        <v>5.34</v>
      </c>
      <c r="AS52">
        <v>0</v>
      </c>
      <c r="AT52">
        <v>95</v>
      </c>
      <c r="AU52">
        <v>47</v>
      </c>
      <c r="AV52">
        <v>1</v>
      </c>
      <c r="AW52">
        <v>1</v>
      </c>
      <c r="AZ52">
        <v>6.9</v>
      </c>
      <c r="BA52">
        <v>6.9</v>
      </c>
      <c r="BB52">
        <v>6.9</v>
      </c>
      <c r="BC52">
        <v>6.9</v>
      </c>
      <c r="BD52" t="s">
        <v>3</v>
      </c>
      <c r="BE52" t="s">
        <v>3</v>
      </c>
      <c r="BF52" t="s">
        <v>3</v>
      </c>
      <c r="BG52" t="s">
        <v>3</v>
      </c>
      <c r="BH52">
        <v>0</v>
      </c>
      <c r="BI52">
        <v>1</v>
      </c>
      <c r="BJ52" t="s">
        <v>16</v>
      </c>
      <c r="BM52">
        <v>15001</v>
      </c>
      <c r="BN52">
        <v>0</v>
      </c>
      <c r="BO52" t="s">
        <v>3</v>
      </c>
      <c r="BP52">
        <v>0</v>
      </c>
      <c r="BQ52">
        <v>2</v>
      </c>
      <c r="BR52">
        <v>0</v>
      </c>
      <c r="BS52">
        <v>6.9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105</v>
      </c>
      <c r="CA52">
        <v>55</v>
      </c>
      <c r="CF52">
        <v>0</v>
      </c>
      <c r="CG52">
        <v>0</v>
      </c>
      <c r="CM52">
        <v>0</v>
      </c>
      <c r="CN52" t="s">
        <v>787</v>
      </c>
      <c r="CO52">
        <v>0</v>
      </c>
      <c r="CP52">
        <f t="shared" si="28"/>
        <v>5444.03</v>
      </c>
      <c r="CQ52">
        <f t="shared" si="29"/>
        <v>36814.26</v>
      </c>
      <c r="CR52">
        <f t="shared" si="30"/>
        <v>2800.6410000000001</v>
      </c>
      <c r="CS52">
        <f t="shared" si="31"/>
        <v>546.75599999999997</v>
      </c>
      <c r="CT52">
        <f t="shared" si="32"/>
        <v>7642.3710000000001</v>
      </c>
      <c r="CU52">
        <f t="shared" si="33"/>
        <v>0</v>
      </c>
      <c r="CV52">
        <f t="shared" si="34"/>
        <v>117.82899999999998</v>
      </c>
      <c r="CW52">
        <f t="shared" si="35"/>
        <v>6.6749999999999998</v>
      </c>
      <c r="CX52">
        <f t="shared" si="36"/>
        <v>0</v>
      </c>
      <c r="CY52">
        <f t="shared" si="37"/>
        <v>896.22050000000002</v>
      </c>
      <c r="CZ52">
        <f t="shared" si="38"/>
        <v>443.39330000000001</v>
      </c>
      <c r="DC52" t="s">
        <v>3</v>
      </c>
      <c r="DD52" t="s">
        <v>3</v>
      </c>
      <c r="DE52" t="s">
        <v>78</v>
      </c>
      <c r="DF52" t="s">
        <v>78</v>
      </c>
      <c r="DG52" t="s">
        <v>79</v>
      </c>
      <c r="DH52" t="s">
        <v>3</v>
      </c>
      <c r="DI52" t="s">
        <v>79</v>
      </c>
      <c r="DJ52" t="s">
        <v>78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1005</v>
      </c>
      <c r="DV52" t="s">
        <v>15</v>
      </c>
      <c r="DW52" t="s">
        <v>15</v>
      </c>
      <c r="DX52">
        <v>100</v>
      </c>
      <c r="EE52">
        <v>39174529</v>
      </c>
      <c r="EF52">
        <v>2</v>
      </c>
      <c r="EG52" t="s">
        <v>20</v>
      </c>
      <c r="EH52">
        <v>0</v>
      </c>
      <c r="EI52" t="s">
        <v>3</v>
      </c>
      <c r="EJ52">
        <v>1</v>
      </c>
      <c r="EK52">
        <v>15001</v>
      </c>
      <c r="EL52" t="s">
        <v>21</v>
      </c>
      <c r="EM52" t="s">
        <v>22</v>
      </c>
      <c r="EO52" t="s">
        <v>80</v>
      </c>
      <c r="EQ52">
        <v>0</v>
      </c>
      <c r="ER52">
        <v>6623.23</v>
      </c>
      <c r="ES52">
        <v>5335.4</v>
      </c>
      <c r="ET52">
        <v>324.70999999999998</v>
      </c>
      <c r="EU52">
        <v>63.39</v>
      </c>
      <c r="EV52">
        <v>963.12</v>
      </c>
      <c r="EW52">
        <v>102.46</v>
      </c>
      <c r="EX52">
        <v>5.34</v>
      </c>
      <c r="EY52">
        <v>0</v>
      </c>
      <c r="FQ52">
        <v>0</v>
      </c>
      <c r="FR52">
        <f t="shared" si="39"/>
        <v>0</v>
      </c>
      <c r="FS52">
        <v>0</v>
      </c>
      <c r="FT52" t="s">
        <v>24</v>
      </c>
      <c r="FU52" t="s">
        <v>25</v>
      </c>
      <c r="FX52">
        <v>94.5</v>
      </c>
      <c r="FY52">
        <v>46.75</v>
      </c>
      <c r="GA52" t="s">
        <v>3</v>
      </c>
      <c r="GD52">
        <v>0</v>
      </c>
      <c r="GF52">
        <v>-59192285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0"/>
        <v>0</v>
      </c>
      <c r="GM52">
        <f t="shared" si="41"/>
        <v>6783.64</v>
      </c>
      <c r="GN52">
        <f t="shared" si="42"/>
        <v>6783.64</v>
      </c>
      <c r="GO52">
        <f t="shared" si="43"/>
        <v>0</v>
      </c>
      <c r="GP52">
        <f t="shared" si="44"/>
        <v>0</v>
      </c>
      <c r="GR52">
        <v>0</v>
      </c>
      <c r="GS52">
        <v>3</v>
      </c>
      <c r="GT52">
        <v>0</v>
      </c>
      <c r="GU52" t="s">
        <v>3</v>
      </c>
      <c r="GV52">
        <f t="shared" si="45"/>
        <v>0</v>
      </c>
      <c r="GW52">
        <v>1</v>
      </c>
      <c r="GX52">
        <f t="shared" si="46"/>
        <v>0</v>
      </c>
      <c r="HA52">
        <v>0</v>
      </c>
      <c r="HB52">
        <v>0</v>
      </c>
      <c r="IK52">
        <v>0</v>
      </c>
    </row>
    <row r="53" spans="1:245" x14ac:dyDescent="0.2">
      <c r="A53">
        <v>17</v>
      </c>
      <c r="B53">
        <v>1</v>
      </c>
      <c r="C53">
        <f>ROW(SmtRes!A104)</f>
        <v>104</v>
      </c>
      <c r="D53">
        <f>ROW(EtalonRes!A105)</f>
        <v>105</v>
      </c>
      <c r="E53" t="s">
        <v>139</v>
      </c>
      <c r="F53" t="s">
        <v>140</v>
      </c>
      <c r="G53" t="s">
        <v>141</v>
      </c>
      <c r="H53" t="s">
        <v>15</v>
      </c>
      <c r="I53">
        <f>ROUND(92/100,9)</f>
        <v>0.92</v>
      </c>
      <c r="J53">
        <v>0</v>
      </c>
      <c r="O53">
        <f t="shared" si="14"/>
        <v>1161.24</v>
      </c>
      <c r="P53">
        <f t="shared" si="15"/>
        <v>2.29</v>
      </c>
      <c r="Q53">
        <f t="shared" si="16"/>
        <v>12.82</v>
      </c>
      <c r="R53">
        <f t="shared" si="17"/>
        <v>2.92</v>
      </c>
      <c r="S53">
        <f t="shared" si="18"/>
        <v>1146.1300000000001</v>
      </c>
      <c r="T53">
        <f t="shared" si="19"/>
        <v>0</v>
      </c>
      <c r="U53">
        <f t="shared" si="20"/>
        <v>17.266559999999998</v>
      </c>
      <c r="V53">
        <f t="shared" si="21"/>
        <v>3.4500000000000003E-2</v>
      </c>
      <c r="W53">
        <f t="shared" si="22"/>
        <v>0</v>
      </c>
      <c r="X53">
        <f t="shared" si="23"/>
        <v>1091.5999999999999</v>
      </c>
      <c r="Y53">
        <f t="shared" si="24"/>
        <v>540.04999999999995</v>
      </c>
      <c r="AA53">
        <v>39579451</v>
      </c>
      <c r="AB53">
        <f t="shared" si="25"/>
        <v>182.93</v>
      </c>
      <c r="AC53">
        <f t="shared" si="47"/>
        <v>0.36</v>
      </c>
      <c r="AD53">
        <f>ROUND(((((ET53*1.25))-((EU53*1.25)))+AE53),2)</f>
        <v>2.02</v>
      </c>
      <c r="AE53">
        <f>ROUND(((EU53*1.25)),2)</f>
        <v>0.46</v>
      </c>
      <c r="AF53">
        <f>ROUND(((EV53*1.15)),2)</f>
        <v>180.55</v>
      </c>
      <c r="AG53">
        <f t="shared" si="26"/>
        <v>0</v>
      </c>
      <c r="AH53">
        <f>((EW53*1.15))</f>
        <v>18.767999999999997</v>
      </c>
      <c r="AI53">
        <f>((EX53*1.25))</f>
        <v>3.7499999999999999E-2</v>
      </c>
      <c r="AJ53">
        <f t="shared" si="27"/>
        <v>0</v>
      </c>
      <c r="AK53">
        <v>158.97999999999999</v>
      </c>
      <c r="AL53">
        <v>0.36</v>
      </c>
      <c r="AM53">
        <v>1.62</v>
      </c>
      <c r="AN53">
        <v>0.37</v>
      </c>
      <c r="AO53">
        <v>157</v>
      </c>
      <c r="AP53">
        <v>0</v>
      </c>
      <c r="AQ53">
        <v>16.32</v>
      </c>
      <c r="AR53">
        <v>0.03</v>
      </c>
      <c r="AS53">
        <v>0</v>
      </c>
      <c r="AT53">
        <v>95</v>
      </c>
      <c r="AU53">
        <v>47</v>
      </c>
      <c r="AV53">
        <v>1</v>
      </c>
      <c r="AW53">
        <v>1</v>
      </c>
      <c r="AZ53">
        <v>6.9</v>
      </c>
      <c r="BA53">
        <v>6.9</v>
      </c>
      <c r="BB53">
        <v>6.9</v>
      </c>
      <c r="BC53">
        <v>6.9</v>
      </c>
      <c r="BD53" t="s">
        <v>3</v>
      </c>
      <c r="BE53" t="s">
        <v>3</v>
      </c>
      <c r="BF53" t="s">
        <v>3</v>
      </c>
      <c r="BG53" t="s">
        <v>3</v>
      </c>
      <c r="BH53">
        <v>0</v>
      </c>
      <c r="BI53">
        <v>1</v>
      </c>
      <c r="BJ53" t="s">
        <v>142</v>
      </c>
      <c r="BM53">
        <v>15001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6.9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105</v>
      </c>
      <c r="CA53">
        <v>55</v>
      </c>
      <c r="CF53">
        <v>0</v>
      </c>
      <c r="CG53">
        <v>0</v>
      </c>
      <c r="CM53">
        <v>0</v>
      </c>
      <c r="CN53" t="s">
        <v>787</v>
      </c>
      <c r="CO53">
        <v>0</v>
      </c>
      <c r="CP53">
        <f t="shared" si="28"/>
        <v>1161.24</v>
      </c>
      <c r="CQ53">
        <f t="shared" si="29"/>
        <v>2.484</v>
      </c>
      <c r="CR53">
        <f t="shared" si="30"/>
        <v>13.938000000000001</v>
      </c>
      <c r="CS53">
        <f t="shared" si="31"/>
        <v>3.1740000000000004</v>
      </c>
      <c r="CT53">
        <f t="shared" si="32"/>
        <v>1245.7950000000001</v>
      </c>
      <c r="CU53">
        <f t="shared" si="33"/>
        <v>0</v>
      </c>
      <c r="CV53">
        <f t="shared" si="34"/>
        <v>18.767999999999997</v>
      </c>
      <c r="CW53">
        <f t="shared" si="35"/>
        <v>3.7499999999999999E-2</v>
      </c>
      <c r="CX53">
        <f t="shared" si="36"/>
        <v>0</v>
      </c>
      <c r="CY53">
        <f t="shared" si="37"/>
        <v>1091.5975000000001</v>
      </c>
      <c r="CZ53">
        <f t="shared" si="38"/>
        <v>540.0535000000001</v>
      </c>
      <c r="DC53" t="s">
        <v>3</v>
      </c>
      <c r="DD53" t="s">
        <v>3</v>
      </c>
      <c r="DE53" t="s">
        <v>78</v>
      </c>
      <c r="DF53" t="s">
        <v>78</v>
      </c>
      <c r="DG53" t="s">
        <v>79</v>
      </c>
      <c r="DH53" t="s">
        <v>3</v>
      </c>
      <c r="DI53" t="s">
        <v>79</v>
      </c>
      <c r="DJ53" t="s">
        <v>78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15</v>
      </c>
      <c r="DW53" t="s">
        <v>15</v>
      </c>
      <c r="DX53">
        <v>100</v>
      </c>
      <c r="EE53">
        <v>39174529</v>
      </c>
      <c r="EF53">
        <v>2</v>
      </c>
      <c r="EG53" t="s">
        <v>20</v>
      </c>
      <c r="EH53">
        <v>0</v>
      </c>
      <c r="EI53" t="s">
        <v>3</v>
      </c>
      <c r="EJ53">
        <v>1</v>
      </c>
      <c r="EK53">
        <v>15001</v>
      </c>
      <c r="EL53" t="s">
        <v>21</v>
      </c>
      <c r="EM53" t="s">
        <v>22</v>
      </c>
      <c r="EO53" t="s">
        <v>80</v>
      </c>
      <c r="EQ53">
        <v>0</v>
      </c>
      <c r="ER53">
        <v>158.97999999999999</v>
      </c>
      <c r="ES53">
        <v>0.36</v>
      </c>
      <c r="ET53">
        <v>1.62</v>
      </c>
      <c r="EU53">
        <v>0.37</v>
      </c>
      <c r="EV53">
        <v>157</v>
      </c>
      <c r="EW53">
        <v>16.32</v>
      </c>
      <c r="EX53">
        <v>0.03</v>
      </c>
      <c r="EY53">
        <v>0</v>
      </c>
      <c r="FQ53">
        <v>0</v>
      </c>
      <c r="FR53">
        <f t="shared" si="39"/>
        <v>0</v>
      </c>
      <c r="FS53">
        <v>0</v>
      </c>
      <c r="FT53" t="s">
        <v>24</v>
      </c>
      <c r="FU53" t="s">
        <v>25</v>
      </c>
      <c r="FX53">
        <v>94.5</v>
      </c>
      <c r="FY53">
        <v>46.75</v>
      </c>
      <c r="GA53" t="s">
        <v>3</v>
      </c>
      <c r="GD53">
        <v>0</v>
      </c>
      <c r="GF53">
        <v>-816382651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0"/>
        <v>0</v>
      </c>
      <c r="GM53">
        <f t="shared" si="41"/>
        <v>2792.89</v>
      </c>
      <c r="GN53">
        <f t="shared" si="42"/>
        <v>2792.89</v>
      </c>
      <c r="GO53">
        <f t="shared" si="43"/>
        <v>0</v>
      </c>
      <c r="GP53">
        <f t="shared" si="44"/>
        <v>0</v>
      </c>
      <c r="GR53">
        <v>0</v>
      </c>
      <c r="GS53">
        <v>3</v>
      </c>
      <c r="GT53">
        <v>0</v>
      </c>
      <c r="GU53" t="s">
        <v>3</v>
      </c>
      <c r="GV53">
        <f t="shared" si="45"/>
        <v>0</v>
      </c>
      <c r="GW53">
        <v>1</v>
      </c>
      <c r="GX53">
        <f t="shared" si="46"/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103</v>
      </c>
      <c r="E54" t="s">
        <v>143</v>
      </c>
      <c r="F54" t="s">
        <v>116</v>
      </c>
      <c r="G54" t="s">
        <v>117</v>
      </c>
      <c r="H54" t="s">
        <v>118</v>
      </c>
      <c r="I54">
        <f>I53*J54</f>
        <v>18.399999999999999</v>
      </c>
      <c r="J54">
        <v>19.999999999999996</v>
      </c>
      <c r="O54">
        <f t="shared" si="14"/>
        <v>1936.14</v>
      </c>
      <c r="P54">
        <f t="shared" si="15"/>
        <v>1936.14</v>
      </c>
      <c r="Q54">
        <f t="shared" si="16"/>
        <v>0</v>
      </c>
      <c r="R54">
        <f t="shared" si="17"/>
        <v>0</v>
      </c>
      <c r="S54">
        <f t="shared" si="18"/>
        <v>0</v>
      </c>
      <c r="T54">
        <f t="shared" si="19"/>
        <v>0</v>
      </c>
      <c r="U54">
        <f t="shared" si="20"/>
        <v>0</v>
      </c>
      <c r="V54">
        <f t="shared" si="21"/>
        <v>0</v>
      </c>
      <c r="W54">
        <f t="shared" si="22"/>
        <v>0</v>
      </c>
      <c r="X54">
        <f t="shared" si="23"/>
        <v>0</v>
      </c>
      <c r="Y54">
        <f t="shared" si="24"/>
        <v>0</v>
      </c>
      <c r="AA54">
        <v>39579451</v>
      </c>
      <c r="AB54">
        <f t="shared" si="25"/>
        <v>15.25</v>
      </c>
      <c r="AC54">
        <f t="shared" si="47"/>
        <v>15.25</v>
      </c>
      <c r="AD54">
        <f>ROUND((((ET54)-(EU54))+AE54),2)</f>
        <v>0</v>
      </c>
      <c r="AE54">
        <f>ROUND((EU54),2)</f>
        <v>0</v>
      </c>
      <c r="AF54">
        <f>ROUND((EV54),2)</f>
        <v>0</v>
      </c>
      <c r="AG54">
        <f t="shared" si="26"/>
        <v>0</v>
      </c>
      <c r="AH54">
        <f>(EW54)</f>
        <v>0</v>
      </c>
      <c r="AI54">
        <f>(EX54)</f>
        <v>0</v>
      </c>
      <c r="AJ54">
        <f t="shared" si="27"/>
        <v>0</v>
      </c>
      <c r="AK54">
        <v>15.25</v>
      </c>
      <c r="AL54">
        <v>15.25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111</v>
      </c>
      <c r="AU54">
        <v>64</v>
      </c>
      <c r="AV54">
        <v>1</v>
      </c>
      <c r="AW54">
        <v>1</v>
      </c>
      <c r="AZ54">
        <v>6.9</v>
      </c>
      <c r="BA54">
        <v>1</v>
      </c>
      <c r="BB54">
        <v>1</v>
      </c>
      <c r="BC54">
        <v>6.9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1</v>
      </c>
      <c r="BJ54" t="s">
        <v>119</v>
      </c>
      <c r="BM54">
        <v>11001</v>
      </c>
      <c r="BN54">
        <v>0</v>
      </c>
      <c r="BO54" t="s">
        <v>3</v>
      </c>
      <c r="BP54">
        <v>0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123</v>
      </c>
      <c r="CA54">
        <v>75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28"/>
        <v>1936.14</v>
      </c>
      <c r="CQ54">
        <f t="shared" si="29"/>
        <v>105.22500000000001</v>
      </c>
      <c r="CR54">
        <f t="shared" si="30"/>
        <v>0</v>
      </c>
      <c r="CS54">
        <f t="shared" si="31"/>
        <v>0</v>
      </c>
      <c r="CT54">
        <f t="shared" si="32"/>
        <v>0</v>
      </c>
      <c r="CU54">
        <f t="shared" si="33"/>
        <v>0</v>
      </c>
      <c r="CV54">
        <f t="shared" si="34"/>
        <v>0</v>
      </c>
      <c r="CW54">
        <f t="shared" si="35"/>
        <v>0</v>
      </c>
      <c r="CX54">
        <f t="shared" si="36"/>
        <v>0</v>
      </c>
      <c r="CY54">
        <f t="shared" si="37"/>
        <v>0</v>
      </c>
      <c r="CZ54">
        <f t="shared" si="38"/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1009</v>
      </c>
      <c r="DV54" t="s">
        <v>118</v>
      </c>
      <c r="DW54" t="s">
        <v>118</v>
      </c>
      <c r="DX54">
        <v>1</v>
      </c>
      <c r="EE54">
        <v>39174504</v>
      </c>
      <c r="EF54">
        <v>2</v>
      </c>
      <c r="EG54" t="s">
        <v>20</v>
      </c>
      <c r="EH54">
        <v>0</v>
      </c>
      <c r="EI54" t="s">
        <v>3</v>
      </c>
      <c r="EJ54">
        <v>1</v>
      </c>
      <c r="EK54">
        <v>11001</v>
      </c>
      <c r="EL54" t="s">
        <v>46</v>
      </c>
      <c r="EM54" t="s">
        <v>56</v>
      </c>
      <c r="EO54" t="s">
        <v>3</v>
      </c>
      <c r="EQ54">
        <v>0</v>
      </c>
      <c r="ER54">
        <v>15.25</v>
      </c>
      <c r="ES54">
        <v>15.25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39"/>
        <v>0</v>
      </c>
      <c r="FS54">
        <v>0</v>
      </c>
      <c r="FT54" t="s">
        <v>24</v>
      </c>
      <c r="FU54" t="s">
        <v>25</v>
      </c>
      <c r="FX54">
        <v>110.7</v>
      </c>
      <c r="FY54">
        <v>63.75</v>
      </c>
      <c r="GA54" t="s">
        <v>3</v>
      </c>
      <c r="GD54">
        <v>0</v>
      </c>
      <c r="GF54">
        <v>303141801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0"/>
        <v>0</v>
      </c>
      <c r="GM54">
        <f t="shared" si="41"/>
        <v>1936.14</v>
      </c>
      <c r="GN54">
        <f t="shared" si="42"/>
        <v>1936.14</v>
      </c>
      <c r="GO54">
        <f t="shared" si="43"/>
        <v>0</v>
      </c>
      <c r="GP54">
        <f t="shared" si="44"/>
        <v>0</v>
      </c>
      <c r="GR54">
        <v>0</v>
      </c>
      <c r="GS54">
        <v>3</v>
      </c>
      <c r="GT54">
        <v>0</v>
      </c>
      <c r="GU54" t="s">
        <v>3</v>
      </c>
      <c r="GV54">
        <f t="shared" si="45"/>
        <v>0</v>
      </c>
      <c r="GW54">
        <v>1</v>
      </c>
      <c r="GX54">
        <f t="shared" si="46"/>
        <v>0</v>
      </c>
      <c r="HA54">
        <v>0</v>
      </c>
      <c r="HB54">
        <v>0</v>
      </c>
      <c r="IK54">
        <v>0</v>
      </c>
    </row>
    <row r="55" spans="1:245" x14ac:dyDescent="0.2">
      <c r="A55">
        <v>18</v>
      </c>
      <c r="B55">
        <v>1</v>
      </c>
      <c r="C55">
        <v>104</v>
      </c>
      <c r="E55" t="s">
        <v>144</v>
      </c>
      <c r="F55" t="s">
        <v>121</v>
      </c>
      <c r="G55" t="s">
        <v>122</v>
      </c>
      <c r="H55" t="s">
        <v>105</v>
      </c>
      <c r="I55">
        <f>I53*J55</f>
        <v>1.84E-2</v>
      </c>
      <c r="J55">
        <v>0.02</v>
      </c>
      <c r="O55">
        <f t="shared" si="14"/>
        <v>0</v>
      </c>
      <c r="P55">
        <f t="shared" si="15"/>
        <v>0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39579451</v>
      </c>
      <c r="AB55">
        <f t="shared" si="25"/>
        <v>0</v>
      </c>
      <c r="AC55">
        <f t="shared" si="47"/>
        <v>0</v>
      </c>
      <c r="AD55">
        <f>ROUND((((ET55)-(EU55))+AE55),2)</f>
        <v>0</v>
      </c>
      <c r="AE55">
        <f>ROUND((EU55),2)</f>
        <v>0</v>
      </c>
      <c r="AF55">
        <f>ROUND((EV55),2)</f>
        <v>0</v>
      </c>
      <c r="AG55">
        <f t="shared" si="26"/>
        <v>0</v>
      </c>
      <c r="AH55">
        <f>(EW55)</f>
        <v>0</v>
      </c>
      <c r="AI55">
        <f>(EX55)</f>
        <v>0</v>
      </c>
      <c r="AJ55">
        <f t="shared" si="27"/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6.9</v>
      </c>
      <c r="BA55">
        <v>1</v>
      </c>
      <c r="BB55">
        <v>1</v>
      </c>
      <c r="BC55">
        <v>6.9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1</v>
      </c>
      <c r="BJ55" t="s">
        <v>3</v>
      </c>
      <c r="BM55">
        <v>15001</v>
      </c>
      <c r="BN55">
        <v>0</v>
      </c>
      <c r="BO55" t="s">
        <v>3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105</v>
      </c>
      <c r="CA55">
        <v>55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28"/>
        <v>0</v>
      </c>
      <c r="CQ55">
        <f t="shared" si="29"/>
        <v>0</v>
      </c>
      <c r="CR55">
        <f t="shared" si="30"/>
        <v>0</v>
      </c>
      <c r="CS55">
        <f t="shared" si="31"/>
        <v>0</v>
      </c>
      <c r="CT55">
        <f t="shared" si="32"/>
        <v>0</v>
      </c>
      <c r="CU55">
        <f t="shared" si="33"/>
        <v>0</v>
      </c>
      <c r="CV55">
        <f t="shared" si="34"/>
        <v>0</v>
      </c>
      <c r="CW55">
        <f t="shared" si="35"/>
        <v>0</v>
      </c>
      <c r="CX55">
        <f t="shared" si="36"/>
        <v>0</v>
      </c>
      <c r="CY55">
        <f t="shared" si="37"/>
        <v>0</v>
      </c>
      <c r="CZ55">
        <f t="shared" si="38"/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1009</v>
      </c>
      <c r="DV55" t="s">
        <v>105</v>
      </c>
      <c r="DW55" t="s">
        <v>105</v>
      </c>
      <c r="DX55">
        <v>1000</v>
      </c>
      <c r="EE55">
        <v>39174529</v>
      </c>
      <c r="EF55">
        <v>2</v>
      </c>
      <c r="EG55" t="s">
        <v>20</v>
      </c>
      <c r="EH55">
        <v>0</v>
      </c>
      <c r="EI55" t="s">
        <v>3</v>
      </c>
      <c r="EJ55">
        <v>1</v>
      </c>
      <c r="EK55">
        <v>15001</v>
      </c>
      <c r="EL55" t="s">
        <v>21</v>
      </c>
      <c r="EM55" t="s">
        <v>22</v>
      </c>
      <c r="EO55" t="s">
        <v>3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39"/>
        <v>0</v>
      </c>
      <c r="FS55">
        <v>0</v>
      </c>
      <c r="FT55" t="s">
        <v>24</v>
      </c>
      <c r="FU55" t="s">
        <v>25</v>
      </c>
      <c r="FX55">
        <v>94.5</v>
      </c>
      <c r="FY55">
        <v>46.75</v>
      </c>
      <c r="GA55" t="s">
        <v>3</v>
      </c>
      <c r="GD55">
        <v>0</v>
      </c>
      <c r="GF55">
        <v>-1212923053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0"/>
        <v>0</v>
      </c>
      <c r="GM55">
        <f t="shared" si="41"/>
        <v>0</v>
      </c>
      <c r="GN55">
        <f t="shared" si="42"/>
        <v>0</v>
      </c>
      <c r="GO55">
        <f t="shared" si="43"/>
        <v>0</v>
      </c>
      <c r="GP55">
        <f t="shared" si="44"/>
        <v>0</v>
      </c>
      <c r="GR55">
        <v>0</v>
      </c>
      <c r="GS55">
        <v>3</v>
      </c>
      <c r="GT55">
        <v>0</v>
      </c>
      <c r="GU55" t="s">
        <v>3</v>
      </c>
      <c r="GV55">
        <f t="shared" si="45"/>
        <v>0</v>
      </c>
      <c r="GW55">
        <v>1</v>
      </c>
      <c r="GX55">
        <f t="shared" si="46"/>
        <v>0</v>
      </c>
      <c r="HA55">
        <v>0</v>
      </c>
      <c r="HB55">
        <v>0</v>
      </c>
      <c r="IK55">
        <v>0</v>
      </c>
    </row>
    <row r="56" spans="1:245" x14ac:dyDescent="0.2">
      <c r="A56">
        <v>17</v>
      </c>
      <c r="B56">
        <v>1</v>
      </c>
      <c r="C56">
        <f>ROW(SmtRes!A115)</f>
        <v>115</v>
      </c>
      <c r="D56">
        <f>ROW(EtalonRes!A116)</f>
        <v>116</v>
      </c>
      <c r="E56" t="s">
        <v>145</v>
      </c>
      <c r="F56" t="s">
        <v>38</v>
      </c>
      <c r="G56" t="s">
        <v>146</v>
      </c>
      <c r="H56" t="s">
        <v>15</v>
      </c>
      <c r="I56">
        <f>ROUND(35.4/100,9)</f>
        <v>0.35399999999999998</v>
      </c>
      <c r="J56">
        <v>0</v>
      </c>
      <c r="O56">
        <f t="shared" ref="O56:O87" si="50">ROUND(CP56,2)</f>
        <v>8995.69</v>
      </c>
      <c r="P56">
        <f t="shared" ref="P56:P87" si="51">ROUND(CQ56*I56,2)</f>
        <v>7886.23</v>
      </c>
      <c r="Q56">
        <f t="shared" ref="Q56:Q87" si="52">ROUND(CR56*I56,2)</f>
        <v>4.62</v>
      </c>
      <c r="R56">
        <f t="shared" ref="R56:R87" si="53">ROUND(CS56*I56,2)</f>
        <v>1.81</v>
      </c>
      <c r="S56">
        <f t="shared" ref="S56:S87" si="54">ROUND(CT56*I56,2)</f>
        <v>1104.8399999999999</v>
      </c>
      <c r="T56">
        <f t="shared" ref="T56:T87" si="55">ROUND(CU56*I56,2)</f>
        <v>0</v>
      </c>
      <c r="U56">
        <f t="shared" ref="U56:U87" si="56">CV56*I56</f>
        <v>18.771380999999998</v>
      </c>
      <c r="V56">
        <f t="shared" ref="V56:V87" si="57">CW56*I56</f>
        <v>1.77E-2</v>
      </c>
      <c r="W56">
        <f t="shared" ref="W56:W87" si="58">ROUND(CX56*I56,2)</f>
        <v>0</v>
      </c>
      <c r="X56">
        <f t="shared" ref="X56:X87" si="59">ROUND(CY56,2)</f>
        <v>1051.32</v>
      </c>
      <c r="Y56">
        <f t="shared" ref="Y56:Y87" si="60">ROUND(CZ56,2)</f>
        <v>520.13</v>
      </c>
      <c r="AA56">
        <v>39579451</v>
      </c>
      <c r="AB56">
        <f t="shared" ref="AB56:AB87" si="61">ROUND((AC56+AD56+AF56),2)</f>
        <v>3682.83</v>
      </c>
      <c r="AC56">
        <f t="shared" si="47"/>
        <v>3228.62</v>
      </c>
      <c r="AD56">
        <f>ROUND(((((ET56*1.25))-((EU56*1.25)))+AE56),2)</f>
        <v>1.89</v>
      </c>
      <c r="AE56">
        <f>ROUND(((EU56*1.25)),2)</f>
        <v>0.74</v>
      </c>
      <c r="AF56">
        <f>ROUND(((EV56*1.15)),2)</f>
        <v>452.32</v>
      </c>
      <c r="AG56">
        <f t="shared" ref="AG56:AG87" si="62">ROUND((AP56),2)</f>
        <v>0</v>
      </c>
      <c r="AH56">
        <f>((EW56*1.15))</f>
        <v>53.026499999999999</v>
      </c>
      <c r="AI56">
        <f>((EX56*1.25))</f>
        <v>0.05</v>
      </c>
      <c r="AJ56">
        <f t="shared" ref="AJ56:AJ87" si="63">ROUND((AS56),2)</f>
        <v>0</v>
      </c>
      <c r="AK56">
        <v>3623.45</v>
      </c>
      <c r="AL56">
        <v>3228.62</v>
      </c>
      <c r="AM56">
        <v>1.51</v>
      </c>
      <c r="AN56">
        <v>0.59</v>
      </c>
      <c r="AO56">
        <v>393.32</v>
      </c>
      <c r="AP56">
        <v>0</v>
      </c>
      <c r="AQ56">
        <v>46.11</v>
      </c>
      <c r="AR56">
        <v>0.04</v>
      </c>
      <c r="AS56">
        <v>0</v>
      </c>
      <c r="AT56">
        <v>95</v>
      </c>
      <c r="AU56">
        <v>47</v>
      </c>
      <c r="AV56">
        <v>1</v>
      </c>
      <c r="AW56">
        <v>1</v>
      </c>
      <c r="AZ56">
        <v>6.9</v>
      </c>
      <c r="BA56">
        <v>6.9</v>
      </c>
      <c r="BB56">
        <v>6.9</v>
      </c>
      <c r="BC56">
        <v>6.9</v>
      </c>
      <c r="BD56" t="s">
        <v>3</v>
      </c>
      <c r="BE56" t="s">
        <v>3</v>
      </c>
      <c r="BF56" t="s">
        <v>3</v>
      </c>
      <c r="BG56" t="s">
        <v>3</v>
      </c>
      <c r="BH56">
        <v>0</v>
      </c>
      <c r="BI56">
        <v>1</v>
      </c>
      <c r="BJ56" t="s">
        <v>40</v>
      </c>
      <c r="BM56">
        <v>15001</v>
      </c>
      <c r="BN56">
        <v>0</v>
      </c>
      <c r="BO56" t="s">
        <v>3</v>
      </c>
      <c r="BP56">
        <v>0</v>
      </c>
      <c r="BQ56">
        <v>2</v>
      </c>
      <c r="BR56">
        <v>0</v>
      </c>
      <c r="BS56">
        <v>6.9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105</v>
      </c>
      <c r="CA56">
        <v>55</v>
      </c>
      <c r="CF56">
        <v>0</v>
      </c>
      <c r="CG56">
        <v>0</v>
      </c>
      <c r="CM56">
        <v>0</v>
      </c>
      <c r="CN56" t="s">
        <v>787</v>
      </c>
      <c r="CO56">
        <v>0</v>
      </c>
      <c r="CP56">
        <f t="shared" ref="CP56:CP87" si="64">(P56+Q56+S56)</f>
        <v>8995.6899999999987</v>
      </c>
      <c r="CQ56">
        <f t="shared" ref="CQ56:CQ87" si="65">AC56*BC56</f>
        <v>22277.477999999999</v>
      </c>
      <c r="CR56">
        <f t="shared" ref="CR56:CR87" si="66">AD56*BB56</f>
        <v>13.041</v>
      </c>
      <c r="CS56">
        <f t="shared" ref="CS56:CS87" si="67">AE56*BS56</f>
        <v>5.1059999999999999</v>
      </c>
      <c r="CT56">
        <f t="shared" ref="CT56:CT87" si="68">AF56*BA56</f>
        <v>3121.0080000000003</v>
      </c>
      <c r="CU56">
        <f t="shared" ref="CU56:CU87" si="69">AG56</f>
        <v>0</v>
      </c>
      <c r="CV56">
        <f t="shared" ref="CV56:CV87" si="70">AH56</f>
        <v>53.026499999999999</v>
      </c>
      <c r="CW56">
        <f t="shared" ref="CW56:CW87" si="71">AI56</f>
        <v>0.05</v>
      </c>
      <c r="CX56">
        <f t="shared" ref="CX56:CX87" si="72">AJ56</f>
        <v>0</v>
      </c>
      <c r="CY56">
        <f t="shared" ref="CY56:CY87" si="73">(((S56+R56)*AT56)/100)</f>
        <v>1051.3174999999999</v>
      </c>
      <c r="CZ56">
        <f t="shared" ref="CZ56:CZ87" si="74">(((S56+R56)*AU56)/100)</f>
        <v>520.12549999999999</v>
      </c>
      <c r="DC56" t="s">
        <v>3</v>
      </c>
      <c r="DD56" t="s">
        <v>3</v>
      </c>
      <c r="DE56" t="s">
        <v>78</v>
      </c>
      <c r="DF56" t="s">
        <v>78</v>
      </c>
      <c r="DG56" t="s">
        <v>79</v>
      </c>
      <c r="DH56" t="s">
        <v>3</v>
      </c>
      <c r="DI56" t="s">
        <v>79</v>
      </c>
      <c r="DJ56" t="s">
        <v>78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1005</v>
      </c>
      <c r="DV56" t="s">
        <v>15</v>
      </c>
      <c r="DW56" t="s">
        <v>15</v>
      </c>
      <c r="DX56">
        <v>100</v>
      </c>
      <c r="EE56">
        <v>39174529</v>
      </c>
      <c r="EF56">
        <v>2</v>
      </c>
      <c r="EG56" t="s">
        <v>20</v>
      </c>
      <c r="EH56">
        <v>0</v>
      </c>
      <c r="EI56" t="s">
        <v>3</v>
      </c>
      <c r="EJ56">
        <v>1</v>
      </c>
      <c r="EK56">
        <v>15001</v>
      </c>
      <c r="EL56" t="s">
        <v>21</v>
      </c>
      <c r="EM56" t="s">
        <v>22</v>
      </c>
      <c r="EO56" t="s">
        <v>80</v>
      </c>
      <c r="EQ56">
        <v>0</v>
      </c>
      <c r="ER56">
        <v>3623.45</v>
      </c>
      <c r="ES56">
        <v>3228.62</v>
      </c>
      <c r="ET56">
        <v>1.51</v>
      </c>
      <c r="EU56">
        <v>0.59</v>
      </c>
      <c r="EV56">
        <v>393.32</v>
      </c>
      <c r="EW56">
        <v>46.11</v>
      </c>
      <c r="EX56">
        <v>0.04</v>
      </c>
      <c r="EY56">
        <v>0</v>
      </c>
      <c r="FQ56">
        <v>0</v>
      </c>
      <c r="FR56">
        <f t="shared" ref="FR56:FR87" si="75">ROUND(IF(AND(BH56=3,BI56=3),P56,0),2)</f>
        <v>0</v>
      </c>
      <c r="FS56">
        <v>0</v>
      </c>
      <c r="FT56" t="s">
        <v>24</v>
      </c>
      <c r="FU56" t="s">
        <v>25</v>
      </c>
      <c r="FX56">
        <v>94.5</v>
      </c>
      <c r="FY56">
        <v>46.75</v>
      </c>
      <c r="GA56" t="s">
        <v>3</v>
      </c>
      <c r="GD56">
        <v>0</v>
      </c>
      <c r="GF56">
        <v>-695776397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ref="GL56:GL87" si="76">ROUND(IF(AND(BH56=3,BI56=3,FS56&lt;&gt;0),P56,0),2)</f>
        <v>0</v>
      </c>
      <c r="GM56">
        <f t="shared" ref="GM56:GM87" si="77">ROUND(O56+X56+Y56+GK56,2)+GX56</f>
        <v>10567.14</v>
      </c>
      <c r="GN56">
        <f t="shared" ref="GN56:GN87" si="78">IF(OR(BI56=0,BI56=1),ROUND(O56+X56+Y56+GK56,2),0)</f>
        <v>10567.14</v>
      </c>
      <c r="GO56">
        <f t="shared" ref="GO56:GO87" si="79">IF(BI56=2,ROUND(O56+X56+Y56+GK56,2),0)</f>
        <v>0</v>
      </c>
      <c r="GP56">
        <f t="shared" ref="GP56:GP87" si="80">IF(BI56=4,ROUND(O56+X56+Y56+GK56,2)+GX56,0)</f>
        <v>0</v>
      </c>
      <c r="GR56">
        <v>0</v>
      </c>
      <c r="GS56">
        <v>3</v>
      </c>
      <c r="GT56">
        <v>0</v>
      </c>
      <c r="GU56" t="s">
        <v>3</v>
      </c>
      <c r="GV56">
        <f t="shared" ref="GV56:GV87" si="81">ROUND(GT56,2)</f>
        <v>0</v>
      </c>
      <c r="GW56">
        <v>1</v>
      </c>
      <c r="GX56">
        <f t="shared" ref="GX56:GX87" si="82">ROUND(GV56*GW56*I56,2)</f>
        <v>0</v>
      </c>
      <c r="HA56">
        <v>0</v>
      </c>
      <c r="HB56">
        <v>0</v>
      </c>
      <c r="IK56">
        <v>0</v>
      </c>
    </row>
    <row r="57" spans="1:245" x14ac:dyDescent="0.2">
      <c r="A57">
        <v>17</v>
      </c>
      <c r="B57">
        <v>1</v>
      </c>
      <c r="C57">
        <f>ROW(SmtRes!A126)</f>
        <v>126</v>
      </c>
      <c r="D57">
        <f>ROW(EtalonRes!A126)</f>
        <v>126</v>
      </c>
      <c r="E57" t="s">
        <v>147</v>
      </c>
      <c r="F57" t="s">
        <v>148</v>
      </c>
      <c r="G57" t="s">
        <v>149</v>
      </c>
      <c r="H57" t="s">
        <v>15</v>
      </c>
      <c r="I57">
        <f>ROUND(35.4/100,9)</f>
        <v>0.35399999999999998</v>
      </c>
      <c r="J57">
        <v>0</v>
      </c>
      <c r="O57">
        <f t="shared" si="50"/>
        <v>2970.43</v>
      </c>
      <c r="P57">
        <f t="shared" si="51"/>
        <v>1274.28</v>
      </c>
      <c r="Q57">
        <f t="shared" si="52"/>
        <v>204.45</v>
      </c>
      <c r="R57">
        <f t="shared" si="53"/>
        <v>91.01</v>
      </c>
      <c r="S57">
        <f t="shared" si="54"/>
        <v>1491.7</v>
      </c>
      <c r="T57">
        <f t="shared" si="55"/>
        <v>0</v>
      </c>
      <c r="U57">
        <f t="shared" si="56"/>
        <v>24.735395999999998</v>
      </c>
      <c r="V57">
        <f t="shared" si="57"/>
        <v>1.2301499999999999</v>
      </c>
      <c r="W57">
        <f t="shared" si="58"/>
        <v>0</v>
      </c>
      <c r="X57">
        <f t="shared" si="59"/>
        <v>1503.57</v>
      </c>
      <c r="Y57">
        <f t="shared" si="60"/>
        <v>743.87</v>
      </c>
      <c r="AA57">
        <v>39579451</v>
      </c>
      <c r="AB57">
        <f t="shared" si="61"/>
        <v>1216.0899999999999</v>
      </c>
      <c r="AC57">
        <f t="shared" si="47"/>
        <v>521.69000000000005</v>
      </c>
      <c r="AD57">
        <f>ROUND(((((ET57*1.25))-((EU57*1.25)))+AE57),2)</f>
        <v>83.7</v>
      </c>
      <c r="AE57">
        <f>ROUND(((EU57*1.25)),2)</f>
        <v>37.26</v>
      </c>
      <c r="AF57">
        <f>ROUND(((EV57*1.15)),2)</f>
        <v>610.70000000000005</v>
      </c>
      <c r="AG57">
        <f t="shared" si="62"/>
        <v>0</v>
      </c>
      <c r="AH57">
        <f>((EW57*1.15))</f>
        <v>69.873999999999995</v>
      </c>
      <c r="AI57">
        <f>((EX57*1.25))</f>
        <v>3.4749999999999996</v>
      </c>
      <c r="AJ57">
        <f t="shared" si="63"/>
        <v>0</v>
      </c>
      <c r="AK57">
        <v>1119.69</v>
      </c>
      <c r="AL57">
        <v>521.69000000000005</v>
      </c>
      <c r="AM57">
        <v>66.959999999999994</v>
      </c>
      <c r="AN57">
        <v>29.81</v>
      </c>
      <c r="AO57">
        <v>531.04</v>
      </c>
      <c r="AP57">
        <v>0</v>
      </c>
      <c r="AQ57">
        <v>60.76</v>
      </c>
      <c r="AR57">
        <v>2.78</v>
      </c>
      <c r="AS57">
        <v>0</v>
      </c>
      <c r="AT57">
        <v>95</v>
      </c>
      <c r="AU57">
        <v>47</v>
      </c>
      <c r="AV57">
        <v>1</v>
      </c>
      <c r="AW57">
        <v>1</v>
      </c>
      <c r="AZ57">
        <v>6.9</v>
      </c>
      <c r="BA57">
        <v>6.9</v>
      </c>
      <c r="BB57">
        <v>6.9</v>
      </c>
      <c r="BC57">
        <v>6.9</v>
      </c>
      <c r="BD57" t="s">
        <v>3</v>
      </c>
      <c r="BE57" t="s">
        <v>3</v>
      </c>
      <c r="BF57" t="s">
        <v>3</v>
      </c>
      <c r="BG57" t="s">
        <v>3</v>
      </c>
      <c r="BH57">
        <v>0</v>
      </c>
      <c r="BI57">
        <v>1</v>
      </c>
      <c r="BJ57" t="s">
        <v>150</v>
      </c>
      <c r="BM57">
        <v>15001</v>
      </c>
      <c r="BN57">
        <v>0</v>
      </c>
      <c r="BO57" t="s">
        <v>3</v>
      </c>
      <c r="BP57">
        <v>0</v>
      </c>
      <c r="BQ57">
        <v>2</v>
      </c>
      <c r="BR57">
        <v>0</v>
      </c>
      <c r="BS57">
        <v>6.9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105</v>
      </c>
      <c r="CA57">
        <v>55</v>
      </c>
      <c r="CF57">
        <v>0</v>
      </c>
      <c r="CG57">
        <v>0</v>
      </c>
      <c r="CM57">
        <v>0</v>
      </c>
      <c r="CN57" t="s">
        <v>787</v>
      </c>
      <c r="CO57">
        <v>0</v>
      </c>
      <c r="CP57">
        <f t="shared" si="64"/>
        <v>2970.4300000000003</v>
      </c>
      <c r="CQ57">
        <f t="shared" si="65"/>
        <v>3599.6610000000005</v>
      </c>
      <c r="CR57">
        <f t="shared" si="66"/>
        <v>577.53000000000009</v>
      </c>
      <c r="CS57">
        <f t="shared" si="67"/>
        <v>257.09399999999999</v>
      </c>
      <c r="CT57">
        <f t="shared" si="68"/>
        <v>4213.8300000000008</v>
      </c>
      <c r="CU57">
        <f t="shared" si="69"/>
        <v>0</v>
      </c>
      <c r="CV57">
        <f t="shared" si="70"/>
        <v>69.873999999999995</v>
      </c>
      <c r="CW57">
        <f t="shared" si="71"/>
        <v>3.4749999999999996</v>
      </c>
      <c r="CX57">
        <f t="shared" si="72"/>
        <v>0</v>
      </c>
      <c r="CY57">
        <f t="shared" si="73"/>
        <v>1503.5745000000002</v>
      </c>
      <c r="CZ57">
        <f t="shared" si="74"/>
        <v>743.87369999999999</v>
      </c>
      <c r="DC57" t="s">
        <v>3</v>
      </c>
      <c r="DD57" t="s">
        <v>3</v>
      </c>
      <c r="DE57" t="s">
        <v>78</v>
      </c>
      <c r="DF57" t="s">
        <v>78</v>
      </c>
      <c r="DG57" t="s">
        <v>79</v>
      </c>
      <c r="DH57" t="s">
        <v>3</v>
      </c>
      <c r="DI57" t="s">
        <v>79</v>
      </c>
      <c r="DJ57" t="s">
        <v>78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15</v>
      </c>
      <c r="DW57" t="s">
        <v>15</v>
      </c>
      <c r="DX57">
        <v>100</v>
      </c>
      <c r="EE57">
        <v>39174529</v>
      </c>
      <c r="EF57">
        <v>2</v>
      </c>
      <c r="EG57" t="s">
        <v>20</v>
      </c>
      <c r="EH57">
        <v>0</v>
      </c>
      <c r="EI57" t="s">
        <v>3</v>
      </c>
      <c r="EJ57">
        <v>1</v>
      </c>
      <c r="EK57">
        <v>15001</v>
      </c>
      <c r="EL57" t="s">
        <v>21</v>
      </c>
      <c r="EM57" t="s">
        <v>22</v>
      </c>
      <c r="EO57" t="s">
        <v>80</v>
      </c>
      <c r="EQ57">
        <v>0</v>
      </c>
      <c r="ER57">
        <v>1119.69</v>
      </c>
      <c r="ES57">
        <v>521.69000000000005</v>
      </c>
      <c r="ET57">
        <v>66.959999999999994</v>
      </c>
      <c r="EU57">
        <v>29.81</v>
      </c>
      <c r="EV57">
        <v>531.04</v>
      </c>
      <c r="EW57">
        <v>60.76</v>
      </c>
      <c r="EX57">
        <v>2.78</v>
      </c>
      <c r="EY57">
        <v>0</v>
      </c>
      <c r="FQ57">
        <v>0</v>
      </c>
      <c r="FR57">
        <f t="shared" si="75"/>
        <v>0</v>
      </c>
      <c r="FS57">
        <v>0</v>
      </c>
      <c r="FT57" t="s">
        <v>24</v>
      </c>
      <c r="FU57" t="s">
        <v>25</v>
      </c>
      <c r="FX57">
        <v>94.5</v>
      </c>
      <c r="FY57">
        <v>46.75</v>
      </c>
      <c r="GA57" t="s">
        <v>3</v>
      </c>
      <c r="GD57">
        <v>0</v>
      </c>
      <c r="GF57">
        <v>-1606419604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76"/>
        <v>0</v>
      </c>
      <c r="GM57">
        <f t="shared" si="77"/>
        <v>5217.87</v>
      </c>
      <c r="GN57">
        <f t="shared" si="78"/>
        <v>5217.87</v>
      </c>
      <c r="GO57">
        <f t="shared" si="79"/>
        <v>0</v>
      </c>
      <c r="GP57">
        <f t="shared" si="80"/>
        <v>0</v>
      </c>
      <c r="GR57">
        <v>0</v>
      </c>
      <c r="GS57">
        <v>3</v>
      </c>
      <c r="GT57">
        <v>0</v>
      </c>
      <c r="GU57" t="s">
        <v>3</v>
      </c>
      <c r="GV57">
        <f t="shared" si="81"/>
        <v>0</v>
      </c>
      <c r="GW57">
        <v>1</v>
      </c>
      <c r="GX57">
        <f t="shared" si="82"/>
        <v>0</v>
      </c>
      <c r="HA57">
        <v>0</v>
      </c>
      <c r="HB57">
        <v>0</v>
      </c>
      <c r="IK57">
        <v>0</v>
      </c>
    </row>
    <row r="58" spans="1:245" x14ac:dyDescent="0.2">
      <c r="A58">
        <v>18</v>
      </c>
      <c r="B58">
        <v>1</v>
      </c>
      <c r="C58">
        <v>121</v>
      </c>
      <c r="E58" t="s">
        <v>151</v>
      </c>
      <c r="F58" t="s">
        <v>152</v>
      </c>
      <c r="G58" t="s">
        <v>153</v>
      </c>
      <c r="H58" t="s">
        <v>154</v>
      </c>
      <c r="I58">
        <f>I57*J58</f>
        <v>37.17</v>
      </c>
      <c r="J58">
        <v>105.00000000000001</v>
      </c>
      <c r="O58">
        <f t="shared" si="50"/>
        <v>6999.15</v>
      </c>
      <c r="P58">
        <f t="shared" si="51"/>
        <v>6999.15</v>
      </c>
      <c r="Q58">
        <f t="shared" si="52"/>
        <v>0</v>
      </c>
      <c r="R58">
        <f t="shared" si="53"/>
        <v>0</v>
      </c>
      <c r="S58">
        <f t="shared" si="54"/>
        <v>0</v>
      </c>
      <c r="T58">
        <f t="shared" si="55"/>
        <v>0</v>
      </c>
      <c r="U58">
        <f t="shared" si="56"/>
        <v>0</v>
      </c>
      <c r="V58">
        <f t="shared" si="57"/>
        <v>0</v>
      </c>
      <c r="W58">
        <f t="shared" si="58"/>
        <v>0</v>
      </c>
      <c r="X58">
        <f t="shared" si="59"/>
        <v>0</v>
      </c>
      <c r="Y58">
        <f t="shared" si="60"/>
        <v>0</v>
      </c>
      <c r="AA58">
        <v>39579451</v>
      </c>
      <c r="AB58">
        <f t="shared" si="61"/>
        <v>27.29</v>
      </c>
      <c r="AC58">
        <f t="shared" si="47"/>
        <v>27.29</v>
      </c>
      <c r="AD58">
        <f t="shared" ref="AD58:AD63" si="83">ROUND((((ET58)-(EU58))+AE58),2)</f>
        <v>0</v>
      </c>
      <c r="AE58">
        <f t="shared" ref="AE58:AF63" si="84">ROUND((EU58),2)</f>
        <v>0</v>
      </c>
      <c r="AF58">
        <f t="shared" si="84"/>
        <v>0</v>
      </c>
      <c r="AG58">
        <f t="shared" si="62"/>
        <v>0</v>
      </c>
      <c r="AH58">
        <f t="shared" ref="AH58:AI63" si="85">(EW58)</f>
        <v>0</v>
      </c>
      <c r="AI58">
        <f t="shared" si="85"/>
        <v>0</v>
      </c>
      <c r="AJ58">
        <f t="shared" si="63"/>
        <v>0</v>
      </c>
      <c r="AK58">
        <v>27.29</v>
      </c>
      <c r="AL58">
        <v>27.29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106</v>
      </c>
      <c r="AU58">
        <v>54</v>
      </c>
      <c r="AV58">
        <v>1</v>
      </c>
      <c r="AW58">
        <v>1</v>
      </c>
      <c r="AZ58">
        <v>6.9</v>
      </c>
      <c r="BA58">
        <v>1</v>
      </c>
      <c r="BB58">
        <v>1</v>
      </c>
      <c r="BC58">
        <v>6.9</v>
      </c>
      <c r="BD58" t="s">
        <v>3</v>
      </c>
      <c r="BE58" t="s">
        <v>3</v>
      </c>
      <c r="BF58" t="s">
        <v>3</v>
      </c>
      <c r="BG58" t="s">
        <v>3</v>
      </c>
      <c r="BH58">
        <v>3</v>
      </c>
      <c r="BI58">
        <v>1</v>
      </c>
      <c r="BJ58" t="s">
        <v>155</v>
      </c>
      <c r="BM58">
        <v>10001</v>
      </c>
      <c r="BN58">
        <v>0</v>
      </c>
      <c r="BO58" t="s">
        <v>3</v>
      </c>
      <c r="BP58">
        <v>0</v>
      </c>
      <c r="BQ58">
        <v>2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118</v>
      </c>
      <c r="CA58">
        <v>63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 t="shared" si="64"/>
        <v>6999.15</v>
      </c>
      <c r="CQ58">
        <f t="shared" si="65"/>
        <v>188.30100000000002</v>
      </c>
      <c r="CR58">
        <f t="shared" si="66"/>
        <v>0</v>
      </c>
      <c r="CS58">
        <f t="shared" si="67"/>
        <v>0</v>
      </c>
      <c r="CT58">
        <f t="shared" si="68"/>
        <v>0</v>
      </c>
      <c r="CU58">
        <f t="shared" si="69"/>
        <v>0</v>
      </c>
      <c r="CV58">
        <f t="shared" si="70"/>
        <v>0</v>
      </c>
      <c r="CW58">
        <f t="shared" si="71"/>
        <v>0</v>
      </c>
      <c r="CX58">
        <f t="shared" si="72"/>
        <v>0</v>
      </c>
      <c r="CY58">
        <f t="shared" si="73"/>
        <v>0</v>
      </c>
      <c r="CZ58">
        <f t="shared" si="74"/>
        <v>0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1005</v>
      </c>
      <c r="DV58" t="s">
        <v>154</v>
      </c>
      <c r="DW58" t="s">
        <v>154</v>
      </c>
      <c r="DX58">
        <v>1</v>
      </c>
      <c r="EE58">
        <v>39174503</v>
      </c>
      <c r="EF58">
        <v>2</v>
      </c>
      <c r="EG58" t="s">
        <v>20</v>
      </c>
      <c r="EH58">
        <v>0</v>
      </c>
      <c r="EI58" t="s">
        <v>3</v>
      </c>
      <c r="EJ58">
        <v>1</v>
      </c>
      <c r="EK58">
        <v>10001</v>
      </c>
      <c r="EL58" t="s">
        <v>66</v>
      </c>
      <c r="EM58" t="s">
        <v>67</v>
      </c>
      <c r="EO58" t="s">
        <v>3</v>
      </c>
      <c r="EQ58">
        <v>0</v>
      </c>
      <c r="ER58">
        <v>27.29</v>
      </c>
      <c r="ES58">
        <v>27.29</v>
      </c>
      <c r="ET58">
        <v>0</v>
      </c>
      <c r="EU58">
        <v>0</v>
      </c>
      <c r="EV58">
        <v>0</v>
      </c>
      <c r="EW58">
        <v>0</v>
      </c>
      <c r="EX58">
        <v>0</v>
      </c>
      <c r="FQ58">
        <v>0</v>
      </c>
      <c r="FR58">
        <f t="shared" si="75"/>
        <v>0</v>
      </c>
      <c r="FS58">
        <v>0</v>
      </c>
      <c r="FT58" t="s">
        <v>24</v>
      </c>
      <c r="FU58" t="s">
        <v>25</v>
      </c>
      <c r="FX58">
        <v>106.2</v>
      </c>
      <c r="FY58">
        <v>53.55</v>
      </c>
      <c r="GA58" t="s">
        <v>3</v>
      </c>
      <c r="GD58">
        <v>0</v>
      </c>
      <c r="GF58">
        <v>-27480056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76"/>
        <v>0</v>
      </c>
      <c r="GM58">
        <f t="shared" si="77"/>
        <v>6999.15</v>
      </c>
      <c r="GN58">
        <f t="shared" si="78"/>
        <v>6999.15</v>
      </c>
      <c r="GO58">
        <f t="shared" si="79"/>
        <v>0</v>
      </c>
      <c r="GP58">
        <f t="shared" si="80"/>
        <v>0</v>
      </c>
      <c r="GR58">
        <v>0</v>
      </c>
      <c r="GS58">
        <v>3</v>
      </c>
      <c r="GT58">
        <v>0</v>
      </c>
      <c r="GU58" t="s">
        <v>3</v>
      </c>
      <c r="GV58">
        <f t="shared" si="81"/>
        <v>0</v>
      </c>
      <c r="GW58">
        <v>1</v>
      </c>
      <c r="GX58">
        <f t="shared" si="82"/>
        <v>0</v>
      </c>
      <c r="HA58">
        <v>0</v>
      </c>
      <c r="HB58">
        <v>0</v>
      </c>
      <c r="IK58">
        <v>0</v>
      </c>
    </row>
    <row r="59" spans="1:245" x14ac:dyDescent="0.2">
      <c r="A59">
        <v>18</v>
      </c>
      <c r="B59">
        <v>1</v>
      </c>
      <c r="C59">
        <v>122</v>
      </c>
      <c r="E59" t="s">
        <v>156</v>
      </c>
      <c r="F59" t="s">
        <v>157</v>
      </c>
      <c r="G59" t="s">
        <v>158</v>
      </c>
      <c r="H59" t="s">
        <v>154</v>
      </c>
      <c r="I59">
        <f>I57*J59</f>
        <v>37.17</v>
      </c>
      <c r="J59">
        <v>105.00000000000001</v>
      </c>
      <c r="O59">
        <f t="shared" si="50"/>
        <v>0</v>
      </c>
      <c r="P59">
        <f t="shared" si="51"/>
        <v>0</v>
      </c>
      <c r="Q59">
        <f t="shared" si="52"/>
        <v>0</v>
      </c>
      <c r="R59">
        <f t="shared" si="53"/>
        <v>0</v>
      </c>
      <c r="S59">
        <f t="shared" si="54"/>
        <v>0</v>
      </c>
      <c r="T59">
        <f t="shared" si="55"/>
        <v>0</v>
      </c>
      <c r="U59">
        <f t="shared" si="56"/>
        <v>0</v>
      </c>
      <c r="V59">
        <f t="shared" si="57"/>
        <v>0</v>
      </c>
      <c r="W59">
        <f t="shared" si="58"/>
        <v>0</v>
      </c>
      <c r="X59">
        <f t="shared" si="59"/>
        <v>0</v>
      </c>
      <c r="Y59">
        <f t="shared" si="60"/>
        <v>0</v>
      </c>
      <c r="AA59">
        <v>39579451</v>
      </c>
      <c r="AB59">
        <f t="shared" si="61"/>
        <v>0</v>
      </c>
      <c r="AC59">
        <f t="shared" si="47"/>
        <v>0</v>
      </c>
      <c r="AD59">
        <f t="shared" si="83"/>
        <v>0</v>
      </c>
      <c r="AE59">
        <f t="shared" si="84"/>
        <v>0</v>
      </c>
      <c r="AF59">
        <f t="shared" si="84"/>
        <v>0</v>
      </c>
      <c r="AG59">
        <f t="shared" si="62"/>
        <v>0</v>
      </c>
      <c r="AH59">
        <f t="shared" si="85"/>
        <v>0</v>
      </c>
      <c r="AI59">
        <f t="shared" si="85"/>
        <v>0</v>
      </c>
      <c r="AJ59">
        <f t="shared" si="63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47</v>
      </c>
      <c r="AV59">
        <v>1</v>
      </c>
      <c r="AW59">
        <v>1</v>
      </c>
      <c r="AZ59">
        <v>6.9</v>
      </c>
      <c r="BA59">
        <v>1</v>
      </c>
      <c r="BB59">
        <v>1</v>
      </c>
      <c r="BC59">
        <v>6.9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1</v>
      </c>
      <c r="BJ59" t="s">
        <v>3</v>
      </c>
      <c r="BM59">
        <v>15001</v>
      </c>
      <c r="BN59">
        <v>0</v>
      </c>
      <c r="BO59" t="s">
        <v>3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105</v>
      </c>
      <c r="CA59">
        <v>55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64"/>
        <v>0</v>
      </c>
      <c r="CQ59">
        <f t="shared" si="65"/>
        <v>0</v>
      </c>
      <c r="CR59">
        <f t="shared" si="66"/>
        <v>0</v>
      </c>
      <c r="CS59">
        <f t="shared" si="67"/>
        <v>0</v>
      </c>
      <c r="CT59">
        <f t="shared" si="68"/>
        <v>0</v>
      </c>
      <c r="CU59">
        <f t="shared" si="69"/>
        <v>0</v>
      </c>
      <c r="CV59">
        <f t="shared" si="70"/>
        <v>0</v>
      </c>
      <c r="CW59">
        <f t="shared" si="71"/>
        <v>0</v>
      </c>
      <c r="CX59">
        <f t="shared" si="72"/>
        <v>0</v>
      </c>
      <c r="CY59">
        <f t="shared" si="73"/>
        <v>0</v>
      </c>
      <c r="CZ59">
        <f t="shared" si="74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154</v>
      </c>
      <c r="DW59" t="s">
        <v>154</v>
      </c>
      <c r="DX59">
        <v>1</v>
      </c>
      <c r="EE59">
        <v>39174529</v>
      </c>
      <c r="EF59">
        <v>2</v>
      </c>
      <c r="EG59" t="s">
        <v>20</v>
      </c>
      <c r="EH59">
        <v>0</v>
      </c>
      <c r="EI59" t="s">
        <v>3</v>
      </c>
      <c r="EJ59">
        <v>1</v>
      </c>
      <c r="EK59">
        <v>15001</v>
      </c>
      <c r="EL59" t="s">
        <v>21</v>
      </c>
      <c r="EM59" t="s">
        <v>22</v>
      </c>
      <c r="EO59" t="s">
        <v>3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75"/>
        <v>0</v>
      </c>
      <c r="FS59">
        <v>0</v>
      </c>
      <c r="FT59" t="s">
        <v>24</v>
      </c>
      <c r="FU59" t="s">
        <v>25</v>
      </c>
      <c r="FX59">
        <v>94.5</v>
      </c>
      <c r="FY59">
        <v>46.75</v>
      </c>
      <c r="GA59" t="s">
        <v>3</v>
      </c>
      <c r="GD59">
        <v>0</v>
      </c>
      <c r="GF59">
        <v>-354280000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76"/>
        <v>0</v>
      </c>
      <c r="GM59">
        <f t="shared" si="77"/>
        <v>0</v>
      </c>
      <c r="GN59">
        <f t="shared" si="78"/>
        <v>0</v>
      </c>
      <c r="GO59">
        <f t="shared" si="79"/>
        <v>0</v>
      </c>
      <c r="GP59">
        <f t="shared" si="80"/>
        <v>0</v>
      </c>
      <c r="GR59">
        <v>0</v>
      </c>
      <c r="GS59">
        <v>3</v>
      </c>
      <c r="GT59">
        <v>0</v>
      </c>
      <c r="GU59" t="s">
        <v>3</v>
      </c>
      <c r="GV59">
        <f t="shared" si="81"/>
        <v>0</v>
      </c>
      <c r="GW59">
        <v>1</v>
      </c>
      <c r="GX59">
        <f t="shared" si="82"/>
        <v>0</v>
      </c>
      <c r="HA59">
        <v>0</v>
      </c>
      <c r="HB59">
        <v>0</v>
      </c>
      <c r="IK59">
        <v>0</v>
      </c>
    </row>
    <row r="60" spans="1:245" x14ac:dyDescent="0.2">
      <c r="A60">
        <v>18</v>
      </c>
      <c r="B60">
        <v>1</v>
      </c>
      <c r="C60">
        <v>124</v>
      </c>
      <c r="E60" t="s">
        <v>159</v>
      </c>
      <c r="F60" t="s">
        <v>160</v>
      </c>
      <c r="G60" t="s">
        <v>161</v>
      </c>
      <c r="H60" t="s">
        <v>105</v>
      </c>
      <c r="I60">
        <f>I57*J60</f>
        <v>-0.17346</v>
      </c>
      <c r="J60">
        <v>-0.49000000000000005</v>
      </c>
      <c r="O60">
        <f t="shared" si="50"/>
        <v>-873.69</v>
      </c>
      <c r="P60">
        <f t="shared" si="51"/>
        <v>-873.69</v>
      </c>
      <c r="Q60">
        <f t="shared" si="52"/>
        <v>0</v>
      </c>
      <c r="R60">
        <f t="shared" si="53"/>
        <v>0</v>
      </c>
      <c r="S60">
        <f t="shared" si="54"/>
        <v>0</v>
      </c>
      <c r="T60">
        <f t="shared" si="55"/>
        <v>0</v>
      </c>
      <c r="U60">
        <f t="shared" si="56"/>
        <v>0</v>
      </c>
      <c r="V60">
        <f t="shared" si="57"/>
        <v>0</v>
      </c>
      <c r="W60">
        <f t="shared" si="58"/>
        <v>0</v>
      </c>
      <c r="X60">
        <f t="shared" si="59"/>
        <v>0</v>
      </c>
      <c r="Y60">
        <f t="shared" si="60"/>
        <v>0</v>
      </c>
      <c r="AA60">
        <v>39579451</v>
      </c>
      <c r="AB60">
        <f t="shared" si="61"/>
        <v>729.98</v>
      </c>
      <c r="AC60">
        <f t="shared" si="47"/>
        <v>729.98</v>
      </c>
      <c r="AD60">
        <f t="shared" si="83"/>
        <v>0</v>
      </c>
      <c r="AE60">
        <f t="shared" si="84"/>
        <v>0</v>
      </c>
      <c r="AF60">
        <f t="shared" si="84"/>
        <v>0</v>
      </c>
      <c r="AG60">
        <f t="shared" si="62"/>
        <v>0</v>
      </c>
      <c r="AH60">
        <f t="shared" si="85"/>
        <v>0</v>
      </c>
      <c r="AI60">
        <f t="shared" si="85"/>
        <v>0</v>
      </c>
      <c r="AJ60">
        <f t="shared" si="63"/>
        <v>0</v>
      </c>
      <c r="AK60">
        <v>729.98</v>
      </c>
      <c r="AL60">
        <v>729.98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95</v>
      </c>
      <c r="AU60">
        <v>47</v>
      </c>
      <c r="AV60">
        <v>1</v>
      </c>
      <c r="AW60">
        <v>1</v>
      </c>
      <c r="AZ60">
        <v>6.9</v>
      </c>
      <c r="BA60">
        <v>1</v>
      </c>
      <c r="BB60">
        <v>1</v>
      </c>
      <c r="BC60">
        <v>6.9</v>
      </c>
      <c r="BD60" t="s">
        <v>3</v>
      </c>
      <c r="BE60" t="s">
        <v>3</v>
      </c>
      <c r="BF60" t="s">
        <v>3</v>
      </c>
      <c r="BG60" t="s">
        <v>3</v>
      </c>
      <c r="BH60">
        <v>3</v>
      </c>
      <c r="BI60">
        <v>1</v>
      </c>
      <c r="BJ60" t="s">
        <v>162</v>
      </c>
      <c r="BM60">
        <v>15001</v>
      </c>
      <c r="BN60">
        <v>0</v>
      </c>
      <c r="BO60" t="s">
        <v>3</v>
      </c>
      <c r="BP60">
        <v>0</v>
      </c>
      <c r="BQ60">
        <v>2</v>
      </c>
      <c r="BR60">
        <v>1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105</v>
      </c>
      <c r="CA60">
        <v>55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 t="shared" si="64"/>
        <v>-873.69</v>
      </c>
      <c r="CQ60">
        <f t="shared" si="65"/>
        <v>5036.8620000000001</v>
      </c>
      <c r="CR60">
        <f t="shared" si="66"/>
        <v>0</v>
      </c>
      <c r="CS60">
        <f t="shared" si="67"/>
        <v>0</v>
      </c>
      <c r="CT60">
        <f t="shared" si="68"/>
        <v>0</v>
      </c>
      <c r="CU60">
        <f t="shared" si="69"/>
        <v>0</v>
      </c>
      <c r="CV60">
        <f t="shared" si="70"/>
        <v>0</v>
      </c>
      <c r="CW60">
        <f t="shared" si="71"/>
        <v>0</v>
      </c>
      <c r="CX60">
        <f t="shared" si="72"/>
        <v>0</v>
      </c>
      <c r="CY60">
        <f t="shared" si="73"/>
        <v>0</v>
      </c>
      <c r="CZ60">
        <f t="shared" si="74"/>
        <v>0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1009</v>
      </c>
      <c r="DV60" t="s">
        <v>105</v>
      </c>
      <c r="DW60" t="s">
        <v>105</v>
      </c>
      <c r="DX60">
        <v>1000</v>
      </c>
      <c r="EE60">
        <v>39174529</v>
      </c>
      <c r="EF60">
        <v>2</v>
      </c>
      <c r="EG60" t="s">
        <v>20</v>
      </c>
      <c r="EH60">
        <v>0</v>
      </c>
      <c r="EI60" t="s">
        <v>3</v>
      </c>
      <c r="EJ60">
        <v>1</v>
      </c>
      <c r="EK60">
        <v>15001</v>
      </c>
      <c r="EL60" t="s">
        <v>21</v>
      </c>
      <c r="EM60" t="s">
        <v>22</v>
      </c>
      <c r="EO60" t="s">
        <v>3</v>
      </c>
      <c r="EQ60">
        <v>0</v>
      </c>
      <c r="ER60">
        <v>729.98</v>
      </c>
      <c r="ES60">
        <v>729.98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si="75"/>
        <v>0</v>
      </c>
      <c r="FS60">
        <v>0</v>
      </c>
      <c r="FT60" t="s">
        <v>24</v>
      </c>
      <c r="FU60" t="s">
        <v>25</v>
      </c>
      <c r="FX60">
        <v>94.5</v>
      </c>
      <c r="FY60">
        <v>46.75</v>
      </c>
      <c r="GA60" t="s">
        <v>3</v>
      </c>
      <c r="GD60">
        <v>0</v>
      </c>
      <c r="GF60">
        <v>-1421715385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si="76"/>
        <v>0</v>
      </c>
      <c r="GM60">
        <f t="shared" si="77"/>
        <v>-873.69</v>
      </c>
      <c r="GN60">
        <f t="shared" si="78"/>
        <v>-873.69</v>
      </c>
      <c r="GO60">
        <f t="shared" si="79"/>
        <v>0</v>
      </c>
      <c r="GP60">
        <f t="shared" si="80"/>
        <v>0</v>
      </c>
      <c r="GR60">
        <v>0</v>
      </c>
      <c r="GS60">
        <v>3</v>
      </c>
      <c r="GT60">
        <v>0</v>
      </c>
      <c r="GU60" t="s">
        <v>3</v>
      </c>
      <c r="GV60">
        <f t="shared" si="81"/>
        <v>0</v>
      </c>
      <c r="GW60">
        <v>1</v>
      </c>
      <c r="GX60">
        <f t="shared" si="82"/>
        <v>0</v>
      </c>
      <c r="HA60">
        <v>0</v>
      </c>
      <c r="HB60">
        <v>0</v>
      </c>
      <c r="IK60">
        <v>0</v>
      </c>
    </row>
    <row r="61" spans="1:245" x14ac:dyDescent="0.2">
      <c r="A61">
        <v>18</v>
      </c>
      <c r="B61">
        <v>1</v>
      </c>
      <c r="C61">
        <v>125</v>
      </c>
      <c r="E61" t="s">
        <v>163</v>
      </c>
      <c r="F61" t="s">
        <v>164</v>
      </c>
      <c r="G61" t="s">
        <v>165</v>
      </c>
      <c r="H61" t="s">
        <v>86</v>
      </c>
      <c r="I61">
        <f>I57*J61</f>
        <v>-2.1239999999999998E-2</v>
      </c>
      <c r="J61">
        <v>-0.06</v>
      </c>
      <c r="O61">
        <f t="shared" si="50"/>
        <v>-74.8</v>
      </c>
      <c r="P61">
        <f t="shared" si="51"/>
        <v>-74.8</v>
      </c>
      <c r="Q61">
        <f t="shared" si="52"/>
        <v>0</v>
      </c>
      <c r="R61">
        <f t="shared" si="53"/>
        <v>0</v>
      </c>
      <c r="S61">
        <f t="shared" si="54"/>
        <v>0</v>
      </c>
      <c r="T61">
        <f t="shared" si="55"/>
        <v>0</v>
      </c>
      <c r="U61">
        <f t="shared" si="56"/>
        <v>0</v>
      </c>
      <c r="V61">
        <f t="shared" si="57"/>
        <v>0</v>
      </c>
      <c r="W61">
        <f t="shared" si="58"/>
        <v>0</v>
      </c>
      <c r="X61">
        <f t="shared" si="59"/>
        <v>0</v>
      </c>
      <c r="Y61">
        <f t="shared" si="60"/>
        <v>0</v>
      </c>
      <c r="AA61">
        <v>39579451</v>
      </c>
      <c r="AB61">
        <f t="shared" si="61"/>
        <v>510.4</v>
      </c>
      <c r="AC61">
        <f t="shared" si="47"/>
        <v>510.4</v>
      </c>
      <c r="AD61">
        <f t="shared" si="83"/>
        <v>0</v>
      </c>
      <c r="AE61">
        <f t="shared" si="84"/>
        <v>0</v>
      </c>
      <c r="AF61">
        <f t="shared" si="84"/>
        <v>0</v>
      </c>
      <c r="AG61">
        <f t="shared" si="62"/>
        <v>0</v>
      </c>
      <c r="AH61">
        <f t="shared" si="85"/>
        <v>0</v>
      </c>
      <c r="AI61">
        <f t="shared" si="85"/>
        <v>0</v>
      </c>
      <c r="AJ61">
        <f t="shared" si="63"/>
        <v>0</v>
      </c>
      <c r="AK61">
        <v>510.4</v>
      </c>
      <c r="AL61">
        <v>510.4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95</v>
      </c>
      <c r="AU61">
        <v>47</v>
      </c>
      <c r="AV61">
        <v>1</v>
      </c>
      <c r="AW61">
        <v>1</v>
      </c>
      <c r="AZ61">
        <v>6.9</v>
      </c>
      <c r="BA61">
        <v>1</v>
      </c>
      <c r="BB61">
        <v>1</v>
      </c>
      <c r="BC61">
        <v>6.9</v>
      </c>
      <c r="BD61" t="s">
        <v>3</v>
      </c>
      <c r="BE61" t="s">
        <v>3</v>
      </c>
      <c r="BF61" t="s">
        <v>3</v>
      </c>
      <c r="BG61" t="s">
        <v>3</v>
      </c>
      <c r="BH61">
        <v>3</v>
      </c>
      <c r="BI61">
        <v>1</v>
      </c>
      <c r="BJ61" t="s">
        <v>166</v>
      </c>
      <c r="BM61">
        <v>15001</v>
      </c>
      <c r="BN61">
        <v>0</v>
      </c>
      <c r="BO61" t="s">
        <v>3</v>
      </c>
      <c r="BP61">
        <v>0</v>
      </c>
      <c r="BQ61">
        <v>2</v>
      </c>
      <c r="BR61">
        <v>1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105</v>
      </c>
      <c r="CA61">
        <v>55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64"/>
        <v>-74.8</v>
      </c>
      <c r="CQ61">
        <f t="shared" si="65"/>
        <v>3521.76</v>
      </c>
      <c r="CR61">
        <f t="shared" si="66"/>
        <v>0</v>
      </c>
      <c r="CS61">
        <f t="shared" si="67"/>
        <v>0</v>
      </c>
      <c r="CT61">
        <f t="shared" si="68"/>
        <v>0</v>
      </c>
      <c r="CU61">
        <f t="shared" si="69"/>
        <v>0</v>
      </c>
      <c r="CV61">
        <f t="shared" si="70"/>
        <v>0</v>
      </c>
      <c r="CW61">
        <f t="shared" si="71"/>
        <v>0</v>
      </c>
      <c r="CX61">
        <f t="shared" si="72"/>
        <v>0</v>
      </c>
      <c r="CY61">
        <f t="shared" si="73"/>
        <v>0</v>
      </c>
      <c r="CZ61">
        <f t="shared" si="74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1007</v>
      </c>
      <c r="DV61" t="s">
        <v>86</v>
      </c>
      <c r="DW61" t="s">
        <v>86</v>
      </c>
      <c r="DX61">
        <v>1</v>
      </c>
      <c r="EE61">
        <v>39174529</v>
      </c>
      <c r="EF61">
        <v>2</v>
      </c>
      <c r="EG61" t="s">
        <v>20</v>
      </c>
      <c r="EH61">
        <v>0</v>
      </c>
      <c r="EI61" t="s">
        <v>3</v>
      </c>
      <c r="EJ61">
        <v>1</v>
      </c>
      <c r="EK61">
        <v>15001</v>
      </c>
      <c r="EL61" t="s">
        <v>21</v>
      </c>
      <c r="EM61" t="s">
        <v>22</v>
      </c>
      <c r="EO61" t="s">
        <v>3</v>
      </c>
      <c r="EQ61">
        <v>0</v>
      </c>
      <c r="ER61">
        <v>510.4</v>
      </c>
      <c r="ES61">
        <v>510.4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75"/>
        <v>0</v>
      </c>
      <c r="FS61">
        <v>0</v>
      </c>
      <c r="FT61" t="s">
        <v>24</v>
      </c>
      <c r="FU61" t="s">
        <v>25</v>
      </c>
      <c r="FX61">
        <v>94.5</v>
      </c>
      <c r="FY61">
        <v>46.75</v>
      </c>
      <c r="GA61" t="s">
        <v>3</v>
      </c>
      <c r="GD61">
        <v>0</v>
      </c>
      <c r="GF61">
        <v>-1813551736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76"/>
        <v>0</v>
      </c>
      <c r="GM61">
        <f t="shared" si="77"/>
        <v>-74.8</v>
      </c>
      <c r="GN61">
        <f t="shared" si="78"/>
        <v>-74.8</v>
      </c>
      <c r="GO61">
        <f t="shared" si="79"/>
        <v>0</v>
      </c>
      <c r="GP61">
        <f t="shared" si="80"/>
        <v>0</v>
      </c>
      <c r="GR61">
        <v>0</v>
      </c>
      <c r="GS61">
        <v>3</v>
      </c>
      <c r="GT61">
        <v>0</v>
      </c>
      <c r="GU61" t="s">
        <v>3</v>
      </c>
      <c r="GV61">
        <f t="shared" si="81"/>
        <v>0</v>
      </c>
      <c r="GW61">
        <v>1</v>
      </c>
      <c r="GX61">
        <f t="shared" si="82"/>
        <v>0</v>
      </c>
      <c r="HA61">
        <v>0</v>
      </c>
      <c r="HB61">
        <v>0</v>
      </c>
      <c r="IK61">
        <v>0</v>
      </c>
    </row>
    <row r="62" spans="1:245" x14ac:dyDescent="0.2">
      <c r="A62">
        <v>18</v>
      </c>
      <c r="B62">
        <v>1</v>
      </c>
      <c r="C62">
        <v>123</v>
      </c>
      <c r="E62" t="s">
        <v>167</v>
      </c>
      <c r="F62" t="s">
        <v>168</v>
      </c>
      <c r="G62" t="s">
        <v>169</v>
      </c>
      <c r="H62" t="s">
        <v>105</v>
      </c>
      <c r="I62">
        <f>I57*J62</f>
        <v>-7.0799999999999997E-4</v>
      </c>
      <c r="J62">
        <v>-2E-3</v>
      </c>
      <c r="O62">
        <f t="shared" si="50"/>
        <v>-47.45</v>
      </c>
      <c r="P62">
        <f t="shared" si="51"/>
        <v>-47.45</v>
      </c>
      <c r="Q62">
        <f t="shared" si="52"/>
        <v>0</v>
      </c>
      <c r="R62">
        <f t="shared" si="53"/>
        <v>0</v>
      </c>
      <c r="S62">
        <f t="shared" si="54"/>
        <v>0</v>
      </c>
      <c r="T62">
        <f t="shared" si="55"/>
        <v>0</v>
      </c>
      <c r="U62">
        <f t="shared" si="56"/>
        <v>0</v>
      </c>
      <c r="V62">
        <f t="shared" si="57"/>
        <v>0</v>
      </c>
      <c r="W62">
        <f t="shared" si="58"/>
        <v>0</v>
      </c>
      <c r="X62">
        <f t="shared" si="59"/>
        <v>0</v>
      </c>
      <c r="Y62">
        <f t="shared" si="60"/>
        <v>0</v>
      </c>
      <c r="AA62">
        <v>39579451</v>
      </c>
      <c r="AB62">
        <f t="shared" si="61"/>
        <v>9713.4</v>
      </c>
      <c r="AC62">
        <f t="shared" si="47"/>
        <v>9713.4</v>
      </c>
      <c r="AD62">
        <f t="shared" si="83"/>
        <v>0</v>
      </c>
      <c r="AE62">
        <f t="shared" si="84"/>
        <v>0</v>
      </c>
      <c r="AF62">
        <f t="shared" si="84"/>
        <v>0</v>
      </c>
      <c r="AG62">
        <f t="shared" si="62"/>
        <v>0</v>
      </c>
      <c r="AH62">
        <f t="shared" si="85"/>
        <v>0</v>
      </c>
      <c r="AI62">
        <f t="shared" si="85"/>
        <v>0</v>
      </c>
      <c r="AJ62">
        <f t="shared" si="63"/>
        <v>0</v>
      </c>
      <c r="AK62">
        <v>9713.4</v>
      </c>
      <c r="AL62">
        <v>9713.4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95</v>
      </c>
      <c r="AU62">
        <v>47</v>
      </c>
      <c r="AV62">
        <v>1</v>
      </c>
      <c r="AW62">
        <v>1</v>
      </c>
      <c r="AZ62">
        <v>6.9</v>
      </c>
      <c r="BA62">
        <v>1</v>
      </c>
      <c r="BB62">
        <v>1</v>
      </c>
      <c r="BC62">
        <v>6.9</v>
      </c>
      <c r="BD62" t="s">
        <v>3</v>
      </c>
      <c r="BE62" t="s">
        <v>3</v>
      </c>
      <c r="BF62" t="s">
        <v>3</v>
      </c>
      <c r="BG62" t="s">
        <v>3</v>
      </c>
      <c r="BH62">
        <v>3</v>
      </c>
      <c r="BI62">
        <v>1</v>
      </c>
      <c r="BJ62" t="s">
        <v>170</v>
      </c>
      <c r="BM62">
        <v>15001</v>
      </c>
      <c r="BN62">
        <v>0</v>
      </c>
      <c r="BO62" t="s">
        <v>3</v>
      </c>
      <c r="BP62">
        <v>0</v>
      </c>
      <c r="BQ62">
        <v>2</v>
      </c>
      <c r="BR62">
        <v>1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105</v>
      </c>
      <c r="CA62">
        <v>55</v>
      </c>
      <c r="CF62">
        <v>0</v>
      </c>
      <c r="CG62">
        <v>0</v>
      </c>
      <c r="CM62">
        <v>0</v>
      </c>
      <c r="CN62" t="s">
        <v>3</v>
      </c>
      <c r="CO62">
        <v>0</v>
      </c>
      <c r="CP62">
        <f t="shared" si="64"/>
        <v>-47.45</v>
      </c>
      <c r="CQ62">
        <f t="shared" si="65"/>
        <v>67022.460000000006</v>
      </c>
      <c r="CR62">
        <f t="shared" si="66"/>
        <v>0</v>
      </c>
      <c r="CS62">
        <f t="shared" si="67"/>
        <v>0</v>
      </c>
      <c r="CT62">
        <f t="shared" si="68"/>
        <v>0</v>
      </c>
      <c r="CU62">
        <f t="shared" si="69"/>
        <v>0</v>
      </c>
      <c r="CV62">
        <f t="shared" si="70"/>
        <v>0</v>
      </c>
      <c r="CW62">
        <f t="shared" si="71"/>
        <v>0</v>
      </c>
      <c r="CX62">
        <f t="shared" si="72"/>
        <v>0</v>
      </c>
      <c r="CY62">
        <f t="shared" si="73"/>
        <v>0</v>
      </c>
      <c r="CZ62">
        <f t="shared" si="74"/>
        <v>0</v>
      </c>
      <c r="DC62" t="s">
        <v>3</v>
      </c>
      <c r="DD62" t="s">
        <v>3</v>
      </c>
      <c r="DE62" t="s">
        <v>3</v>
      </c>
      <c r="DF62" t="s">
        <v>3</v>
      </c>
      <c r="DG62" t="s">
        <v>3</v>
      </c>
      <c r="DH62" t="s">
        <v>3</v>
      </c>
      <c r="DI62" t="s">
        <v>3</v>
      </c>
      <c r="DJ62" t="s">
        <v>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1009</v>
      </c>
      <c r="DV62" t="s">
        <v>105</v>
      </c>
      <c r="DW62" t="s">
        <v>105</v>
      </c>
      <c r="DX62">
        <v>1000</v>
      </c>
      <c r="EE62">
        <v>39174529</v>
      </c>
      <c r="EF62">
        <v>2</v>
      </c>
      <c r="EG62" t="s">
        <v>20</v>
      </c>
      <c r="EH62">
        <v>0</v>
      </c>
      <c r="EI62" t="s">
        <v>3</v>
      </c>
      <c r="EJ62">
        <v>1</v>
      </c>
      <c r="EK62">
        <v>15001</v>
      </c>
      <c r="EL62" t="s">
        <v>21</v>
      </c>
      <c r="EM62" t="s">
        <v>22</v>
      </c>
      <c r="EO62" t="s">
        <v>3</v>
      </c>
      <c r="EQ62">
        <v>0</v>
      </c>
      <c r="ER62">
        <v>9713.4</v>
      </c>
      <c r="ES62">
        <v>9713.4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75"/>
        <v>0</v>
      </c>
      <c r="FS62">
        <v>0</v>
      </c>
      <c r="FT62" t="s">
        <v>24</v>
      </c>
      <c r="FU62" t="s">
        <v>25</v>
      </c>
      <c r="FX62">
        <v>94.5</v>
      </c>
      <c r="FY62">
        <v>46.75</v>
      </c>
      <c r="GA62" t="s">
        <v>3</v>
      </c>
      <c r="GD62">
        <v>0</v>
      </c>
      <c r="GF62">
        <v>-41639361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76"/>
        <v>0</v>
      </c>
      <c r="GM62">
        <f t="shared" si="77"/>
        <v>-47.45</v>
      </c>
      <c r="GN62">
        <f t="shared" si="78"/>
        <v>-47.45</v>
      </c>
      <c r="GO62">
        <f t="shared" si="79"/>
        <v>0</v>
      </c>
      <c r="GP62">
        <f t="shared" si="80"/>
        <v>0</v>
      </c>
      <c r="GR62">
        <v>0</v>
      </c>
      <c r="GS62">
        <v>3</v>
      </c>
      <c r="GT62">
        <v>0</v>
      </c>
      <c r="GU62" t="s">
        <v>3</v>
      </c>
      <c r="GV62">
        <f t="shared" si="81"/>
        <v>0</v>
      </c>
      <c r="GW62">
        <v>1</v>
      </c>
      <c r="GX62">
        <f t="shared" si="82"/>
        <v>0</v>
      </c>
      <c r="HA62">
        <v>0</v>
      </c>
      <c r="HB62">
        <v>0</v>
      </c>
      <c r="IK62">
        <v>0</v>
      </c>
    </row>
    <row r="63" spans="1:245" x14ac:dyDescent="0.2">
      <c r="A63">
        <v>18</v>
      </c>
      <c r="B63">
        <v>1</v>
      </c>
      <c r="C63">
        <v>126</v>
      </c>
      <c r="E63" t="s">
        <v>171</v>
      </c>
      <c r="F63" t="s">
        <v>172</v>
      </c>
      <c r="G63" t="s">
        <v>173</v>
      </c>
      <c r="H63" t="s">
        <v>105</v>
      </c>
      <c r="I63">
        <f>I57*J63</f>
        <v>-1.5219999999999999E-3</v>
      </c>
      <c r="J63">
        <v>-4.2994350282485874E-3</v>
      </c>
      <c r="O63">
        <f t="shared" si="50"/>
        <v>-278.3</v>
      </c>
      <c r="P63">
        <f t="shared" si="51"/>
        <v>-278.3</v>
      </c>
      <c r="Q63">
        <f t="shared" si="52"/>
        <v>0</v>
      </c>
      <c r="R63">
        <f t="shared" si="53"/>
        <v>0</v>
      </c>
      <c r="S63">
        <f t="shared" si="54"/>
        <v>0</v>
      </c>
      <c r="T63">
        <f t="shared" si="55"/>
        <v>0</v>
      </c>
      <c r="U63">
        <f t="shared" si="56"/>
        <v>0</v>
      </c>
      <c r="V63">
        <f t="shared" si="57"/>
        <v>0</v>
      </c>
      <c r="W63">
        <f t="shared" si="58"/>
        <v>0</v>
      </c>
      <c r="X63">
        <f t="shared" si="59"/>
        <v>0</v>
      </c>
      <c r="Y63">
        <f t="shared" si="60"/>
        <v>0</v>
      </c>
      <c r="AA63">
        <v>39579451</v>
      </c>
      <c r="AB63">
        <f t="shared" si="61"/>
        <v>26500</v>
      </c>
      <c r="AC63">
        <f t="shared" si="47"/>
        <v>26500</v>
      </c>
      <c r="AD63">
        <f t="shared" si="83"/>
        <v>0</v>
      </c>
      <c r="AE63">
        <f t="shared" si="84"/>
        <v>0</v>
      </c>
      <c r="AF63">
        <f t="shared" si="84"/>
        <v>0</v>
      </c>
      <c r="AG63">
        <f t="shared" si="62"/>
        <v>0</v>
      </c>
      <c r="AH63">
        <f t="shared" si="85"/>
        <v>0</v>
      </c>
      <c r="AI63">
        <f t="shared" si="85"/>
        <v>0</v>
      </c>
      <c r="AJ63">
        <f t="shared" si="63"/>
        <v>0</v>
      </c>
      <c r="AK63">
        <v>26500</v>
      </c>
      <c r="AL63">
        <v>26500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95</v>
      </c>
      <c r="AU63">
        <v>47</v>
      </c>
      <c r="AV63">
        <v>1</v>
      </c>
      <c r="AW63">
        <v>1</v>
      </c>
      <c r="AZ63">
        <v>6.9</v>
      </c>
      <c r="BA63">
        <v>1</v>
      </c>
      <c r="BB63">
        <v>1</v>
      </c>
      <c r="BC63">
        <v>6.9</v>
      </c>
      <c r="BD63" t="s">
        <v>3</v>
      </c>
      <c r="BE63" t="s">
        <v>3</v>
      </c>
      <c r="BF63" t="s">
        <v>3</v>
      </c>
      <c r="BG63" t="s">
        <v>3</v>
      </c>
      <c r="BH63">
        <v>3</v>
      </c>
      <c r="BI63">
        <v>1</v>
      </c>
      <c r="BJ63" t="s">
        <v>174</v>
      </c>
      <c r="BM63">
        <v>15001</v>
      </c>
      <c r="BN63">
        <v>0</v>
      </c>
      <c r="BO63" t="s">
        <v>3</v>
      </c>
      <c r="BP63">
        <v>0</v>
      </c>
      <c r="BQ63">
        <v>2</v>
      </c>
      <c r="BR63">
        <v>1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105</v>
      </c>
      <c r="CA63">
        <v>55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64"/>
        <v>-278.3</v>
      </c>
      <c r="CQ63">
        <f t="shared" si="65"/>
        <v>182850</v>
      </c>
      <c r="CR63">
        <f t="shared" si="66"/>
        <v>0</v>
      </c>
      <c r="CS63">
        <f t="shared" si="67"/>
        <v>0</v>
      </c>
      <c r="CT63">
        <f t="shared" si="68"/>
        <v>0</v>
      </c>
      <c r="CU63">
        <f t="shared" si="69"/>
        <v>0</v>
      </c>
      <c r="CV63">
        <f t="shared" si="70"/>
        <v>0</v>
      </c>
      <c r="CW63">
        <f t="shared" si="71"/>
        <v>0</v>
      </c>
      <c r="CX63">
        <f t="shared" si="72"/>
        <v>0</v>
      </c>
      <c r="CY63">
        <f t="shared" si="73"/>
        <v>0</v>
      </c>
      <c r="CZ63">
        <f t="shared" si="74"/>
        <v>0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1009</v>
      </c>
      <c r="DV63" t="s">
        <v>105</v>
      </c>
      <c r="DW63" t="s">
        <v>105</v>
      </c>
      <c r="DX63">
        <v>1000</v>
      </c>
      <c r="EE63">
        <v>39174529</v>
      </c>
      <c r="EF63">
        <v>2</v>
      </c>
      <c r="EG63" t="s">
        <v>20</v>
      </c>
      <c r="EH63">
        <v>0</v>
      </c>
      <c r="EI63" t="s">
        <v>3</v>
      </c>
      <c r="EJ63">
        <v>1</v>
      </c>
      <c r="EK63">
        <v>15001</v>
      </c>
      <c r="EL63" t="s">
        <v>21</v>
      </c>
      <c r="EM63" t="s">
        <v>22</v>
      </c>
      <c r="EO63" t="s">
        <v>3</v>
      </c>
      <c r="EQ63">
        <v>0</v>
      </c>
      <c r="ER63">
        <v>26500</v>
      </c>
      <c r="ES63">
        <v>26500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75"/>
        <v>0</v>
      </c>
      <c r="FS63">
        <v>0</v>
      </c>
      <c r="FT63" t="s">
        <v>24</v>
      </c>
      <c r="FU63" t="s">
        <v>25</v>
      </c>
      <c r="FX63">
        <v>94.5</v>
      </c>
      <c r="FY63">
        <v>46.75</v>
      </c>
      <c r="GA63" t="s">
        <v>3</v>
      </c>
      <c r="GD63">
        <v>0</v>
      </c>
      <c r="GF63">
        <v>-350008690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76"/>
        <v>0</v>
      </c>
      <c r="GM63">
        <f t="shared" si="77"/>
        <v>-278.3</v>
      </c>
      <c r="GN63">
        <f t="shared" si="78"/>
        <v>-278.3</v>
      </c>
      <c r="GO63">
        <f t="shared" si="79"/>
        <v>0</v>
      </c>
      <c r="GP63">
        <f t="shared" si="80"/>
        <v>0</v>
      </c>
      <c r="GR63">
        <v>0</v>
      </c>
      <c r="GS63">
        <v>3</v>
      </c>
      <c r="GT63">
        <v>0</v>
      </c>
      <c r="GU63" t="s">
        <v>3</v>
      </c>
      <c r="GV63">
        <f t="shared" si="81"/>
        <v>0</v>
      </c>
      <c r="GW63">
        <v>1</v>
      </c>
      <c r="GX63">
        <f t="shared" si="82"/>
        <v>0</v>
      </c>
      <c r="HA63">
        <v>0</v>
      </c>
      <c r="HB63">
        <v>0</v>
      </c>
      <c r="IK63">
        <v>0</v>
      </c>
    </row>
    <row r="64" spans="1:245" x14ac:dyDescent="0.2">
      <c r="A64">
        <v>17</v>
      </c>
      <c r="B64">
        <v>1</v>
      </c>
      <c r="C64">
        <f>ROW(SmtRes!A136)</f>
        <v>136</v>
      </c>
      <c r="D64">
        <f>ROW(EtalonRes!A136)</f>
        <v>136</v>
      </c>
      <c r="E64" t="s">
        <v>175</v>
      </c>
      <c r="F64" t="s">
        <v>176</v>
      </c>
      <c r="G64" t="s">
        <v>177</v>
      </c>
      <c r="H64" t="s">
        <v>178</v>
      </c>
      <c r="I64">
        <v>8</v>
      </c>
      <c r="J64">
        <v>0</v>
      </c>
      <c r="O64">
        <f t="shared" si="50"/>
        <v>1621.22</v>
      </c>
      <c r="P64">
        <f t="shared" si="51"/>
        <v>417.31</v>
      </c>
      <c r="Q64">
        <f t="shared" si="52"/>
        <v>189.89</v>
      </c>
      <c r="R64">
        <f t="shared" si="53"/>
        <v>18.22</v>
      </c>
      <c r="S64">
        <f t="shared" si="54"/>
        <v>1014.02</v>
      </c>
      <c r="T64">
        <f t="shared" si="55"/>
        <v>0</v>
      </c>
      <c r="U64">
        <f t="shared" si="56"/>
        <v>16.375999999999998</v>
      </c>
      <c r="V64">
        <f t="shared" si="57"/>
        <v>0.2</v>
      </c>
      <c r="W64">
        <f t="shared" si="58"/>
        <v>0</v>
      </c>
      <c r="X64">
        <f t="shared" si="59"/>
        <v>1187.08</v>
      </c>
      <c r="Y64">
        <f t="shared" si="60"/>
        <v>732.89</v>
      </c>
      <c r="AA64">
        <v>39579451</v>
      </c>
      <c r="AB64">
        <f t="shared" si="61"/>
        <v>29.37</v>
      </c>
      <c r="AC64">
        <f t="shared" si="47"/>
        <v>7.56</v>
      </c>
      <c r="AD64">
        <f>ROUND(((((ET64*1.25))-((EU64*1.25)))+AE64),2)</f>
        <v>3.44</v>
      </c>
      <c r="AE64">
        <f>ROUND(((EU64*1.25)),2)</f>
        <v>0.33</v>
      </c>
      <c r="AF64">
        <f>ROUND(((EV64*1.15)),2)</f>
        <v>18.37</v>
      </c>
      <c r="AG64">
        <f t="shared" si="62"/>
        <v>0</v>
      </c>
      <c r="AH64">
        <f>((EW64*1.15))</f>
        <v>2.0469999999999997</v>
      </c>
      <c r="AI64">
        <f>((EX64*1.25))</f>
        <v>2.5000000000000001E-2</v>
      </c>
      <c r="AJ64">
        <f t="shared" si="63"/>
        <v>0</v>
      </c>
      <c r="AK64">
        <v>26.28</v>
      </c>
      <c r="AL64">
        <v>7.56</v>
      </c>
      <c r="AM64">
        <v>2.75</v>
      </c>
      <c r="AN64">
        <v>0.26</v>
      </c>
      <c r="AO64">
        <v>15.97</v>
      </c>
      <c r="AP64">
        <v>0</v>
      </c>
      <c r="AQ64">
        <v>1.78</v>
      </c>
      <c r="AR64">
        <v>0.02</v>
      </c>
      <c r="AS64">
        <v>0</v>
      </c>
      <c r="AT64">
        <v>115</v>
      </c>
      <c r="AU64">
        <v>71</v>
      </c>
      <c r="AV64">
        <v>1</v>
      </c>
      <c r="AW64">
        <v>1</v>
      </c>
      <c r="AZ64">
        <v>6.9</v>
      </c>
      <c r="BA64">
        <v>6.9</v>
      </c>
      <c r="BB64">
        <v>6.9</v>
      </c>
      <c r="BC64">
        <v>6.9</v>
      </c>
      <c r="BD64" t="s">
        <v>3</v>
      </c>
      <c r="BE64" t="s">
        <v>3</v>
      </c>
      <c r="BF64" t="s">
        <v>3</v>
      </c>
      <c r="BG64" t="s">
        <v>3</v>
      </c>
      <c r="BH64">
        <v>0</v>
      </c>
      <c r="BI64">
        <v>1</v>
      </c>
      <c r="BJ64" t="s">
        <v>179</v>
      </c>
      <c r="BM64">
        <v>20001</v>
      </c>
      <c r="BN64">
        <v>0</v>
      </c>
      <c r="BO64" t="s">
        <v>3</v>
      </c>
      <c r="BP64">
        <v>0</v>
      </c>
      <c r="BQ64">
        <v>2</v>
      </c>
      <c r="BR64">
        <v>0</v>
      </c>
      <c r="BS64">
        <v>6.9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128</v>
      </c>
      <c r="CA64">
        <v>83</v>
      </c>
      <c r="CF64">
        <v>0</v>
      </c>
      <c r="CG64">
        <v>0</v>
      </c>
      <c r="CM64">
        <v>0</v>
      </c>
      <c r="CN64" t="s">
        <v>787</v>
      </c>
      <c r="CO64">
        <v>0</v>
      </c>
      <c r="CP64">
        <f t="shared" si="64"/>
        <v>1621.22</v>
      </c>
      <c r="CQ64">
        <f t="shared" si="65"/>
        <v>52.164000000000001</v>
      </c>
      <c r="CR64">
        <f t="shared" si="66"/>
        <v>23.736000000000001</v>
      </c>
      <c r="CS64">
        <f t="shared" si="67"/>
        <v>2.2770000000000001</v>
      </c>
      <c r="CT64">
        <f t="shared" si="68"/>
        <v>126.75300000000001</v>
      </c>
      <c r="CU64">
        <f t="shared" si="69"/>
        <v>0</v>
      </c>
      <c r="CV64">
        <f t="shared" si="70"/>
        <v>2.0469999999999997</v>
      </c>
      <c r="CW64">
        <f t="shared" si="71"/>
        <v>2.5000000000000001E-2</v>
      </c>
      <c r="CX64">
        <f t="shared" si="72"/>
        <v>0</v>
      </c>
      <c r="CY64">
        <f t="shared" si="73"/>
        <v>1187.076</v>
      </c>
      <c r="CZ64">
        <f t="shared" si="74"/>
        <v>732.89039999999989</v>
      </c>
      <c r="DC64" t="s">
        <v>3</v>
      </c>
      <c r="DD64" t="s">
        <v>3</v>
      </c>
      <c r="DE64" t="s">
        <v>78</v>
      </c>
      <c r="DF64" t="s">
        <v>78</v>
      </c>
      <c r="DG64" t="s">
        <v>79</v>
      </c>
      <c r="DH64" t="s">
        <v>3</v>
      </c>
      <c r="DI64" t="s">
        <v>79</v>
      </c>
      <c r="DJ64" t="s">
        <v>78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1013</v>
      </c>
      <c r="DV64" t="s">
        <v>178</v>
      </c>
      <c r="DW64" t="s">
        <v>178</v>
      </c>
      <c r="DX64">
        <v>1</v>
      </c>
      <c r="EE64">
        <v>39174534</v>
      </c>
      <c r="EF64">
        <v>2</v>
      </c>
      <c r="EG64" t="s">
        <v>20</v>
      </c>
      <c r="EH64">
        <v>0</v>
      </c>
      <c r="EI64" t="s">
        <v>3</v>
      </c>
      <c r="EJ64">
        <v>1</v>
      </c>
      <c r="EK64">
        <v>20001</v>
      </c>
      <c r="EL64" t="s">
        <v>180</v>
      </c>
      <c r="EM64" t="s">
        <v>181</v>
      </c>
      <c r="EO64" t="s">
        <v>80</v>
      </c>
      <c r="EQ64">
        <v>0</v>
      </c>
      <c r="ER64">
        <v>26.28</v>
      </c>
      <c r="ES64">
        <v>7.56</v>
      </c>
      <c r="ET64">
        <v>2.75</v>
      </c>
      <c r="EU64">
        <v>0.26</v>
      </c>
      <c r="EV64">
        <v>15.97</v>
      </c>
      <c r="EW64">
        <v>1.78</v>
      </c>
      <c r="EX64">
        <v>0.02</v>
      </c>
      <c r="EY64">
        <v>0</v>
      </c>
      <c r="FQ64">
        <v>0</v>
      </c>
      <c r="FR64">
        <f t="shared" si="75"/>
        <v>0</v>
      </c>
      <c r="FS64">
        <v>0</v>
      </c>
      <c r="FT64" t="s">
        <v>24</v>
      </c>
      <c r="FU64" t="s">
        <v>25</v>
      </c>
      <c r="FX64">
        <v>115.2</v>
      </c>
      <c r="FY64">
        <v>70.55</v>
      </c>
      <c r="GA64" t="s">
        <v>3</v>
      </c>
      <c r="GD64">
        <v>0</v>
      </c>
      <c r="GF64">
        <v>-533696293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76"/>
        <v>0</v>
      </c>
      <c r="GM64">
        <f t="shared" si="77"/>
        <v>3541.19</v>
      </c>
      <c r="GN64">
        <f t="shared" si="78"/>
        <v>3541.19</v>
      </c>
      <c r="GO64">
        <f t="shared" si="79"/>
        <v>0</v>
      </c>
      <c r="GP64">
        <f t="shared" si="80"/>
        <v>0</v>
      </c>
      <c r="GR64">
        <v>0</v>
      </c>
      <c r="GS64">
        <v>3</v>
      </c>
      <c r="GT64">
        <v>0</v>
      </c>
      <c r="GU64" t="s">
        <v>3</v>
      </c>
      <c r="GV64">
        <f t="shared" si="81"/>
        <v>0</v>
      </c>
      <c r="GW64">
        <v>1</v>
      </c>
      <c r="GX64">
        <f t="shared" si="82"/>
        <v>0</v>
      </c>
      <c r="HA64">
        <v>0</v>
      </c>
      <c r="HB64">
        <v>0</v>
      </c>
      <c r="IK64">
        <v>0</v>
      </c>
    </row>
    <row r="65" spans="1:245" x14ac:dyDescent="0.2">
      <c r="A65">
        <v>18</v>
      </c>
      <c r="B65">
        <v>1</v>
      </c>
      <c r="C65">
        <v>135</v>
      </c>
      <c r="E65" t="s">
        <v>182</v>
      </c>
      <c r="F65" t="s">
        <v>183</v>
      </c>
      <c r="G65" t="s">
        <v>184</v>
      </c>
      <c r="H65" t="s">
        <v>154</v>
      </c>
      <c r="I65">
        <f>I64*J65</f>
        <v>4.32</v>
      </c>
      <c r="J65">
        <v>0.54</v>
      </c>
      <c r="O65">
        <f t="shared" si="50"/>
        <v>1937.52</v>
      </c>
      <c r="P65">
        <f t="shared" si="51"/>
        <v>1937.52</v>
      </c>
      <c r="Q65">
        <f t="shared" si="52"/>
        <v>0</v>
      </c>
      <c r="R65">
        <f t="shared" si="53"/>
        <v>0</v>
      </c>
      <c r="S65">
        <f t="shared" si="54"/>
        <v>0</v>
      </c>
      <c r="T65">
        <f t="shared" si="55"/>
        <v>0</v>
      </c>
      <c r="U65">
        <f t="shared" si="56"/>
        <v>0</v>
      </c>
      <c r="V65">
        <f t="shared" si="57"/>
        <v>0</v>
      </c>
      <c r="W65">
        <f t="shared" si="58"/>
        <v>0</v>
      </c>
      <c r="X65">
        <f t="shared" si="59"/>
        <v>0</v>
      </c>
      <c r="Y65">
        <f t="shared" si="60"/>
        <v>0</v>
      </c>
      <c r="AA65">
        <v>39579451</v>
      </c>
      <c r="AB65">
        <f t="shared" si="61"/>
        <v>65</v>
      </c>
      <c r="AC65">
        <f t="shared" si="47"/>
        <v>65</v>
      </c>
      <c r="AD65">
        <f>ROUND((((ET65)-(EU65))+AE65),2)</f>
        <v>0</v>
      </c>
      <c r="AE65">
        <f>ROUND((EU65),2)</f>
        <v>0</v>
      </c>
      <c r="AF65">
        <f>ROUND((EV65),2)</f>
        <v>0</v>
      </c>
      <c r="AG65">
        <f t="shared" si="62"/>
        <v>0</v>
      </c>
      <c r="AH65">
        <f>(EW65)</f>
        <v>0</v>
      </c>
      <c r="AI65">
        <f>(EX65)</f>
        <v>0</v>
      </c>
      <c r="AJ65">
        <f t="shared" si="63"/>
        <v>0</v>
      </c>
      <c r="AK65">
        <v>65</v>
      </c>
      <c r="AL65">
        <v>65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115</v>
      </c>
      <c r="AU65">
        <v>71</v>
      </c>
      <c r="AV65">
        <v>1</v>
      </c>
      <c r="AW65">
        <v>1</v>
      </c>
      <c r="AZ65">
        <v>6.9</v>
      </c>
      <c r="BA65">
        <v>1</v>
      </c>
      <c r="BB65">
        <v>1</v>
      </c>
      <c r="BC65">
        <v>6.9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1</v>
      </c>
      <c r="BJ65" t="s">
        <v>185</v>
      </c>
      <c r="BM65">
        <v>20001</v>
      </c>
      <c r="BN65">
        <v>0</v>
      </c>
      <c r="BO65" t="s">
        <v>3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128</v>
      </c>
      <c r="CA65">
        <v>83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64"/>
        <v>1937.52</v>
      </c>
      <c r="CQ65">
        <f t="shared" si="65"/>
        <v>448.5</v>
      </c>
      <c r="CR65">
        <f t="shared" si="66"/>
        <v>0</v>
      </c>
      <c r="CS65">
        <f t="shared" si="67"/>
        <v>0</v>
      </c>
      <c r="CT65">
        <f t="shared" si="68"/>
        <v>0</v>
      </c>
      <c r="CU65">
        <f t="shared" si="69"/>
        <v>0</v>
      </c>
      <c r="CV65">
        <f t="shared" si="70"/>
        <v>0</v>
      </c>
      <c r="CW65">
        <f t="shared" si="71"/>
        <v>0</v>
      </c>
      <c r="CX65">
        <f t="shared" si="72"/>
        <v>0</v>
      </c>
      <c r="CY65">
        <f t="shared" si="73"/>
        <v>0</v>
      </c>
      <c r="CZ65">
        <f t="shared" si="74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154</v>
      </c>
      <c r="DW65" t="s">
        <v>154</v>
      </c>
      <c r="DX65">
        <v>1</v>
      </c>
      <c r="EE65">
        <v>39174534</v>
      </c>
      <c r="EF65">
        <v>2</v>
      </c>
      <c r="EG65" t="s">
        <v>20</v>
      </c>
      <c r="EH65">
        <v>0</v>
      </c>
      <c r="EI65" t="s">
        <v>3</v>
      </c>
      <c r="EJ65">
        <v>1</v>
      </c>
      <c r="EK65">
        <v>20001</v>
      </c>
      <c r="EL65" t="s">
        <v>180</v>
      </c>
      <c r="EM65" t="s">
        <v>181</v>
      </c>
      <c r="EO65" t="s">
        <v>3</v>
      </c>
      <c r="EQ65">
        <v>0</v>
      </c>
      <c r="ER65">
        <v>65</v>
      </c>
      <c r="ES65">
        <v>65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75"/>
        <v>0</v>
      </c>
      <c r="FS65">
        <v>0</v>
      </c>
      <c r="FT65" t="s">
        <v>24</v>
      </c>
      <c r="FU65" t="s">
        <v>25</v>
      </c>
      <c r="FX65">
        <v>115.2</v>
      </c>
      <c r="FY65">
        <v>70.55</v>
      </c>
      <c r="GA65" t="s">
        <v>3</v>
      </c>
      <c r="GD65">
        <v>0</v>
      </c>
      <c r="GF65">
        <v>-771153432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76"/>
        <v>0</v>
      </c>
      <c r="GM65">
        <f t="shared" si="77"/>
        <v>1937.52</v>
      </c>
      <c r="GN65">
        <f t="shared" si="78"/>
        <v>1937.52</v>
      </c>
      <c r="GO65">
        <f t="shared" si="79"/>
        <v>0</v>
      </c>
      <c r="GP65">
        <f t="shared" si="80"/>
        <v>0</v>
      </c>
      <c r="GR65">
        <v>0</v>
      </c>
      <c r="GS65">
        <v>3</v>
      </c>
      <c r="GT65">
        <v>0</v>
      </c>
      <c r="GU65" t="s">
        <v>3</v>
      </c>
      <c r="GV65">
        <f t="shared" si="81"/>
        <v>0</v>
      </c>
      <c r="GW65">
        <v>1</v>
      </c>
      <c r="GX65">
        <f t="shared" si="82"/>
        <v>0</v>
      </c>
      <c r="HA65">
        <v>0</v>
      </c>
      <c r="HB65">
        <v>0</v>
      </c>
      <c r="IK65">
        <v>0</v>
      </c>
    </row>
    <row r="66" spans="1:245" x14ac:dyDescent="0.2">
      <c r="A66">
        <v>18</v>
      </c>
      <c r="B66">
        <v>1</v>
      </c>
      <c r="C66">
        <v>136</v>
      </c>
      <c r="E66" t="s">
        <v>186</v>
      </c>
      <c r="F66" t="s">
        <v>187</v>
      </c>
      <c r="G66" t="s">
        <v>188</v>
      </c>
      <c r="H66" t="s">
        <v>189</v>
      </c>
      <c r="I66">
        <f>I64*J66</f>
        <v>8</v>
      </c>
      <c r="J66">
        <v>1</v>
      </c>
      <c r="O66">
        <f t="shared" si="50"/>
        <v>0</v>
      </c>
      <c r="P66">
        <f t="shared" si="51"/>
        <v>0</v>
      </c>
      <c r="Q66">
        <f t="shared" si="52"/>
        <v>0</v>
      </c>
      <c r="R66">
        <f t="shared" si="53"/>
        <v>0</v>
      </c>
      <c r="S66">
        <f t="shared" si="54"/>
        <v>0</v>
      </c>
      <c r="T66">
        <f t="shared" si="55"/>
        <v>0</v>
      </c>
      <c r="U66">
        <f t="shared" si="56"/>
        <v>0</v>
      </c>
      <c r="V66">
        <f t="shared" si="57"/>
        <v>0</v>
      </c>
      <c r="W66">
        <f t="shared" si="58"/>
        <v>0</v>
      </c>
      <c r="X66">
        <f t="shared" si="59"/>
        <v>0</v>
      </c>
      <c r="Y66">
        <f t="shared" si="60"/>
        <v>0</v>
      </c>
      <c r="AA66">
        <v>39579451</v>
      </c>
      <c r="AB66">
        <f t="shared" si="61"/>
        <v>0</v>
      </c>
      <c r="AC66">
        <f t="shared" si="47"/>
        <v>0</v>
      </c>
      <c r="AD66">
        <f>ROUND((((ET66)-(EU66))+AE66),2)</f>
        <v>0</v>
      </c>
      <c r="AE66">
        <f>ROUND((EU66),2)</f>
        <v>0</v>
      </c>
      <c r="AF66">
        <f>ROUND((EV66),2)</f>
        <v>0</v>
      </c>
      <c r="AG66">
        <f t="shared" si="62"/>
        <v>0</v>
      </c>
      <c r="AH66">
        <f>(EW66)</f>
        <v>0</v>
      </c>
      <c r="AI66">
        <f>(EX66)</f>
        <v>0</v>
      </c>
      <c r="AJ66">
        <f t="shared" si="63"/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115</v>
      </c>
      <c r="AU66">
        <v>71</v>
      </c>
      <c r="AV66">
        <v>1</v>
      </c>
      <c r="AW66">
        <v>1</v>
      </c>
      <c r="AZ66">
        <v>6.9</v>
      </c>
      <c r="BA66">
        <v>1</v>
      </c>
      <c r="BB66">
        <v>1</v>
      </c>
      <c r="BC66">
        <v>6.9</v>
      </c>
      <c r="BD66" t="s">
        <v>3</v>
      </c>
      <c r="BE66" t="s">
        <v>3</v>
      </c>
      <c r="BF66" t="s">
        <v>3</v>
      </c>
      <c r="BG66" t="s">
        <v>3</v>
      </c>
      <c r="BH66">
        <v>3</v>
      </c>
      <c r="BI66">
        <v>1</v>
      </c>
      <c r="BJ66" t="s">
        <v>3</v>
      </c>
      <c r="BM66">
        <v>20001</v>
      </c>
      <c r="BN66">
        <v>0</v>
      </c>
      <c r="BO66" t="s">
        <v>3</v>
      </c>
      <c r="BP66">
        <v>0</v>
      </c>
      <c r="BQ66">
        <v>2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128</v>
      </c>
      <c r="CA66">
        <v>83</v>
      </c>
      <c r="CF66">
        <v>0</v>
      </c>
      <c r="CG66">
        <v>0</v>
      </c>
      <c r="CM66">
        <v>0</v>
      </c>
      <c r="CN66" t="s">
        <v>3</v>
      </c>
      <c r="CO66">
        <v>0</v>
      </c>
      <c r="CP66">
        <f t="shared" si="64"/>
        <v>0</v>
      </c>
      <c r="CQ66">
        <f t="shared" si="65"/>
        <v>0</v>
      </c>
      <c r="CR66">
        <f t="shared" si="66"/>
        <v>0</v>
      </c>
      <c r="CS66">
        <f t="shared" si="67"/>
        <v>0</v>
      </c>
      <c r="CT66">
        <f t="shared" si="68"/>
        <v>0</v>
      </c>
      <c r="CU66">
        <f t="shared" si="69"/>
        <v>0</v>
      </c>
      <c r="CV66">
        <f t="shared" si="70"/>
        <v>0</v>
      </c>
      <c r="CW66">
        <f t="shared" si="71"/>
        <v>0</v>
      </c>
      <c r="CX66">
        <f t="shared" si="72"/>
        <v>0</v>
      </c>
      <c r="CY66">
        <f t="shared" si="73"/>
        <v>0</v>
      </c>
      <c r="CZ66">
        <f t="shared" si="74"/>
        <v>0</v>
      </c>
      <c r="DC66" t="s">
        <v>3</v>
      </c>
      <c r="DD66" t="s">
        <v>3</v>
      </c>
      <c r="DE66" t="s">
        <v>3</v>
      </c>
      <c r="DF66" t="s">
        <v>3</v>
      </c>
      <c r="DG66" t="s">
        <v>3</v>
      </c>
      <c r="DH66" t="s">
        <v>3</v>
      </c>
      <c r="DI66" t="s">
        <v>3</v>
      </c>
      <c r="DJ66" t="s">
        <v>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1010</v>
      </c>
      <c r="DV66" t="s">
        <v>189</v>
      </c>
      <c r="DW66" t="s">
        <v>189</v>
      </c>
      <c r="DX66">
        <v>1</v>
      </c>
      <c r="EE66">
        <v>39174534</v>
      </c>
      <c r="EF66">
        <v>2</v>
      </c>
      <c r="EG66" t="s">
        <v>20</v>
      </c>
      <c r="EH66">
        <v>0</v>
      </c>
      <c r="EI66" t="s">
        <v>3</v>
      </c>
      <c r="EJ66">
        <v>1</v>
      </c>
      <c r="EK66">
        <v>20001</v>
      </c>
      <c r="EL66" t="s">
        <v>180</v>
      </c>
      <c r="EM66" t="s">
        <v>181</v>
      </c>
      <c r="EO66" t="s">
        <v>3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 t="shared" si="75"/>
        <v>0</v>
      </c>
      <c r="FS66">
        <v>0</v>
      </c>
      <c r="FT66" t="s">
        <v>24</v>
      </c>
      <c r="FU66" t="s">
        <v>25</v>
      </c>
      <c r="FX66">
        <v>115.2</v>
      </c>
      <c r="FY66">
        <v>70.55</v>
      </c>
      <c r="GA66" t="s">
        <v>3</v>
      </c>
      <c r="GD66">
        <v>0</v>
      </c>
      <c r="GF66">
        <v>-698526538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76"/>
        <v>0</v>
      </c>
      <c r="GM66">
        <f t="shared" si="77"/>
        <v>0</v>
      </c>
      <c r="GN66">
        <f t="shared" si="78"/>
        <v>0</v>
      </c>
      <c r="GO66">
        <f t="shared" si="79"/>
        <v>0</v>
      </c>
      <c r="GP66">
        <f t="shared" si="80"/>
        <v>0</v>
      </c>
      <c r="GR66">
        <v>0</v>
      </c>
      <c r="GS66">
        <v>3</v>
      </c>
      <c r="GT66">
        <v>0</v>
      </c>
      <c r="GU66" t="s">
        <v>3</v>
      </c>
      <c r="GV66">
        <f t="shared" si="81"/>
        <v>0</v>
      </c>
      <c r="GW66">
        <v>1</v>
      </c>
      <c r="GX66">
        <f t="shared" si="82"/>
        <v>0</v>
      </c>
      <c r="HA66">
        <v>0</v>
      </c>
      <c r="HB66">
        <v>0</v>
      </c>
      <c r="IK66">
        <v>0</v>
      </c>
    </row>
    <row r="67" spans="1:245" x14ac:dyDescent="0.2">
      <c r="A67">
        <v>17</v>
      </c>
      <c r="B67">
        <v>1</v>
      </c>
      <c r="C67">
        <f>ROW(SmtRes!A148)</f>
        <v>148</v>
      </c>
      <c r="D67">
        <f>ROW(EtalonRes!A147)</f>
        <v>147</v>
      </c>
      <c r="E67" t="s">
        <v>190</v>
      </c>
      <c r="F67" t="s">
        <v>191</v>
      </c>
      <c r="G67" t="s">
        <v>192</v>
      </c>
      <c r="H67" t="s">
        <v>15</v>
      </c>
      <c r="I67">
        <f>ROUND(92/100,9)</f>
        <v>0.92</v>
      </c>
      <c r="J67">
        <v>0</v>
      </c>
      <c r="O67">
        <f t="shared" si="50"/>
        <v>2950.61</v>
      </c>
      <c r="P67">
        <f t="shared" si="51"/>
        <v>767.73</v>
      </c>
      <c r="Q67">
        <f t="shared" si="52"/>
        <v>7.74</v>
      </c>
      <c r="R67">
        <f t="shared" si="53"/>
        <v>2.09</v>
      </c>
      <c r="S67">
        <f t="shared" si="54"/>
        <v>2175.14</v>
      </c>
      <c r="T67">
        <f t="shared" si="55"/>
        <v>0</v>
      </c>
      <c r="U67">
        <f t="shared" si="56"/>
        <v>35.580540000000006</v>
      </c>
      <c r="V67">
        <f t="shared" si="57"/>
        <v>2.3000000000000003E-2</v>
      </c>
      <c r="W67">
        <f t="shared" si="58"/>
        <v>0</v>
      </c>
      <c r="X67">
        <f t="shared" si="59"/>
        <v>2068.37</v>
      </c>
      <c r="Y67">
        <f t="shared" si="60"/>
        <v>1023.3</v>
      </c>
      <c r="AA67">
        <v>39579451</v>
      </c>
      <c r="AB67">
        <f t="shared" si="61"/>
        <v>464.81</v>
      </c>
      <c r="AC67">
        <f t="shared" si="47"/>
        <v>120.94</v>
      </c>
      <c r="AD67">
        <f>ROUND(((((ET67*1.25))-((EU67*1.25)))+AE67),2)</f>
        <v>1.22</v>
      </c>
      <c r="AE67">
        <f>ROUND(((EU67*1.25)),2)</f>
        <v>0.33</v>
      </c>
      <c r="AF67">
        <f>ROUND(((EV67*1.15)),2)</f>
        <v>342.65</v>
      </c>
      <c r="AG67">
        <f t="shared" si="62"/>
        <v>0</v>
      </c>
      <c r="AH67">
        <f>((EW67*1.15))</f>
        <v>38.674500000000002</v>
      </c>
      <c r="AI67">
        <f>((EX67*1.25))</f>
        <v>2.5000000000000001E-2</v>
      </c>
      <c r="AJ67">
        <f t="shared" si="63"/>
        <v>0</v>
      </c>
      <c r="AK67">
        <v>419.87</v>
      </c>
      <c r="AL67">
        <v>120.94</v>
      </c>
      <c r="AM67">
        <v>0.97</v>
      </c>
      <c r="AN67">
        <v>0.26</v>
      </c>
      <c r="AO67">
        <v>297.95999999999998</v>
      </c>
      <c r="AP67">
        <v>0</v>
      </c>
      <c r="AQ67">
        <v>33.630000000000003</v>
      </c>
      <c r="AR67">
        <v>0.02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6.9</v>
      </c>
      <c r="BA67">
        <v>6.9</v>
      </c>
      <c r="BB67">
        <v>6.9</v>
      </c>
      <c r="BC67">
        <v>6.9</v>
      </c>
      <c r="BD67" t="s">
        <v>3</v>
      </c>
      <c r="BE67" t="s">
        <v>3</v>
      </c>
      <c r="BF67" t="s">
        <v>3</v>
      </c>
      <c r="BG67" t="s">
        <v>3</v>
      </c>
      <c r="BH67">
        <v>0</v>
      </c>
      <c r="BI67">
        <v>1</v>
      </c>
      <c r="BJ67" t="s">
        <v>193</v>
      </c>
      <c r="BM67">
        <v>15001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6.9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105</v>
      </c>
      <c r="CA67">
        <v>55</v>
      </c>
      <c r="CF67">
        <v>0</v>
      </c>
      <c r="CG67">
        <v>0</v>
      </c>
      <c r="CM67">
        <v>0</v>
      </c>
      <c r="CN67" t="s">
        <v>787</v>
      </c>
      <c r="CO67">
        <v>0</v>
      </c>
      <c r="CP67">
        <f t="shared" si="64"/>
        <v>2950.6099999999997</v>
      </c>
      <c r="CQ67">
        <f t="shared" si="65"/>
        <v>834.48599999999999</v>
      </c>
      <c r="CR67">
        <f t="shared" si="66"/>
        <v>8.418000000000001</v>
      </c>
      <c r="CS67">
        <f t="shared" si="67"/>
        <v>2.2770000000000001</v>
      </c>
      <c r="CT67">
        <f t="shared" si="68"/>
        <v>2364.2849999999999</v>
      </c>
      <c r="CU67">
        <f t="shared" si="69"/>
        <v>0</v>
      </c>
      <c r="CV67">
        <f t="shared" si="70"/>
        <v>38.674500000000002</v>
      </c>
      <c r="CW67">
        <f t="shared" si="71"/>
        <v>2.5000000000000001E-2</v>
      </c>
      <c r="CX67">
        <f t="shared" si="72"/>
        <v>0</v>
      </c>
      <c r="CY67">
        <f t="shared" si="73"/>
        <v>2068.3685</v>
      </c>
      <c r="CZ67">
        <f t="shared" si="74"/>
        <v>1023.2981</v>
      </c>
      <c r="DC67" t="s">
        <v>3</v>
      </c>
      <c r="DD67" t="s">
        <v>3</v>
      </c>
      <c r="DE67" t="s">
        <v>78</v>
      </c>
      <c r="DF67" t="s">
        <v>78</v>
      </c>
      <c r="DG67" t="s">
        <v>79</v>
      </c>
      <c r="DH67" t="s">
        <v>3</v>
      </c>
      <c r="DI67" t="s">
        <v>79</v>
      </c>
      <c r="DJ67" t="s">
        <v>78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15</v>
      </c>
      <c r="DW67" t="s">
        <v>15</v>
      </c>
      <c r="DX67">
        <v>100</v>
      </c>
      <c r="EE67">
        <v>39174529</v>
      </c>
      <c r="EF67">
        <v>2</v>
      </c>
      <c r="EG67" t="s">
        <v>20</v>
      </c>
      <c r="EH67">
        <v>0</v>
      </c>
      <c r="EI67" t="s">
        <v>3</v>
      </c>
      <c r="EJ67">
        <v>1</v>
      </c>
      <c r="EK67">
        <v>15001</v>
      </c>
      <c r="EL67" t="s">
        <v>21</v>
      </c>
      <c r="EM67" t="s">
        <v>22</v>
      </c>
      <c r="EO67" t="s">
        <v>80</v>
      </c>
      <c r="EQ67">
        <v>0</v>
      </c>
      <c r="ER67">
        <v>419.87</v>
      </c>
      <c r="ES67">
        <v>120.94</v>
      </c>
      <c r="ET67">
        <v>0.97</v>
      </c>
      <c r="EU67">
        <v>0.26</v>
      </c>
      <c r="EV67">
        <v>297.95999999999998</v>
      </c>
      <c r="EW67">
        <v>33.630000000000003</v>
      </c>
      <c r="EX67">
        <v>0.02</v>
      </c>
      <c r="EY67">
        <v>0</v>
      </c>
      <c r="FQ67">
        <v>0</v>
      </c>
      <c r="FR67">
        <f t="shared" si="75"/>
        <v>0</v>
      </c>
      <c r="FS67">
        <v>0</v>
      </c>
      <c r="FT67" t="s">
        <v>24</v>
      </c>
      <c r="FU67" t="s">
        <v>25</v>
      </c>
      <c r="FX67">
        <v>94.5</v>
      </c>
      <c r="FY67">
        <v>46.75</v>
      </c>
      <c r="GA67" t="s">
        <v>3</v>
      </c>
      <c r="GD67">
        <v>0</v>
      </c>
      <c r="GF67">
        <v>33197345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76"/>
        <v>0</v>
      </c>
      <c r="GM67">
        <f t="shared" si="77"/>
        <v>6042.28</v>
      </c>
      <c r="GN67">
        <f t="shared" si="78"/>
        <v>6042.28</v>
      </c>
      <c r="GO67">
        <f t="shared" si="79"/>
        <v>0</v>
      </c>
      <c r="GP67">
        <f t="shared" si="80"/>
        <v>0</v>
      </c>
      <c r="GR67">
        <v>0</v>
      </c>
      <c r="GS67">
        <v>3</v>
      </c>
      <c r="GT67">
        <v>0</v>
      </c>
      <c r="GU67" t="s">
        <v>3</v>
      </c>
      <c r="GV67">
        <f t="shared" si="81"/>
        <v>0</v>
      </c>
      <c r="GW67">
        <v>1</v>
      </c>
      <c r="GX67">
        <f t="shared" si="82"/>
        <v>0</v>
      </c>
      <c r="HA67">
        <v>0</v>
      </c>
      <c r="HB67">
        <v>0</v>
      </c>
      <c r="IK67">
        <v>0</v>
      </c>
    </row>
    <row r="68" spans="1:245" x14ac:dyDescent="0.2">
      <c r="A68">
        <v>18</v>
      </c>
      <c r="B68">
        <v>1</v>
      </c>
      <c r="C68">
        <v>142</v>
      </c>
      <c r="E68" t="s">
        <v>194</v>
      </c>
      <c r="F68" t="s">
        <v>195</v>
      </c>
      <c r="G68" t="s">
        <v>196</v>
      </c>
      <c r="H68" t="s">
        <v>197</v>
      </c>
      <c r="I68">
        <f>I67*J68</f>
        <v>10.396000000000001</v>
      </c>
      <c r="J68">
        <v>11.3</v>
      </c>
      <c r="O68">
        <f t="shared" si="50"/>
        <v>3439.57</v>
      </c>
      <c r="P68">
        <f t="shared" si="51"/>
        <v>3439.57</v>
      </c>
      <c r="Q68">
        <f t="shared" si="52"/>
        <v>0</v>
      </c>
      <c r="R68">
        <f t="shared" si="53"/>
        <v>0</v>
      </c>
      <c r="S68">
        <f t="shared" si="54"/>
        <v>0</v>
      </c>
      <c r="T68">
        <f t="shared" si="55"/>
        <v>0</v>
      </c>
      <c r="U68">
        <f t="shared" si="56"/>
        <v>0</v>
      </c>
      <c r="V68">
        <f t="shared" si="57"/>
        <v>0</v>
      </c>
      <c r="W68">
        <f t="shared" si="58"/>
        <v>0</v>
      </c>
      <c r="X68">
        <f t="shared" si="59"/>
        <v>0</v>
      </c>
      <c r="Y68">
        <f t="shared" si="60"/>
        <v>0</v>
      </c>
      <c r="AA68">
        <v>39579451</v>
      </c>
      <c r="AB68">
        <f t="shared" si="61"/>
        <v>47.95</v>
      </c>
      <c r="AC68">
        <f t="shared" si="47"/>
        <v>47.95</v>
      </c>
      <c r="AD68">
        <f>ROUND((((ET68)-(EU68))+AE68),2)</f>
        <v>0</v>
      </c>
      <c r="AE68">
        <f>ROUND((EU68),2)</f>
        <v>0</v>
      </c>
      <c r="AF68">
        <f>ROUND((EV68),2)</f>
        <v>0</v>
      </c>
      <c r="AG68">
        <f t="shared" si="62"/>
        <v>0</v>
      </c>
      <c r="AH68">
        <f>(EW68)</f>
        <v>0</v>
      </c>
      <c r="AI68">
        <f>(EX68)</f>
        <v>0</v>
      </c>
      <c r="AJ68">
        <f t="shared" si="63"/>
        <v>0</v>
      </c>
      <c r="AK68">
        <v>47.95</v>
      </c>
      <c r="AL68">
        <v>47.95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95</v>
      </c>
      <c r="AU68">
        <v>47</v>
      </c>
      <c r="AV68">
        <v>1</v>
      </c>
      <c r="AW68">
        <v>1</v>
      </c>
      <c r="AZ68">
        <v>6.9</v>
      </c>
      <c r="BA68">
        <v>1</v>
      </c>
      <c r="BB68">
        <v>1</v>
      </c>
      <c r="BC68">
        <v>6.9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1</v>
      </c>
      <c r="BJ68" t="s">
        <v>198</v>
      </c>
      <c r="BM68">
        <v>15001</v>
      </c>
      <c r="BN68">
        <v>0</v>
      </c>
      <c r="BO68" t="s">
        <v>3</v>
      </c>
      <c r="BP68">
        <v>0</v>
      </c>
      <c r="BQ68">
        <v>2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105</v>
      </c>
      <c r="CA68">
        <v>55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64"/>
        <v>3439.57</v>
      </c>
      <c r="CQ68">
        <f t="shared" si="65"/>
        <v>330.85500000000002</v>
      </c>
      <c r="CR68">
        <f t="shared" si="66"/>
        <v>0</v>
      </c>
      <c r="CS68">
        <f t="shared" si="67"/>
        <v>0</v>
      </c>
      <c r="CT68">
        <f t="shared" si="68"/>
        <v>0</v>
      </c>
      <c r="CU68">
        <f t="shared" si="69"/>
        <v>0</v>
      </c>
      <c r="CV68">
        <f t="shared" si="70"/>
        <v>0</v>
      </c>
      <c r="CW68">
        <f t="shared" si="71"/>
        <v>0</v>
      </c>
      <c r="CX68">
        <f t="shared" si="72"/>
        <v>0</v>
      </c>
      <c r="CY68">
        <f t="shared" si="73"/>
        <v>0</v>
      </c>
      <c r="CZ68">
        <f t="shared" si="74"/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1005</v>
      </c>
      <c r="DV68" t="s">
        <v>197</v>
      </c>
      <c r="DW68" t="s">
        <v>197</v>
      </c>
      <c r="DX68">
        <v>10</v>
      </c>
      <c r="EE68">
        <v>39174529</v>
      </c>
      <c r="EF68">
        <v>2</v>
      </c>
      <c r="EG68" t="s">
        <v>20</v>
      </c>
      <c r="EH68">
        <v>0</v>
      </c>
      <c r="EI68" t="s">
        <v>3</v>
      </c>
      <c r="EJ68">
        <v>1</v>
      </c>
      <c r="EK68">
        <v>15001</v>
      </c>
      <c r="EL68" t="s">
        <v>21</v>
      </c>
      <c r="EM68" t="s">
        <v>22</v>
      </c>
      <c r="EO68" t="s">
        <v>3</v>
      </c>
      <c r="EQ68">
        <v>0</v>
      </c>
      <c r="ER68">
        <v>47.95</v>
      </c>
      <c r="ES68">
        <v>47.95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75"/>
        <v>0</v>
      </c>
      <c r="FS68">
        <v>0</v>
      </c>
      <c r="FT68" t="s">
        <v>24</v>
      </c>
      <c r="FU68" t="s">
        <v>25</v>
      </c>
      <c r="FX68">
        <v>94.5</v>
      </c>
      <c r="FY68">
        <v>46.75</v>
      </c>
      <c r="GA68" t="s">
        <v>3</v>
      </c>
      <c r="GD68">
        <v>0</v>
      </c>
      <c r="GF68">
        <v>401891962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76"/>
        <v>0</v>
      </c>
      <c r="GM68">
        <f t="shared" si="77"/>
        <v>3439.57</v>
      </c>
      <c r="GN68">
        <f t="shared" si="78"/>
        <v>3439.57</v>
      </c>
      <c r="GO68">
        <f t="shared" si="79"/>
        <v>0</v>
      </c>
      <c r="GP68">
        <f t="shared" si="80"/>
        <v>0</v>
      </c>
      <c r="GR68">
        <v>0</v>
      </c>
      <c r="GS68">
        <v>3</v>
      </c>
      <c r="GT68">
        <v>0</v>
      </c>
      <c r="GU68" t="s">
        <v>3</v>
      </c>
      <c r="GV68">
        <f t="shared" si="81"/>
        <v>0</v>
      </c>
      <c r="GW68">
        <v>1</v>
      </c>
      <c r="GX68">
        <f t="shared" si="82"/>
        <v>0</v>
      </c>
      <c r="HA68">
        <v>0</v>
      </c>
      <c r="HB68">
        <v>0</v>
      </c>
      <c r="IK68">
        <v>0</v>
      </c>
    </row>
    <row r="69" spans="1:245" x14ac:dyDescent="0.2">
      <c r="A69">
        <v>18</v>
      </c>
      <c r="B69">
        <v>1</v>
      </c>
      <c r="C69">
        <v>141</v>
      </c>
      <c r="E69" t="s">
        <v>199</v>
      </c>
      <c r="F69" t="s">
        <v>200</v>
      </c>
      <c r="G69" t="s">
        <v>201</v>
      </c>
      <c r="H69" t="s">
        <v>15</v>
      </c>
      <c r="I69">
        <f>I67*J69</f>
        <v>1.0395999999999999</v>
      </c>
      <c r="J69">
        <v>1.1299999999999999</v>
      </c>
      <c r="O69">
        <f t="shared" si="50"/>
        <v>0</v>
      </c>
      <c r="P69">
        <f t="shared" si="51"/>
        <v>0</v>
      </c>
      <c r="Q69">
        <f t="shared" si="52"/>
        <v>0</v>
      </c>
      <c r="R69">
        <f t="shared" si="53"/>
        <v>0</v>
      </c>
      <c r="S69">
        <f t="shared" si="54"/>
        <v>0</v>
      </c>
      <c r="T69">
        <f t="shared" si="55"/>
        <v>0</v>
      </c>
      <c r="U69">
        <f t="shared" si="56"/>
        <v>0</v>
      </c>
      <c r="V69">
        <f t="shared" si="57"/>
        <v>0</v>
      </c>
      <c r="W69">
        <f t="shared" si="58"/>
        <v>0</v>
      </c>
      <c r="X69">
        <f t="shared" si="59"/>
        <v>0</v>
      </c>
      <c r="Y69">
        <f t="shared" si="60"/>
        <v>0</v>
      </c>
      <c r="AA69">
        <v>39579451</v>
      </c>
      <c r="AB69">
        <f t="shared" si="61"/>
        <v>0</v>
      </c>
      <c r="AC69">
        <f t="shared" si="47"/>
        <v>0</v>
      </c>
      <c r="AD69">
        <f>ROUND((((ET69)-(EU69))+AE69),2)</f>
        <v>0</v>
      </c>
      <c r="AE69">
        <f>ROUND((EU69),2)</f>
        <v>0</v>
      </c>
      <c r="AF69">
        <f>ROUND((EV69),2)</f>
        <v>0</v>
      </c>
      <c r="AG69">
        <f t="shared" si="62"/>
        <v>0</v>
      </c>
      <c r="AH69">
        <f>(EW69)</f>
        <v>0</v>
      </c>
      <c r="AI69">
        <f>(EX69)</f>
        <v>0</v>
      </c>
      <c r="AJ69">
        <f t="shared" si="63"/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6.9</v>
      </c>
      <c r="BA69">
        <v>1</v>
      </c>
      <c r="BB69">
        <v>1</v>
      </c>
      <c r="BC69">
        <v>6.9</v>
      </c>
      <c r="BD69" t="s">
        <v>3</v>
      </c>
      <c r="BE69" t="s">
        <v>3</v>
      </c>
      <c r="BF69" t="s">
        <v>3</v>
      </c>
      <c r="BG69" t="s">
        <v>3</v>
      </c>
      <c r="BH69">
        <v>3</v>
      </c>
      <c r="BI69">
        <v>1</v>
      </c>
      <c r="BJ69" t="s">
        <v>3</v>
      </c>
      <c r="BM69">
        <v>15001</v>
      </c>
      <c r="BN69">
        <v>0</v>
      </c>
      <c r="BO69" t="s">
        <v>3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64"/>
        <v>0</v>
      </c>
      <c r="CQ69">
        <f t="shared" si="65"/>
        <v>0</v>
      </c>
      <c r="CR69">
        <f t="shared" si="66"/>
        <v>0</v>
      </c>
      <c r="CS69">
        <f t="shared" si="67"/>
        <v>0</v>
      </c>
      <c r="CT69">
        <f t="shared" si="68"/>
        <v>0</v>
      </c>
      <c r="CU69">
        <f t="shared" si="69"/>
        <v>0</v>
      </c>
      <c r="CV69">
        <f t="shared" si="70"/>
        <v>0</v>
      </c>
      <c r="CW69">
        <f t="shared" si="71"/>
        <v>0</v>
      </c>
      <c r="CX69">
        <f t="shared" si="72"/>
        <v>0</v>
      </c>
      <c r="CY69">
        <f t="shared" si="73"/>
        <v>0</v>
      </c>
      <c r="CZ69">
        <f t="shared" si="74"/>
        <v>0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15</v>
      </c>
      <c r="DW69" t="s">
        <v>15</v>
      </c>
      <c r="DX69">
        <v>100</v>
      </c>
      <c r="EE69">
        <v>39174529</v>
      </c>
      <c r="EF69">
        <v>2</v>
      </c>
      <c r="EG69" t="s">
        <v>20</v>
      </c>
      <c r="EH69">
        <v>0</v>
      </c>
      <c r="EI69" t="s">
        <v>3</v>
      </c>
      <c r="EJ69">
        <v>1</v>
      </c>
      <c r="EK69">
        <v>15001</v>
      </c>
      <c r="EL69" t="s">
        <v>21</v>
      </c>
      <c r="EM69" t="s">
        <v>22</v>
      </c>
      <c r="EO69" t="s">
        <v>3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75"/>
        <v>0</v>
      </c>
      <c r="FS69">
        <v>0</v>
      </c>
      <c r="FT69" t="s">
        <v>24</v>
      </c>
      <c r="FU69" t="s">
        <v>25</v>
      </c>
      <c r="FX69">
        <v>94.5</v>
      </c>
      <c r="FY69">
        <v>46.75</v>
      </c>
      <c r="GA69" t="s">
        <v>3</v>
      </c>
      <c r="GD69">
        <v>0</v>
      </c>
      <c r="GF69">
        <v>-93777278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76"/>
        <v>0</v>
      </c>
      <c r="GM69">
        <f t="shared" si="77"/>
        <v>0</v>
      </c>
      <c r="GN69">
        <f t="shared" si="78"/>
        <v>0</v>
      </c>
      <c r="GO69">
        <f t="shared" si="79"/>
        <v>0</v>
      </c>
      <c r="GP69">
        <f t="shared" si="80"/>
        <v>0</v>
      </c>
      <c r="GR69">
        <v>0</v>
      </c>
      <c r="GS69">
        <v>3</v>
      </c>
      <c r="GT69">
        <v>0</v>
      </c>
      <c r="GU69" t="s">
        <v>3</v>
      </c>
      <c r="GV69">
        <f t="shared" si="81"/>
        <v>0</v>
      </c>
      <c r="GW69">
        <v>1</v>
      </c>
      <c r="GX69">
        <f t="shared" si="82"/>
        <v>0</v>
      </c>
      <c r="HA69">
        <v>0</v>
      </c>
      <c r="HB69">
        <v>0</v>
      </c>
      <c r="IK69">
        <v>0</v>
      </c>
    </row>
    <row r="70" spans="1:245" x14ac:dyDescent="0.2">
      <c r="A70">
        <v>17</v>
      </c>
      <c r="B70">
        <v>1</v>
      </c>
      <c r="C70">
        <f>ROW(SmtRes!A159)</f>
        <v>159</v>
      </c>
      <c r="D70">
        <f>ROW(EtalonRes!A157)</f>
        <v>157</v>
      </c>
      <c r="E70" t="s">
        <v>202</v>
      </c>
      <c r="F70" t="s">
        <v>203</v>
      </c>
      <c r="G70" t="s">
        <v>204</v>
      </c>
      <c r="H70" t="s">
        <v>15</v>
      </c>
      <c r="I70">
        <f>ROUND(31.08/100,9)</f>
        <v>0.31080000000000002</v>
      </c>
      <c r="J70">
        <v>0</v>
      </c>
      <c r="O70">
        <f t="shared" si="50"/>
        <v>700.62</v>
      </c>
      <c r="P70">
        <f t="shared" si="51"/>
        <v>94.06</v>
      </c>
      <c r="Q70">
        <f t="shared" si="52"/>
        <v>2.62</v>
      </c>
      <c r="R70">
        <f t="shared" si="53"/>
        <v>0.71</v>
      </c>
      <c r="S70">
        <f t="shared" si="54"/>
        <v>603.94000000000005</v>
      </c>
      <c r="T70">
        <f t="shared" si="55"/>
        <v>0</v>
      </c>
      <c r="U70">
        <f t="shared" si="56"/>
        <v>9.8790887999999999</v>
      </c>
      <c r="V70">
        <f t="shared" si="57"/>
        <v>7.7700000000000009E-3</v>
      </c>
      <c r="W70">
        <f t="shared" si="58"/>
        <v>0</v>
      </c>
      <c r="X70">
        <f t="shared" si="59"/>
        <v>574.41999999999996</v>
      </c>
      <c r="Y70">
        <f t="shared" si="60"/>
        <v>284.19</v>
      </c>
      <c r="AA70">
        <v>39579451</v>
      </c>
      <c r="AB70">
        <f t="shared" si="61"/>
        <v>326.7</v>
      </c>
      <c r="AC70">
        <f t="shared" si="47"/>
        <v>43.86</v>
      </c>
      <c r="AD70">
        <f>ROUND(((((ET70*1.25))-((EU70*1.25)))+AE70),2)</f>
        <v>1.22</v>
      </c>
      <c r="AE70">
        <f>ROUND(((EU70*1.25)),2)</f>
        <v>0.33</v>
      </c>
      <c r="AF70">
        <f>ROUND(((EV70*1.15)),2)</f>
        <v>281.62</v>
      </c>
      <c r="AG70">
        <f t="shared" si="62"/>
        <v>0</v>
      </c>
      <c r="AH70">
        <f>((EW70*1.15))</f>
        <v>31.785999999999998</v>
      </c>
      <c r="AI70">
        <f>((EX70*1.25))</f>
        <v>2.5000000000000001E-2</v>
      </c>
      <c r="AJ70">
        <f t="shared" si="63"/>
        <v>0</v>
      </c>
      <c r="AK70">
        <v>289.72000000000003</v>
      </c>
      <c r="AL70">
        <v>43.86</v>
      </c>
      <c r="AM70">
        <v>0.97</v>
      </c>
      <c r="AN70">
        <v>0.26</v>
      </c>
      <c r="AO70">
        <v>244.89</v>
      </c>
      <c r="AP70">
        <v>0</v>
      </c>
      <c r="AQ70">
        <v>27.64</v>
      </c>
      <c r="AR70">
        <v>0.02</v>
      </c>
      <c r="AS70">
        <v>0</v>
      </c>
      <c r="AT70">
        <v>95</v>
      </c>
      <c r="AU70">
        <v>47</v>
      </c>
      <c r="AV70">
        <v>1</v>
      </c>
      <c r="AW70">
        <v>1</v>
      </c>
      <c r="AZ70">
        <v>6.9</v>
      </c>
      <c r="BA70">
        <v>6.9</v>
      </c>
      <c r="BB70">
        <v>6.9</v>
      </c>
      <c r="BC70">
        <v>6.9</v>
      </c>
      <c r="BD70" t="s">
        <v>3</v>
      </c>
      <c r="BE70" t="s">
        <v>3</v>
      </c>
      <c r="BF70" t="s">
        <v>3</v>
      </c>
      <c r="BG70" t="s">
        <v>3</v>
      </c>
      <c r="BH70">
        <v>0</v>
      </c>
      <c r="BI70">
        <v>1</v>
      </c>
      <c r="BJ70" t="s">
        <v>205</v>
      </c>
      <c r="BM70">
        <v>15001</v>
      </c>
      <c r="BN70">
        <v>0</v>
      </c>
      <c r="BO70" t="s">
        <v>3</v>
      </c>
      <c r="BP70">
        <v>0</v>
      </c>
      <c r="BQ70">
        <v>2</v>
      </c>
      <c r="BR70">
        <v>0</v>
      </c>
      <c r="BS70">
        <v>6.9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105</v>
      </c>
      <c r="CA70">
        <v>55</v>
      </c>
      <c r="CF70">
        <v>0</v>
      </c>
      <c r="CG70">
        <v>0</v>
      </c>
      <c r="CM70">
        <v>0</v>
      </c>
      <c r="CN70" t="s">
        <v>787</v>
      </c>
      <c r="CO70">
        <v>0</v>
      </c>
      <c r="CP70">
        <f t="shared" si="64"/>
        <v>700.62000000000012</v>
      </c>
      <c r="CQ70">
        <f t="shared" si="65"/>
        <v>302.63400000000001</v>
      </c>
      <c r="CR70">
        <f t="shared" si="66"/>
        <v>8.418000000000001</v>
      </c>
      <c r="CS70">
        <f t="shared" si="67"/>
        <v>2.2770000000000001</v>
      </c>
      <c r="CT70">
        <f t="shared" si="68"/>
        <v>1943.1780000000001</v>
      </c>
      <c r="CU70">
        <f t="shared" si="69"/>
        <v>0</v>
      </c>
      <c r="CV70">
        <f t="shared" si="70"/>
        <v>31.785999999999998</v>
      </c>
      <c r="CW70">
        <f t="shared" si="71"/>
        <v>2.5000000000000001E-2</v>
      </c>
      <c r="CX70">
        <f t="shared" si="72"/>
        <v>0</v>
      </c>
      <c r="CY70">
        <f t="shared" si="73"/>
        <v>574.41750000000002</v>
      </c>
      <c r="CZ70">
        <f t="shared" si="74"/>
        <v>284.18550000000005</v>
      </c>
      <c r="DC70" t="s">
        <v>3</v>
      </c>
      <c r="DD70" t="s">
        <v>3</v>
      </c>
      <c r="DE70" t="s">
        <v>78</v>
      </c>
      <c r="DF70" t="s">
        <v>78</v>
      </c>
      <c r="DG70" t="s">
        <v>79</v>
      </c>
      <c r="DH70" t="s">
        <v>3</v>
      </c>
      <c r="DI70" t="s">
        <v>79</v>
      </c>
      <c r="DJ70" t="s">
        <v>78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1005</v>
      </c>
      <c r="DV70" t="s">
        <v>15</v>
      </c>
      <c r="DW70" t="s">
        <v>15</v>
      </c>
      <c r="DX70">
        <v>100</v>
      </c>
      <c r="EE70">
        <v>39174529</v>
      </c>
      <c r="EF70">
        <v>2</v>
      </c>
      <c r="EG70" t="s">
        <v>20</v>
      </c>
      <c r="EH70">
        <v>0</v>
      </c>
      <c r="EI70" t="s">
        <v>3</v>
      </c>
      <c r="EJ70">
        <v>1</v>
      </c>
      <c r="EK70">
        <v>15001</v>
      </c>
      <c r="EL70" t="s">
        <v>21</v>
      </c>
      <c r="EM70" t="s">
        <v>22</v>
      </c>
      <c r="EO70" t="s">
        <v>80</v>
      </c>
      <c r="EQ70">
        <v>0</v>
      </c>
      <c r="ER70">
        <v>289.72000000000003</v>
      </c>
      <c r="ES70">
        <v>43.86</v>
      </c>
      <c r="ET70">
        <v>0.97</v>
      </c>
      <c r="EU70">
        <v>0.26</v>
      </c>
      <c r="EV70">
        <v>244.89</v>
      </c>
      <c r="EW70">
        <v>27.64</v>
      </c>
      <c r="EX70">
        <v>0.02</v>
      </c>
      <c r="EY70">
        <v>0</v>
      </c>
      <c r="FQ70">
        <v>0</v>
      </c>
      <c r="FR70">
        <f t="shared" si="75"/>
        <v>0</v>
      </c>
      <c r="FS70">
        <v>0</v>
      </c>
      <c r="FT70" t="s">
        <v>24</v>
      </c>
      <c r="FU70" t="s">
        <v>25</v>
      </c>
      <c r="FX70">
        <v>94.5</v>
      </c>
      <c r="FY70">
        <v>46.75</v>
      </c>
      <c r="GA70" t="s">
        <v>3</v>
      </c>
      <c r="GD70">
        <v>0</v>
      </c>
      <c r="GF70">
        <v>-1041985812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76"/>
        <v>0</v>
      </c>
      <c r="GM70">
        <f t="shared" si="77"/>
        <v>1559.23</v>
      </c>
      <c r="GN70">
        <f t="shared" si="78"/>
        <v>1559.23</v>
      </c>
      <c r="GO70">
        <f t="shared" si="79"/>
        <v>0</v>
      </c>
      <c r="GP70">
        <f t="shared" si="80"/>
        <v>0</v>
      </c>
      <c r="GR70">
        <v>0</v>
      </c>
      <c r="GS70">
        <v>3</v>
      </c>
      <c r="GT70">
        <v>0</v>
      </c>
      <c r="GU70" t="s">
        <v>3</v>
      </c>
      <c r="GV70">
        <f t="shared" si="81"/>
        <v>0</v>
      </c>
      <c r="GW70">
        <v>1</v>
      </c>
      <c r="GX70">
        <f t="shared" si="82"/>
        <v>0</v>
      </c>
      <c r="HA70">
        <v>0</v>
      </c>
      <c r="HB70">
        <v>0</v>
      </c>
      <c r="IK70">
        <v>0</v>
      </c>
    </row>
    <row r="71" spans="1:245" x14ac:dyDescent="0.2">
      <c r="A71">
        <v>18</v>
      </c>
      <c r="B71">
        <v>1</v>
      </c>
      <c r="C71">
        <v>154</v>
      </c>
      <c r="E71" t="s">
        <v>206</v>
      </c>
      <c r="F71" t="s">
        <v>195</v>
      </c>
      <c r="G71" t="s">
        <v>196</v>
      </c>
      <c r="H71" t="s">
        <v>197</v>
      </c>
      <c r="I71">
        <f>I70*J71</f>
        <v>3.5120399999999998</v>
      </c>
      <c r="J71">
        <v>11.299999999999999</v>
      </c>
      <c r="O71">
        <f t="shared" si="50"/>
        <v>1161.98</v>
      </c>
      <c r="P71">
        <f t="shared" si="51"/>
        <v>1161.98</v>
      </c>
      <c r="Q71">
        <f t="shared" si="52"/>
        <v>0</v>
      </c>
      <c r="R71">
        <f t="shared" si="53"/>
        <v>0</v>
      </c>
      <c r="S71">
        <f t="shared" si="54"/>
        <v>0</v>
      </c>
      <c r="T71">
        <f t="shared" si="55"/>
        <v>0</v>
      </c>
      <c r="U71">
        <f t="shared" si="56"/>
        <v>0</v>
      </c>
      <c r="V71">
        <f t="shared" si="57"/>
        <v>0</v>
      </c>
      <c r="W71">
        <f t="shared" si="58"/>
        <v>0</v>
      </c>
      <c r="X71">
        <f t="shared" si="59"/>
        <v>0</v>
      </c>
      <c r="Y71">
        <f t="shared" si="60"/>
        <v>0</v>
      </c>
      <c r="AA71">
        <v>39579451</v>
      </c>
      <c r="AB71">
        <f t="shared" si="61"/>
        <v>47.95</v>
      </c>
      <c r="AC71">
        <f t="shared" ref="AC71:AC102" si="86">ROUND((ES71),2)</f>
        <v>47.95</v>
      </c>
      <c r="AD71">
        <f>ROUND((((ET71)-(EU71))+AE71),2)</f>
        <v>0</v>
      </c>
      <c r="AE71">
        <f>ROUND((EU71),2)</f>
        <v>0</v>
      </c>
      <c r="AF71">
        <f>ROUND((EV71),2)</f>
        <v>0</v>
      </c>
      <c r="AG71">
        <f t="shared" si="62"/>
        <v>0</v>
      </c>
      <c r="AH71">
        <f>(EW71)</f>
        <v>0</v>
      </c>
      <c r="AI71">
        <f>(EX71)</f>
        <v>0</v>
      </c>
      <c r="AJ71">
        <f t="shared" si="63"/>
        <v>0</v>
      </c>
      <c r="AK71">
        <v>47.95</v>
      </c>
      <c r="AL71">
        <v>47.95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6.9</v>
      </c>
      <c r="BA71">
        <v>1</v>
      </c>
      <c r="BB71">
        <v>1</v>
      </c>
      <c r="BC71">
        <v>6.9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198</v>
      </c>
      <c r="BM71">
        <v>15001</v>
      </c>
      <c r="BN71">
        <v>0</v>
      </c>
      <c r="BO71" t="s">
        <v>3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64"/>
        <v>1161.98</v>
      </c>
      <c r="CQ71">
        <f t="shared" si="65"/>
        <v>330.85500000000002</v>
      </c>
      <c r="CR71">
        <f t="shared" si="66"/>
        <v>0</v>
      </c>
      <c r="CS71">
        <f t="shared" si="67"/>
        <v>0</v>
      </c>
      <c r="CT71">
        <f t="shared" si="68"/>
        <v>0</v>
      </c>
      <c r="CU71">
        <f t="shared" si="69"/>
        <v>0</v>
      </c>
      <c r="CV71">
        <f t="shared" si="70"/>
        <v>0</v>
      </c>
      <c r="CW71">
        <f t="shared" si="71"/>
        <v>0</v>
      </c>
      <c r="CX71">
        <f t="shared" si="72"/>
        <v>0</v>
      </c>
      <c r="CY71">
        <f t="shared" si="73"/>
        <v>0</v>
      </c>
      <c r="CZ71">
        <f t="shared" si="74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197</v>
      </c>
      <c r="DW71" t="s">
        <v>197</v>
      </c>
      <c r="DX71">
        <v>10</v>
      </c>
      <c r="EE71">
        <v>39174529</v>
      </c>
      <c r="EF71">
        <v>2</v>
      </c>
      <c r="EG71" t="s">
        <v>20</v>
      </c>
      <c r="EH71">
        <v>0</v>
      </c>
      <c r="EI71" t="s">
        <v>3</v>
      </c>
      <c r="EJ71">
        <v>1</v>
      </c>
      <c r="EK71">
        <v>15001</v>
      </c>
      <c r="EL71" t="s">
        <v>21</v>
      </c>
      <c r="EM71" t="s">
        <v>22</v>
      </c>
      <c r="EO71" t="s">
        <v>3</v>
      </c>
      <c r="EQ71">
        <v>0</v>
      </c>
      <c r="ER71">
        <v>47.95</v>
      </c>
      <c r="ES71">
        <v>47.95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75"/>
        <v>0</v>
      </c>
      <c r="FS71">
        <v>0</v>
      </c>
      <c r="FT71" t="s">
        <v>24</v>
      </c>
      <c r="FU71" t="s">
        <v>25</v>
      </c>
      <c r="FX71">
        <v>94.5</v>
      </c>
      <c r="FY71">
        <v>46.75</v>
      </c>
      <c r="GA71" t="s">
        <v>3</v>
      </c>
      <c r="GD71">
        <v>0</v>
      </c>
      <c r="GF71">
        <v>401891962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76"/>
        <v>0</v>
      </c>
      <c r="GM71">
        <f t="shared" si="77"/>
        <v>1161.98</v>
      </c>
      <c r="GN71">
        <f t="shared" si="78"/>
        <v>1161.98</v>
      </c>
      <c r="GO71">
        <f t="shared" si="79"/>
        <v>0</v>
      </c>
      <c r="GP71">
        <f t="shared" si="80"/>
        <v>0</v>
      </c>
      <c r="GR71">
        <v>0</v>
      </c>
      <c r="GS71">
        <v>3</v>
      </c>
      <c r="GT71">
        <v>0</v>
      </c>
      <c r="GU71" t="s">
        <v>3</v>
      </c>
      <c r="GV71">
        <f t="shared" si="81"/>
        <v>0</v>
      </c>
      <c r="GW71">
        <v>1</v>
      </c>
      <c r="GX71">
        <f t="shared" si="82"/>
        <v>0</v>
      </c>
      <c r="HA71">
        <v>0</v>
      </c>
      <c r="HB71">
        <v>0</v>
      </c>
      <c r="IK71">
        <v>0</v>
      </c>
    </row>
    <row r="72" spans="1:245" x14ac:dyDescent="0.2">
      <c r="A72">
        <v>18</v>
      </c>
      <c r="B72">
        <v>1</v>
      </c>
      <c r="C72">
        <v>153</v>
      </c>
      <c r="E72" t="s">
        <v>207</v>
      </c>
      <c r="F72" t="s">
        <v>200</v>
      </c>
      <c r="G72" t="s">
        <v>201</v>
      </c>
      <c r="H72" t="s">
        <v>15</v>
      </c>
      <c r="I72">
        <f>I70*J72</f>
        <v>0.35120400000000002</v>
      </c>
      <c r="J72">
        <v>1.1299999999999999</v>
      </c>
      <c r="O72">
        <f t="shared" si="50"/>
        <v>0</v>
      </c>
      <c r="P72">
        <f t="shared" si="51"/>
        <v>0</v>
      </c>
      <c r="Q72">
        <f t="shared" si="52"/>
        <v>0</v>
      </c>
      <c r="R72">
        <f t="shared" si="53"/>
        <v>0</v>
      </c>
      <c r="S72">
        <f t="shared" si="54"/>
        <v>0</v>
      </c>
      <c r="T72">
        <f t="shared" si="55"/>
        <v>0</v>
      </c>
      <c r="U72">
        <f t="shared" si="56"/>
        <v>0</v>
      </c>
      <c r="V72">
        <f t="shared" si="57"/>
        <v>0</v>
      </c>
      <c r="W72">
        <f t="shared" si="58"/>
        <v>0</v>
      </c>
      <c r="X72">
        <f t="shared" si="59"/>
        <v>0</v>
      </c>
      <c r="Y72">
        <f t="shared" si="60"/>
        <v>0</v>
      </c>
      <c r="AA72">
        <v>39579451</v>
      </c>
      <c r="AB72">
        <f t="shared" si="61"/>
        <v>0</v>
      </c>
      <c r="AC72">
        <f t="shared" si="86"/>
        <v>0</v>
      </c>
      <c r="AD72">
        <f>ROUND((((ET72)-(EU72))+AE72),2)</f>
        <v>0</v>
      </c>
      <c r="AE72">
        <f>ROUND((EU72),2)</f>
        <v>0</v>
      </c>
      <c r="AF72">
        <f>ROUND((EV72),2)</f>
        <v>0</v>
      </c>
      <c r="AG72">
        <f t="shared" si="62"/>
        <v>0</v>
      </c>
      <c r="AH72">
        <f>(EW72)</f>
        <v>0</v>
      </c>
      <c r="AI72">
        <f>(EX72)</f>
        <v>0</v>
      </c>
      <c r="AJ72">
        <f t="shared" si="63"/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95</v>
      </c>
      <c r="AU72">
        <v>47</v>
      </c>
      <c r="AV72">
        <v>1</v>
      </c>
      <c r="AW72">
        <v>1</v>
      </c>
      <c r="AZ72">
        <v>6.9</v>
      </c>
      <c r="BA72">
        <v>1</v>
      </c>
      <c r="BB72">
        <v>1</v>
      </c>
      <c r="BC72">
        <v>6.9</v>
      </c>
      <c r="BD72" t="s">
        <v>3</v>
      </c>
      <c r="BE72" t="s">
        <v>3</v>
      </c>
      <c r="BF72" t="s">
        <v>3</v>
      </c>
      <c r="BG72" t="s">
        <v>3</v>
      </c>
      <c r="BH72">
        <v>3</v>
      </c>
      <c r="BI72">
        <v>1</v>
      </c>
      <c r="BJ72" t="s">
        <v>3</v>
      </c>
      <c r="BM72">
        <v>15001</v>
      </c>
      <c r="BN72">
        <v>0</v>
      </c>
      <c r="BO72" t="s">
        <v>3</v>
      </c>
      <c r="BP72">
        <v>0</v>
      </c>
      <c r="BQ72">
        <v>2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105</v>
      </c>
      <c r="CA72">
        <v>55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64"/>
        <v>0</v>
      </c>
      <c r="CQ72">
        <f t="shared" si="65"/>
        <v>0</v>
      </c>
      <c r="CR72">
        <f t="shared" si="66"/>
        <v>0</v>
      </c>
      <c r="CS72">
        <f t="shared" si="67"/>
        <v>0</v>
      </c>
      <c r="CT72">
        <f t="shared" si="68"/>
        <v>0</v>
      </c>
      <c r="CU72">
        <f t="shared" si="69"/>
        <v>0</v>
      </c>
      <c r="CV72">
        <f t="shared" si="70"/>
        <v>0</v>
      </c>
      <c r="CW72">
        <f t="shared" si="71"/>
        <v>0</v>
      </c>
      <c r="CX72">
        <f t="shared" si="72"/>
        <v>0</v>
      </c>
      <c r="CY72">
        <f t="shared" si="73"/>
        <v>0</v>
      </c>
      <c r="CZ72">
        <f t="shared" si="74"/>
        <v>0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1005</v>
      </c>
      <c r="DV72" t="s">
        <v>15</v>
      </c>
      <c r="DW72" t="s">
        <v>15</v>
      </c>
      <c r="DX72">
        <v>100</v>
      </c>
      <c r="EE72">
        <v>39174529</v>
      </c>
      <c r="EF72">
        <v>2</v>
      </c>
      <c r="EG72" t="s">
        <v>20</v>
      </c>
      <c r="EH72">
        <v>0</v>
      </c>
      <c r="EI72" t="s">
        <v>3</v>
      </c>
      <c r="EJ72">
        <v>1</v>
      </c>
      <c r="EK72">
        <v>15001</v>
      </c>
      <c r="EL72" t="s">
        <v>21</v>
      </c>
      <c r="EM72" t="s">
        <v>22</v>
      </c>
      <c r="EO72" t="s">
        <v>3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75"/>
        <v>0</v>
      </c>
      <c r="FS72">
        <v>0</v>
      </c>
      <c r="FT72" t="s">
        <v>24</v>
      </c>
      <c r="FU72" t="s">
        <v>25</v>
      </c>
      <c r="FX72">
        <v>94.5</v>
      </c>
      <c r="FY72">
        <v>46.75</v>
      </c>
      <c r="GA72" t="s">
        <v>3</v>
      </c>
      <c r="GD72">
        <v>0</v>
      </c>
      <c r="GF72">
        <v>-93777278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76"/>
        <v>0</v>
      </c>
      <c r="GM72">
        <f t="shared" si="77"/>
        <v>0</v>
      </c>
      <c r="GN72">
        <f t="shared" si="78"/>
        <v>0</v>
      </c>
      <c r="GO72">
        <f t="shared" si="79"/>
        <v>0</v>
      </c>
      <c r="GP72">
        <f t="shared" si="80"/>
        <v>0</v>
      </c>
      <c r="GR72">
        <v>0</v>
      </c>
      <c r="GS72">
        <v>3</v>
      </c>
      <c r="GT72">
        <v>0</v>
      </c>
      <c r="GU72" t="s">
        <v>3</v>
      </c>
      <c r="GV72">
        <f t="shared" si="81"/>
        <v>0</v>
      </c>
      <c r="GW72">
        <v>1</v>
      </c>
      <c r="GX72">
        <f t="shared" si="82"/>
        <v>0</v>
      </c>
      <c r="HA72">
        <v>0</v>
      </c>
      <c r="HB72">
        <v>0</v>
      </c>
      <c r="IK72">
        <v>0</v>
      </c>
    </row>
    <row r="73" spans="1:245" x14ac:dyDescent="0.2">
      <c r="A73">
        <v>17</v>
      </c>
      <c r="B73">
        <v>1</v>
      </c>
      <c r="C73">
        <f>ROW(SmtRes!A170)</f>
        <v>170</v>
      </c>
      <c r="D73">
        <f>ROW(EtalonRes!A166)</f>
        <v>166</v>
      </c>
      <c r="E73" t="s">
        <v>208</v>
      </c>
      <c r="F73" t="s">
        <v>209</v>
      </c>
      <c r="G73" t="s">
        <v>210</v>
      </c>
      <c r="H73" t="s">
        <v>15</v>
      </c>
      <c r="I73">
        <f>ROUND(123.08/100,9)</f>
        <v>1.2307999999999999</v>
      </c>
      <c r="J73">
        <v>0</v>
      </c>
      <c r="O73">
        <f t="shared" si="50"/>
        <v>3909.54</v>
      </c>
      <c r="P73">
        <f t="shared" si="51"/>
        <v>1004.67</v>
      </c>
      <c r="Q73">
        <f t="shared" si="52"/>
        <v>72.7</v>
      </c>
      <c r="R73">
        <f t="shared" si="53"/>
        <v>13.59</v>
      </c>
      <c r="S73">
        <f t="shared" si="54"/>
        <v>2832.17</v>
      </c>
      <c r="T73">
        <f t="shared" si="55"/>
        <v>0</v>
      </c>
      <c r="U73">
        <f t="shared" si="56"/>
        <v>46.326696599999984</v>
      </c>
      <c r="V73">
        <f t="shared" si="57"/>
        <v>0.169235</v>
      </c>
      <c r="W73">
        <f t="shared" si="58"/>
        <v>0</v>
      </c>
      <c r="X73">
        <f t="shared" si="59"/>
        <v>2703.47</v>
      </c>
      <c r="Y73">
        <f t="shared" si="60"/>
        <v>1337.51</v>
      </c>
      <c r="AA73">
        <v>39579451</v>
      </c>
      <c r="AB73">
        <f t="shared" si="61"/>
        <v>460.35</v>
      </c>
      <c r="AC73">
        <f t="shared" si="86"/>
        <v>118.3</v>
      </c>
      <c r="AD73">
        <f>ROUND(((((ET73*1.25))-((EU73*1.25)))+AE73),2)</f>
        <v>8.56</v>
      </c>
      <c r="AE73">
        <f>ROUND(((EU73*1.25)),2)</f>
        <v>1.6</v>
      </c>
      <c r="AF73">
        <f>ROUND(((EV73*1.15)),2)</f>
        <v>333.49</v>
      </c>
      <c r="AG73">
        <f t="shared" si="62"/>
        <v>0</v>
      </c>
      <c r="AH73">
        <f>((EW73*1.15))</f>
        <v>37.639499999999991</v>
      </c>
      <c r="AI73">
        <f>((EX73*1.25))</f>
        <v>0.13750000000000001</v>
      </c>
      <c r="AJ73">
        <f t="shared" si="63"/>
        <v>0</v>
      </c>
      <c r="AK73">
        <v>415.14</v>
      </c>
      <c r="AL73">
        <v>118.3</v>
      </c>
      <c r="AM73">
        <v>6.85</v>
      </c>
      <c r="AN73">
        <v>1.28</v>
      </c>
      <c r="AO73">
        <v>289.99</v>
      </c>
      <c r="AP73">
        <v>0</v>
      </c>
      <c r="AQ73">
        <v>32.729999999999997</v>
      </c>
      <c r="AR73">
        <v>0.11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6.9</v>
      </c>
      <c r="BA73">
        <v>6.9</v>
      </c>
      <c r="BB73">
        <v>6.9</v>
      </c>
      <c r="BC73">
        <v>6.9</v>
      </c>
      <c r="BD73" t="s">
        <v>3</v>
      </c>
      <c r="BE73" t="s">
        <v>3</v>
      </c>
      <c r="BF73" t="s">
        <v>3</v>
      </c>
      <c r="BG73" t="s">
        <v>3</v>
      </c>
      <c r="BH73">
        <v>0</v>
      </c>
      <c r="BI73">
        <v>1</v>
      </c>
      <c r="BJ73" t="s">
        <v>211</v>
      </c>
      <c r="BM73">
        <v>15001</v>
      </c>
      <c r="BN73">
        <v>0</v>
      </c>
      <c r="BO73" t="s">
        <v>3</v>
      </c>
      <c r="BP73">
        <v>0</v>
      </c>
      <c r="BQ73">
        <v>2</v>
      </c>
      <c r="BR73">
        <v>0</v>
      </c>
      <c r="BS73">
        <v>6.9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105</v>
      </c>
      <c r="CA73">
        <v>55</v>
      </c>
      <c r="CF73">
        <v>0</v>
      </c>
      <c r="CG73">
        <v>0</v>
      </c>
      <c r="CM73">
        <v>0</v>
      </c>
      <c r="CN73" t="s">
        <v>787</v>
      </c>
      <c r="CO73">
        <v>0</v>
      </c>
      <c r="CP73">
        <f t="shared" si="64"/>
        <v>3909.54</v>
      </c>
      <c r="CQ73">
        <f t="shared" si="65"/>
        <v>816.27</v>
      </c>
      <c r="CR73">
        <f t="shared" si="66"/>
        <v>59.064000000000007</v>
      </c>
      <c r="CS73">
        <f t="shared" si="67"/>
        <v>11.040000000000001</v>
      </c>
      <c r="CT73">
        <f t="shared" si="68"/>
        <v>2301.0810000000001</v>
      </c>
      <c r="CU73">
        <f t="shared" si="69"/>
        <v>0</v>
      </c>
      <c r="CV73">
        <f t="shared" si="70"/>
        <v>37.639499999999991</v>
      </c>
      <c r="CW73">
        <f t="shared" si="71"/>
        <v>0.13750000000000001</v>
      </c>
      <c r="CX73">
        <f t="shared" si="72"/>
        <v>0</v>
      </c>
      <c r="CY73">
        <f t="shared" si="73"/>
        <v>2703.4720000000002</v>
      </c>
      <c r="CZ73">
        <f t="shared" si="74"/>
        <v>1337.5072</v>
      </c>
      <c r="DC73" t="s">
        <v>3</v>
      </c>
      <c r="DD73" t="s">
        <v>3</v>
      </c>
      <c r="DE73" t="s">
        <v>78</v>
      </c>
      <c r="DF73" t="s">
        <v>78</v>
      </c>
      <c r="DG73" t="s">
        <v>79</v>
      </c>
      <c r="DH73" t="s">
        <v>3</v>
      </c>
      <c r="DI73" t="s">
        <v>79</v>
      </c>
      <c r="DJ73" t="s">
        <v>78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15</v>
      </c>
      <c r="DW73" t="s">
        <v>15</v>
      </c>
      <c r="DX73">
        <v>100</v>
      </c>
      <c r="EE73">
        <v>39174529</v>
      </c>
      <c r="EF73">
        <v>2</v>
      </c>
      <c r="EG73" t="s">
        <v>20</v>
      </c>
      <c r="EH73">
        <v>0</v>
      </c>
      <c r="EI73" t="s">
        <v>3</v>
      </c>
      <c r="EJ73">
        <v>1</v>
      </c>
      <c r="EK73">
        <v>15001</v>
      </c>
      <c r="EL73" t="s">
        <v>21</v>
      </c>
      <c r="EM73" t="s">
        <v>22</v>
      </c>
      <c r="EO73" t="s">
        <v>80</v>
      </c>
      <c r="EQ73">
        <v>0</v>
      </c>
      <c r="ER73">
        <v>415.14</v>
      </c>
      <c r="ES73">
        <v>118.3</v>
      </c>
      <c r="ET73">
        <v>6.85</v>
      </c>
      <c r="EU73">
        <v>1.28</v>
      </c>
      <c r="EV73">
        <v>289.99</v>
      </c>
      <c r="EW73">
        <v>32.729999999999997</v>
      </c>
      <c r="EX73">
        <v>0.11</v>
      </c>
      <c r="EY73">
        <v>0</v>
      </c>
      <c r="FQ73">
        <v>0</v>
      </c>
      <c r="FR73">
        <f t="shared" si="75"/>
        <v>0</v>
      </c>
      <c r="FS73">
        <v>0</v>
      </c>
      <c r="FT73" t="s">
        <v>24</v>
      </c>
      <c r="FU73" t="s">
        <v>25</v>
      </c>
      <c r="FX73">
        <v>94.5</v>
      </c>
      <c r="FY73">
        <v>46.75</v>
      </c>
      <c r="GA73" t="s">
        <v>3</v>
      </c>
      <c r="GD73">
        <v>0</v>
      </c>
      <c r="GF73">
        <v>-846216540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76"/>
        <v>0</v>
      </c>
      <c r="GM73">
        <f t="shared" si="77"/>
        <v>7950.52</v>
      </c>
      <c r="GN73">
        <f t="shared" si="78"/>
        <v>7950.52</v>
      </c>
      <c r="GO73">
        <f t="shared" si="79"/>
        <v>0</v>
      </c>
      <c r="GP73">
        <f t="shared" si="80"/>
        <v>0</v>
      </c>
      <c r="GR73">
        <v>0</v>
      </c>
      <c r="GS73">
        <v>3</v>
      </c>
      <c r="GT73">
        <v>0</v>
      </c>
      <c r="GU73" t="s">
        <v>3</v>
      </c>
      <c r="GV73">
        <f t="shared" si="81"/>
        <v>0</v>
      </c>
      <c r="GW73">
        <v>1</v>
      </c>
      <c r="GX73">
        <f t="shared" si="82"/>
        <v>0</v>
      </c>
      <c r="HA73">
        <v>0</v>
      </c>
      <c r="HB73">
        <v>0</v>
      </c>
      <c r="IK73">
        <v>0</v>
      </c>
    </row>
    <row r="74" spans="1:245" x14ac:dyDescent="0.2">
      <c r="A74">
        <v>18</v>
      </c>
      <c r="B74">
        <v>1</v>
      </c>
      <c r="C74">
        <v>167</v>
      </c>
      <c r="E74" t="s">
        <v>212</v>
      </c>
      <c r="F74" t="s">
        <v>213</v>
      </c>
      <c r="G74" t="s">
        <v>214</v>
      </c>
      <c r="H74" t="s">
        <v>215</v>
      </c>
      <c r="I74">
        <f>I73*J74</f>
        <v>36.923999999999999</v>
      </c>
      <c r="J74">
        <v>30.000000000000004</v>
      </c>
      <c r="O74">
        <f t="shared" si="50"/>
        <v>21852.1</v>
      </c>
      <c r="P74">
        <f t="shared" si="51"/>
        <v>21852.1</v>
      </c>
      <c r="Q74">
        <f t="shared" si="52"/>
        <v>0</v>
      </c>
      <c r="R74">
        <f t="shared" si="53"/>
        <v>0</v>
      </c>
      <c r="S74">
        <f t="shared" si="54"/>
        <v>0</v>
      </c>
      <c r="T74">
        <f t="shared" si="55"/>
        <v>0</v>
      </c>
      <c r="U74">
        <f t="shared" si="56"/>
        <v>0</v>
      </c>
      <c r="V74">
        <f t="shared" si="57"/>
        <v>0</v>
      </c>
      <c r="W74">
        <f t="shared" si="58"/>
        <v>0</v>
      </c>
      <c r="X74">
        <f t="shared" si="59"/>
        <v>0</v>
      </c>
      <c r="Y74">
        <f t="shared" si="60"/>
        <v>0</v>
      </c>
      <c r="AA74">
        <v>39579451</v>
      </c>
      <c r="AB74">
        <f t="shared" si="61"/>
        <v>85.77</v>
      </c>
      <c r="AC74">
        <f t="shared" si="86"/>
        <v>85.77</v>
      </c>
      <c r="AD74">
        <f>ROUND((((ET74)-(EU74))+AE74),2)</f>
        <v>0</v>
      </c>
      <c r="AE74">
        <f t="shared" ref="AE74:AF77" si="87">ROUND((EU74),2)</f>
        <v>0</v>
      </c>
      <c r="AF74">
        <f t="shared" si="87"/>
        <v>0</v>
      </c>
      <c r="AG74">
        <f t="shared" si="62"/>
        <v>0</v>
      </c>
      <c r="AH74">
        <f t="shared" ref="AH74:AI77" si="88">(EW74)</f>
        <v>0</v>
      </c>
      <c r="AI74">
        <f t="shared" si="88"/>
        <v>0</v>
      </c>
      <c r="AJ74">
        <f t="shared" si="63"/>
        <v>0</v>
      </c>
      <c r="AK74">
        <v>85.77</v>
      </c>
      <c r="AL74">
        <v>85.77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95</v>
      </c>
      <c r="AU74">
        <v>47</v>
      </c>
      <c r="AV74">
        <v>1</v>
      </c>
      <c r="AW74">
        <v>1</v>
      </c>
      <c r="AZ74">
        <v>6.9</v>
      </c>
      <c r="BA74">
        <v>1</v>
      </c>
      <c r="BB74">
        <v>1</v>
      </c>
      <c r="BC74">
        <v>6.9</v>
      </c>
      <c r="BD74" t="s">
        <v>3</v>
      </c>
      <c r="BE74" t="s">
        <v>3</v>
      </c>
      <c r="BF74" t="s">
        <v>3</v>
      </c>
      <c r="BG74" t="s">
        <v>3</v>
      </c>
      <c r="BH74">
        <v>3</v>
      </c>
      <c r="BI74">
        <v>1</v>
      </c>
      <c r="BJ74" t="s">
        <v>216</v>
      </c>
      <c r="BM74">
        <v>15001</v>
      </c>
      <c r="BN74">
        <v>0</v>
      </c>
      <c r="BO74" t="s">
        <v>3</v>
      </c>
      <c r="BP74">
        <v>0</v>
      </c>
      <c r="BQ74">
        <v>2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105</v>
      </c>
      <c r="CA74">
        <v>55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64"/>
        <v>21852.1</v>
      </c>
      <c r="CQ74">
        <f t="shared" si="65"/>
        <v>591.81299999999999</v>
      </c>
      <c r="CR74">
        <f t="shared" si="66"/>
        <v>0</v>
      </c>
      <c r="CS74">
        <f t="shared" si="67"/>
        <v>0</v>
      </c>
      <c r="CT74">
        <f t="shared" si="68"/>
        <v>0</v>
      </c>
      <c r="CU74">
        <f t="shared" si="69"/>
        <v>0</v>
      </c>
      <c r="CV74">
        <f t="shared" si="70"/>
        <v>0</v>
      </c>
      <c r="CW74">
        <f t="shared" si="71"/>
        <v>0</v>
      </c>
      <c r="CX74">
        <f t="shared" si="72"/>
        <v>0</v>
      </c>
      <c r="CY74">
        <f t="shared" si="73"/>
        <v>0</v>
      </c>
      <c r="CZ74">
        <f t="shared" si="74"/>
        <v>0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1002</v>
      </c>
      <c r="DV74" t="s">
        <v>215</v>
      </c>
      <c r="DW74" t="s">
        <v>215</v>
      </c>
      <c r="DX74">
        <v>1</v>
      </c>
      <c r="EE74">
        <v>39174529</v>
      </c>
      <c r="EF74">
        <v>2</v>
      </c>
      <c r="EG74" t="s">
        <v>20</v>
      </c>
      <c r="EH74">
        <v>0</v>
      </c>
      <c r="EI74" t="s">
        <v>3</v>
      </c>
      <c r="EJ74">
        <v>1</v>
      </c>
      <c r="EK74">
        <v>15001</v>
      </c>
      <c r="EL74" t="s">
        <v>21</v>
      </c>
      <c r="EM74" t="s">
        <v>22</v>
      </c>
      <c r="EO74" t="s">
        <v>3</v>
      </c>
      <c r="EQ74">
        <v>0</v>
      </c>
      <c r="ER74">
        <v>85.77</v>
      </c>
      <c r="ES74">
        <v>85.77</v>
      </c>
      <c r="ET74">
        <v>0</v>
      </c>
      <c r="EU74">
        <v>0</v>
      </c>
      <c r="EV74">
        <v>0</v>
      </c>
      <c r="EW74">
        <v>0</v>
      </c>
      <c r="EX74">
        <v>0</v>
      </c>
      <c r="FQ74">
        <v>0</v>
      </c>
      <c r="FR74">
        <f t="shared" si="75"/>
        <v>0</v>
      </c>
      <c r="FS74">
        <v>0</v>
      </c>
      <c r="FT74" t="s">
        <v>24</v>
      </c>
      <c r="FU74" t="s">
        <v>25</v>
      </c>
      <c r="FX74">
        <v>94.5</v>
      </c>
      <c r="FY74">
        <v>46.75</v>
      </c>
      <c r="GA74" t="s">
        <v>3</v>
      </c>
      <c r="GD74">
        <v>0</v>
      </c>
      <c r="GF74">
        <v>1703645008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76"/>
        <v>0</v>
      </c>
      <c r="GM74">
        <f t="shared" si="77"/>
        <v>21852.1</v>
      </c>
      <c r="GN74">
        <f t="shared" si="78"/>
        <v>21852.1</v>
      </c>
      <c r="GO74">
        <f t="shared" si="79"/>
        <v>0</v>
      </c>
      <c r="GP74">
        <f t="shared" si="80"/>
        <v>0</v>
      </c>
      <c r="GR74">
        <v>0</v>
      </c>
      <c r="GS74">
        <v>3</v>
      </c>
      <c r="GT74">
        <v>0</v>
      </c>
      <c r="GU74" t="s">
        <v>3</v>
      </c>
      <c r="GV74">
        <f t="shared" si="81"/>
        <v>0</v>
      </c>
      <c r="GW74">
        <v>1</v>
      </c>
      <c r="GX74">
        <f t="shared" si="82"/>
        <v>0</v>
      </c>
      <c r="HA74">
        <v>0</v>
      </c>
      <c r="HB74">
        <v>0</v>
      </c>
      <c r="IK74">
        <v>0</v>
      </c>
    </row>
    <row r="75" spans="1:245" x14ac:dyDescent="0.2">
      <c r="A75">
        <v>18</v>
      </c>
      <c r="B75">
        <v>1</v>
      </c>
      <c r="C75">
        <v>168</v>
      </c>
      <c r="E75" t="s">
        <v>217</v>
      </c>
      <c r="F75" t="s">
        <v>116</v>
      </c>
      <c r="G75" t="s">
        <v>117</v>
      </c>
      <c r="H75" t="s">
        <v>118</v>
      </c>
      <c r="I75">
        <f>I73*J75</f>
        <v>24.616</v>
      </c>
      <c r="J75">
        <v>20</v>
      </c>
      <c r="O75">
        <f t="shared" si="50"/>
        <v>2590.2199999999998</v>
      </c>
      <c r="P75">
        <f t="shared" si="51"/>
        <v>2590.2199999999998</v>
      </c>
      <c r="Q75">
        <f t="shared" si="52"/>
        <v>0</v>
      </c>
      <c r="R75">
        <f t="shared" si="53"/>
        <v>0</v>
      </c>
      <c r="S75">
        <f t="shared" si="54"/>
        <v>0</v>
      </c>
      <c r="T75">
        <f t="shared" si="55"/>
        <v>0</v>
      </c>
      <c r="U75">
        <f t="shared" si="56"/>
        <v>0</v>
      </c>
      <c r="V75">
        <f t="shared" si="57"/>
        <v>0</v>
      </c>
      <c r="W75">
        <f t="shared" si="58"/>
        <v>0</v>
      </c>
      <c r="X75">
        <f t="shared" si="59"/>
        <v>0</v>
      </c>
      <c r="Y75">
        <f t="shared" si="60"/>
        <v>0</v>
      </c>
      <c r="AA75">
        <v>39579451</v>
      </c>
      <c r="AB75">
        <f t="shared" si="61"/>
        <v>15.25</v>
      </c>
      <c r="AC75">
        <f t="shared" si="86"/>
        <v>15.25</v>
      </c>
      <c r="AD75">
        <f>ROUND((((ET75)-(EU75))+AE75),2)</f>
        <v>0</v>
      </c>
      <c r="AE75">
        <f t="shared" si="87"/>
        <v>0</v>
      </c>
      <c r="AF75">
        <f t="shared" si="87"/>
        <v>0</v>
      </c>
      <c r="AG75">
        <f t="shared" si="62"/>
        <v>0</v>
      </c>
      <c r="AH75">
        <f t="shared" si="88"/>
        <v>0</v>
      </c>
      <c r="AI75">
        <f t="shared" si="88"/>
        <v>0</v>
      </c>
      <c r="AJ75">
        <f t="shared" si="63"/>
        <v>0</v>
      </c>
      <c r="AK75">
        <v>15.25</v>
      </c>
      <c r="AL75">
        <v>15.25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111</v>
      </c>
      <c r="AU75">
        <v>64</v>
      </c>
      <c r="AV75">
        <v>1</v>
      </c>
      <c r="AW75">
        <v>1</v>
      </c>
      <c r="AZ75">
        <v>6.9</v>
      </c>
      <c r="BA75">
        <v>1</v>
      </c>
      <c r="BB75">
        <v>1</v>
      </c>
      <c r="BC75">
        <v>6.9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1</v>
      </c>
      <c r="BJ75" t="s">
        <v>119</v>
      </c>
      <c r="BM75">
        <v>11001</v>
      </c>
      <c r="BN75">
        <v>0</v>
      </c>
      <c r="BO75" t="s">
        <v>3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123</v>
      </c>
      <c r="CA75">
        <v>75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64"/>
        <v>2590.2199999999998</v>
      </c>
      <c r="CQ75">
        <f t="shared" si="65"/>
        <v>105.22500000000001</v>
      </c>
      <c r="CR75">
        <f t="shared" si="66"/>
        <v>0</v>
      </c>
      <c r="CS75">
        <f t="shared" si="67"/>
        <v>0</v>
      </c>
      <c r="CT75">
        <f t="shared" si="68"/>
        <v>0</v>
      </c>
      <c r="CU75">
        <f t="shared" si="69"/>
        <v>0</v>
      </c>
      <c r="CV75">
        <f t="shared" si="70"/>
        <v>0</v>
      </c>
      <c r="CW75">
        <f t="shared" si="71"/>
        <v>0</v>
      </c>
      <c r="CX75">
        <f t="shared" si="72"/>
        <v>0</v>
      </c>
      <c r="CY75">
        <f t="shared" si="73"/>
        <v>0</v>
      </c>
      <c r="CZ75">
        <f t="shared" si="74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1009</v>
      </c>
      <c r="DV75" t="s">
        <v>118</v>
      </c>
      <c r="DW75" t="s">
        <v>118</v>
      </c>
      <c r="DX75">
        <v>1</v>
      </c>
      <c r="EE75">
        <v>39174504</v>
      </c>
      <c r="EF75">
        <v>2</v>
      </c>
      <c r="EG75" t="s">
        <v>20</v>
      </c>
      <c r="EH75">
        <v>0</v>
      </c>
      <c r="EI75" t="s">
        <v>3</v>
      </c>
      <c r="EJ75">
        <v>1</v>
      </c>
      <c r="EK75">
        <v>11001</v>
      </c>
      <c r="EL75" t="s">
        <v>46</v>
      </c>
      <c r="EM75" t="s">
        <v>56</v>
      </c>
      <c r="EO75" t="s">
        <v>3</v>
      </c>
      <c r="EQ75">
        <v>0</v>
      </c>
      <c r="ER75">
        <v>15.25</v>
      </c>
      <c r="ES75">
        <v>15.25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75"/>
        <v>0</v>
      </c>
      <c r="FS75">
        <v>0</v>
      </c>
      <c r="FT75" t="s">
        <v>24</v>
      </c>
      <c r="FU75" t="s">
        <v>25</v>
      </c>
      <c r="FX75">
        <v>110.7</v>
      </c>
      <c r="FY75">
        <v>63.75</v>
      </c>
      <c r="GA75" t="s">
        <v>3</v>
      </c>
      <c r="GD75">
        <v>0</v>
      </c>
      <c r="GF75">
        <v>303141801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76"/>
        <v>0</v>
      </c>
      <c r="GM75">
        <f t="shared" si="77"/>
        <v>2590.2199999999998</v>
      </c>
      <c r="GN75">
        <f t="shared" si="78"/>
        <v>2590.2199999999998</v>
      </c>
      <c r="GO75">
        <f t="shared" si="79"/>
        <v>0</v>
      </c>
      <c r="GP75">
        <f t="shared" si="80"/>
        <v>0</v>
      </c>
      <c r="GR75">
        <v>0</v>
      </c>
      <c r="GS75">
        <v>3</v>
      </c>
      <c r="GT75">
        <v>0</v>
      </c>
      <c r="GU75" t="s">
        <v>3</v>
      </c>
      <c r="GV75">
        <f t="shared" si="81"/>
        <v>0</v>
      </c>
      <c r="GW75">
        <v>1</v>
      </c>
      <c r="GX75">
        <f t="shared" si="82"/>
        <v>0</v>
      </c>
      <c r="HA75">
        <v>0</v>
      </c>
      <c r="HB75">
        <v>0</v>
      </c>
      <c r="IK75">
        <v>0</v>
      </c>
    </row>
    <row r="76" spans="1:245" x14ac:dyDescent="0.2">
      <c r="A76">
        <v>18</v>
      </c>
      <c r="B76">
        <v>1</v>
      </c>
      <c r="C76">
        <v>166</v>
      </c>
      <c r="E76" t="s">
        <v>218</v>
      </c>
      <c r="F76" t="s">
        <v>219</v>
      </c>
      <c r="G76" t="s">
        <v>220</v>
      </c>
      <c r="H76" t="s">
        <v>105</v>
      </c>
      <c r="I76">
        <f>I73*J76</f>
        <v>3.6923999999999998E-2</v>
      </c>
      <c r="J76">
        <v>3.0000000000000002E-2</v>
      </c>
      <c r="O76">
        <f t="shared" si="50"/>
        <v>0</v>
      </c>
      <c r="P76">
        <f t="shared" si="51"/>
        <v>0</v>
      </c>
      <c r="Q76">
        <f t="shared" si="52"/>
        <v>0</v>
      </c>
      <c r="R76">
        <f t="shared" si="53"/>
        <v>0</v>
      </c>
      <c r="S76">
        <f t="shared" si="54"/>
        <v>0</v>
      </c>
      <c r="T76">
        <f t="shared" si="55"/>
        <v>0</v>
      </c>
      <c r="U76">
        <f t="shared" si="56"/>
        <v>0</v>
      </c>
      <c r="V76">
        <f t="shared" si="57"/>
        <v>0</v>
      </c>
      <c r="W76">
        <f t="shared" si="58"/>
        <v>0</v>
      </c>
      <c r="X76">
        <f t="shared" si="59"/>
        <v>0</v>
      </c>
      <c r="Y76">
        <f t="shared" si="60"/>
        <v>0</v>
      </c>
      <c r="AA76">
        <v>39579451</v>
      </c>
      <c r="AB76">
        <f t="shared" si="61"/>
        <v>0</v>
      </c>
      <c r="AC76">
        <f t="shared" si="86"/>
        <v>0</v>
      </c>
      <c r="AD76">
        <f>ROUND((((ET76)-(EU76))+AE76),2)</f>
        <v>0</v>
      </c>
      <c r="AE76">
        <f t="shared" si="87"/>
        <v>0</v>
      </c>
      <c r="AF76">
        <f t="shared" si="87"/>
        <v>0</v>
      </c>
      <c r="AG76">
        <f t="shared" si="62"/>
        <v>0</v>
      </c>
      <c r="AH76">
        <f t="shared" si="88"/>
        <v>0</v>
      </c>
      <c r="AI76">
        <f t="shared" si="88"/>
        <v>0</v>
      </c>
      <c r="AJ76">
        <f t="shared" si="63"/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95</v>
      </c>
      <c r="AU76">
        <v>47</v>
      </c>
      <c r="AV76">
        <v>1</v>
      </c>
      <c r="AW76">
        <v>1</v>
      </c>
      <c r="AZ76">
        <v>6.9</v>
      </c>
      <c r="BA76">
        <v>1</v>
      </c>
      <c r="BB76">
        <v>1</v>
      </c>
      <c r="BC76">
        <v>6.9</v>
      </c>
      <c r="BD76" t="s">
        <v>3</v>
      </c>
      <c r="BE76" t="s">
        <v>3</v>
      </c>
      <c r="BF76" t="s">
        <v>3</v>
      </c>
      <c r="BG76" t="s">
        <v>3</v>
      </c>
      <c r="BH76">
        <v>3</v>
      </c>
      <c r="BI76">
        <v>1</v>
      </c>
      <c r="BJ76" t="s">
        <v>3</v>
      </c>
      <c r="BM76">
        <v>15001</v>
      </c>
      <c r="BN76">
        <v>0</v>
      </c>
      <c r="BO76" t="s">
        <v>3</v>
      </c>
      <c r="BP76">
        <v>0</v>
      </c>
      <c r="BQ76">
        <v>2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105</v>
      </c>
      <c r="CA76">
        <v>55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64"/>
        <v>0</v>
      </c>
      <c r="CQ76">
        <f t="shared" si="65"/>
        <v>0</v>
      </c>
      <c r="CR76">
        <f t="shared" si="66"/>
        <v>0</v>
      </c>
      <c r="CS76">
        <f t="shared" si="67"/>
        <v>0</v>
      </c>
      <c r="CT76">
        <f t="shared" si="68"/>
        <v>0</v>
      </c>
      <c r="CU76">
        <f t="shared" si="69"/>
        <v>0</v>
      </c>
      <c r="CV76">
        <f t="shared" si="70"/>
        <v>0</v>
      </c>
      <c r="CW76">
        <f t="shared" si="71"/>
        <v>0</v>
      </c>
      <c r="CX76">
        <f t="shared" si="72"/>
        <v>0</v>
      </c>
      <c r="CY76">
        <f t="shared" si="73"/>
        <v>0</v>
      </c>
      <c r="CZ76">
        <f t="shared" si="74"/>
        <v>0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1009</v>
      </c>
      <c r="DV76" t="s">
        <v>105</v>
      </c>
      <c r="DW76" t="s">
        <v>105</v>
      </c>
      <c r="DX76">
        <v>1000</v>
      </c>
      <c r="EE76">
        <v>39174529</v>
      </c>
      <c r="EF76">
        <v>2</v>
      </c>
      <c r="EG76" t="s">
        <v>20</v>
      </c>
      <c r="EH76">
        <v>0</v>
      </c>
      <c r="EI76" t="s">
        <v>3</v>
      </c>
      <c r="EJ76">
        <v>1</v>
      </c>
      <c r="EK76">
        <v>15001</v>
      </c>
      <c r="EL76" t="s">
        <v>21</v>
      </c>
      <c r="EM76" t="s">
        <v>22</v>
      </c>
      <c r="EO76" t="s">
        <v>3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FQ76">
        <v>0</v>
      </c>
      <c r="FR76">
        <f t="shared" si="75"/>
        <v>0</v>
      </c>
      <c r="FS76">
        <v>0</v>
      </c>
      <c r="FT76" t="s">
        <v>24</v>
      </c>
      <c r="FU76" t="s">
        <v>25</v>
      </c>
      <c r="FX76">
        <v>94.5</v>
      </c>
      <c r="FY76">
        <v>46.75</v>
      </c>
      <c r="GA76" t="s">
        <v>3</v>
      </c>
      <c r="GD76">
        <v>0</v>
      </c>
      <c r="GF76">
        <v>1853111044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76"/>
        <v>0</v>
      </c>
      <c r="GM76">
        <f t="shared" si="77"/>
        <v>0</v>
      </c>
      <c r="GN76">
        <f t="shared" si="78"/>
        <v>0</v>
      </c>
      <c r="GO76">
        <f t="shared" si="79"/>
        <v>0</v>
      </c>
      <c r="GP76">
        <f t="shared" si="80"/>
        <v>0</v>
      </c>
      <c r="GR76">
        <v>0</v>
      </c>
      <c r="GS76">
        <v>3</v>
      </c>
      <c r="GT76">
        <v>0</v>
      </c>
      <c r="GU76" t="s">
        <v>3</v>
      </c>
      <c r="GV76">
        <f t="shared" si="81"/>
        <v>0</v>
      </c>
      <c r="GW76">
        <v>1</v>
      </c>
      <c r="GX76">
        <f t="shared" si="82"/>
        <v>0</v>
      </c>
      <c r="HA76">
        <v>0</v>
      </c>
      <c r="HB76">
        <v>0</v>
      </c>
      <c r="IK76">
        <v>0</v>
      </c>
    </row>
    <row r="77" spans="1:245" x14ac:dyDescent="0.2">
      <c r="A77">
        <v>18</v>
      </c>
      <c r="B77">
        <v>1</v>
      </c>
      <c r="C77">
        <v>169</v>
      </c>
      <c r="E77" t="s">
        <v>221</v>
      </c>
      <c r="F77" t="s">
        <v>121</v>
      </c>
      <c r="G77" t="s">
        <v>122</v>
      </c>
      <c r="H77" t="s">
        <v>105</v>
      </c>
      <c r="I77">
        <f>I73*J77</f>
        <v>2.4615999999999999E-2</v>
      </c>
      <c r="J77">
        <v>0.02</v>
      </c>
      <c r="O77">
        <f t="shared" si="50"/>
        <v>0</v>
      </c>
      <c r="P77">
        <f t="shared" si="51"/>
        <v>0</v>
      </c>
      <c r="Q77">
        <f t="shared" si="52"/>
        <v>0</v>
      </c>
      <c r="R77">
        <f t="shared" si="53"/>
        <v>0</v>
      </c>
      <c r="S77">
        <f t="shared" si="54"/>
        <v>0</v>
      </c>
      <c r="T77">
        <f t="shared" si="55"/>
        <v>0</v>
      </c>
      <c r="U77">
        <f t="shared" si="56"/>
        <v>0</v>
      </c>
      <c r="V77">
        <f t="shared" si="57"/>
        <v>0</v>
      </c>
      <c r="W77">
        <f t="shared" si="58"/>
        <v>0</v>
      </c>
      <c r="X77">
        <f t="shared" si="59"/>
        <v>0</v>
      </c>
      <c r="Y77">
        <f t="shared" si="60"/>
        <v>0</v>
      </c>
      <c r="AA77">
        <v>39579451</v>
      </c>
      <c r="AB77">
        <f t="shared" si="61"/>
        <v>0</v>
      </c>
      <c r="AC77">
        <f t="shared" si="86"/>
        <v>0</v>
      </c>
      <c r="AD77">
        <f>ROUND((((ET77)-(EU77))+AE77),2)</f>
        <v>0</v>
      </c>
      <c r="AE77">
        <f t="shared" si="87"/>
        <v>0</v>
      </c>
      <c r="AF77">
        <f t="shared" si="87"/>
        <v>0</v>
      </c>
      <c r="AG77">
        <f t="shared" si="62"/>
        <v>0</v>
      </c>
      <c r="AH77">
        <f t="shared" si="88"/>
        <v>0</v>
      </c>
      <c r="AI77">
        <f t="shared" si="88"/>
        <v>0</v>
      </c>
      <c r="AJ77">
        <f t="shared" si="63"/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6.9</v>
      </c>
      <c r="BA77">
        <v>1</v>
      </c>
      <c r="BB77">
        <v>1</v>
      </c>
      <c r="BC77">
        <v>6.9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1</v>
      </c>
      <c r="BJ77" t="s">
        <v>3</v>
      </c>
      <c r="BM77">
        <v>15001</v>
      </c>
      <c r="BN77">
        <v>0</v>
      </c>
      <c r="BO77" t="s">
        <v>3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105</v>
      </c>
      <c r="CA77">
        <v>55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64"/>
        <v>0</v>
      </c>
      <c r="CQ77">
        <f t="shared" si="65"/>
        <v>0</v>
      </c>
      <c r="CR77">
        <f t="shared" si="66"/>
        <v>0</v>
      </c>
      <c r="CS77">
        <f t="shared" si="67"/>
        <v>0</v>
      </c>
      <c r="CT77">
        <f t="shared" si="68"/>
        <v>0</v>
      </c>
      <c r="CU77">
        <f t="shared" si="69"/>
        <v>0</v>
      </c>
      <c r="CV77">
        <f t="shared" si="70"/>
        <v>0</v>
      </c>
      <c r="CW77">
        <f t="shared" si="71"/>
        <v>0</v>
      </c>
      <c r="CX77">
        <f t="shared" si="72"/>
        <v>0</v>
      </c>
      <c r="CY77">
        <f t="shared" si="73"/>
        <v>0</v>
      </c>
      <c r="CZ77">
        <f t="shared" si="74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1009</v>
      </c>
      <c r="DV77" t="s">
        <v>105</v>
      </c>
      <c r="DW77" t="s">
        <v>105</v>
      </c>
      <c r="DX77">
        <v>1000</v>
      </c>
      <c r="EE77">
        <v>39174529</v>
      </c>
      <c r="EF77">
        <v>2</v>
      </c>
      <c r="EG77" t="s">
        <v>20</v>
      </c>
      <c r="EH77">
        <v>0</v>
      </c>
      <c r="EI77" t="s">
        <v>3</v>
      </c>
      <c r="EJ77">
        <v>1</v>
      </c>
      <c r="EK77">
        <v>15001</v>
      </c>
      <c r="EL77" t="s">
        <v>21</v>
      </c>
      <c r="EM77" t="s">
        <v>22</v>
      </c>
      <c r="EO77" t="s">
        <v>3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75"/>
        <v>0</v>
      </c>
      <c r="FS77">
        <v>0</v>
      </c>
      <c r="FT77" t="s">
        <v>24</v>
      </c>
      <c r="FU77" t="s">
        <v>25</v>
      </c>
      <c r="FX77">
        <v>94.5</v>
      </c>
      <c r="FY77">
        <v>46.75</v>
      </c>
      <c r="GA77" t="s">
        <v>3</v>
      </c>
      <c r="GD77">
        <v>0</v>
      </c>
      <c r="GF77">
        <v>-1212923053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76"/>
        <v>0</v>
      </c>
      <c r="GM77">
        <f t="shared" si="77"/>
        <v>0</v>
      </c>
      <c r="GN77">
        <f t="shared" si="78"/>
        <v>0</v>
      </c>
      <c r="GO77">
        <f t="shared" si="79"/>
        <v>0</v>
      </c>
      <c r="GP77">
        <f t="shared" si="80"/>
        <v>0</v>
      </c>
      <c r="GR77">
        <v>0</v>
      </c>
      <c r="GS77">
        <v>3</v>
      </c>
      <c r="GT77">
        <v>0</v>
      </c>
      <c r="GU77" t="s">
        <v>3</v>
      </c>
      <c r="GV77">
        <f t="shared" si="81"/>
        <v>0</v>
      </c>
      <c r="GW77">
        <v>1</v>
      </c>
      <c r="GX77">
        <f t="shared" si="82"/>
        <v>0</v>
      </c>
      <c r="HA77">
        <v>0</v>
      </c>
      <c r="HB77">
        <v>0</v>
      </c>
      <c r="IK77">
        <v>0</v>
      </c>
    </row>
    <row r="78" spans="1:245" x14ac:dyDescent="0.2">
      <c r="A78">
        <v>17</v>
      </c>
      <c r="B78">
        <v>1</v>
      </c>
      <c r="C78">
        <f>ROW(SmtRes!A173)</f>
        <v>173</v>
      </c>
      <c r="D78">
        <f>ROW(EtalonRes!A168)</f>
        <v>168</v>
      </c>
      <c r="E78" t="s">
        <v>222</v>
      </c>
      <c r="F78" t="s">
        <v>223</v>
      </c>
      <c r="G78" t="s">
        <v>224</v>
      </c>
      <c r="H78" t="s">
        <v>15</v>
      </c>
      <c r="I78">
        <f>ROUND(123.08/100,9)</f>
        <v>1.2307999999999999</v>
      </c>
      <c r="J78">
        <v>0</v>
      </c>
      <c r="O78">
        <f t="shared" si="50"/>
        <v>787.34</v>
      </c>
      <c r="P78">
        <f t="shared" si="51"/>
        <v>0</v>
      </c>
      <c r="Q78">
        <f t="shared" si="52"/>
        <v>0</v>
      </c>
      <c r="R78">
        <f t="shared" si="53"/>
        <v>0</v>
      </c>
      <c r="S78">
        <f t="shared" si="54"/>
        <v>787.34</v>
      </c>
      <c r="T78">
        <f t="shared" si="55"/>
        <v>0</v>
      </c>
      <c r="U78">
        <f t="shared" si="56"/>
        <v>11.8612196</v>
      </c>
      <c r="V78">
        <f t="shared" si="57"/>
        <v>0</v>
      </c>
      <c r="W78">
        <f t="shared" si="58"/>
        <v>0</v>
      </c>
      <c r="X78">
        <f t="shared" si="59"/>
        <v>747.97</v>
      </c>
      <c r="Y78">
        <f t="shared" si="60"/>
        <v>370.05</v>
      </c>
      <c r="AA78">
        <v>39579451</v>
      </c>
      <c r="AB78">
        <f t="shared" si="61"/>
        <v>92.71</v>
      </c>
      <c r="AC78">
        <f t="shared" si="86"/>
        <v>0</v>
      </c>
      <c r="AD78">
        <f>ROUND(((((ET78*1.25))-((EU78*1.25)))+AE78),2)</f>
        <v>0</v>
      </c>
      <c r="AE78">
        <f>ROUND(((EU78*1.25)),2)</f>
        <v>0</v>
      </c>
      <c r="AF78">
        <f>ROUND(((EV78*1.15)),2)</f>
        <v>92.71</v>
      </c>
      <c r="AG78">
        <f t="shared" si="62"/>
        <v>0</v>
      </c>
      <c r="AH78">
        <f>((EW78*1.15))</f>
        <v>9.6370000000000005</v>
      </c>
      <c r="AI78">
        <f>((EX78*1.25))</f>
        <v>0</v>
      </c>
      <c r="AJ78">
        <f t="shared" si="63"/>
        <v>0</v>
      </c>
      <c r="AK78">
        <v>80.62</v>
      </c>
      <c r="AL78">
        <v>0</v>
      </c>
      <c r="AM78">
        <v>0</v>
      </c>
      <c r="AN78">
        <v>0</v>
      </c>
      <c r="AO78">
        <v>80.62</v>
      </c>
      <c r="AP78">
        <v>0</v>
      </c>
      <c r="AQ78">
        <v>8.3800000000000008</v>
      </c>
      <c r="AR78">
        <v>0</v>
      </c>
      <c r="AS78">
        <v>0</v>
      </c>
      <c r="AT78">
        <v>95</v>
      </c>
      <c r="AU78">
        <v>47</v>
      </c>
      <c r="AV78">
        <v>1</v>
      </c>
      <c r="AW78">
        <v>1</v>
      </c>
      <c r="AZ78">
        <v>6.9</v>
      </c>
      <c r="BA78">
        <v>6.9</v>
      </c>
      <c r="BB78">
        <v>6.9</v>
      </c>
      <c r="BC78">
        <v>6.9</v>
      </c>
      <c r="BD78" t="s">
        <v>3</v>
      </c>
      <c r="BE78" t="s">
        <v>3</v>
      </c>
      <c r="BF78" t="s">
        <v>3</v>
      </c>
      <c r="BG78" t="s">
        <v>3</v>
      </c>
      <c r="BH78">
        <v>0</v>
      </c>
      <c r="BI78">
        <v>1</v>
      </c>
      <c r="BJ78" t="s">
        <v>225</v>
      </c>
      <c r="BM78">
        <v>15001</v>
      </c>
      <c r="BN78">
        <v>0</v>
      </c>
      <c r="BO78" t="s">
        <v>3</v>
      </c>
      <c r="BP78">
        <v>0</v>
      </c>
      <c r="BQ78">
        <v>2</v>
      </c>
      <c r="BR78">
        <v>0</v>
      </c>
      <c r="BS78">
        <v>6.9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105</v>
      </c>
      <c r="CA78">
        <v>55</v>
      </c>
      <c r="CF78">
        <v>0</v>
      </c>
      <c r="CG78">
        <v>0</v>
      </c>
      <c r="CM78">
        <v>0</v>
      </c>
      <c r="CN78" t="s">
        <v>787</v>
      </c>
      <c r="CO78">
        <v>0</v>
      </c>
      <c r="CP78">
        <f t="shared" si="64"/>
        <v>787.34</v>
      </c>
      <c r="CQ78">
        <f t="shared" si="65"/>
        <v>0</v>
      </c>
      <c r="CR78">
        <f t="shared" si="66"/>
        <v>0</v>
      </c>
      <c r="CS78">
        <f t="shared" si="67"/>
        <v>0</v>
      </c>
      <c r="CT78">
        <f t="shared" si="68"/>
        <v>639.69899999999996</v>
      </c>
      <c r="CU78">
        <f t="shared" si="69"/>
        <v>0</v>
      </c>
      <c r="CV78">
        <f t="shared" si="70"/>
        <v>9.6370000000000005</v>
      </c>
      <c r="CW78">
        <f t="shared" si="71"/>
        <v>0</v>
      </c>
      <c r="CX78">
        <f t="shared" si="72"/>
        <v>0</v>
      </c>
      <c r="CY78">
        <f t="shared" si="73"/>
        <v>747.97300000000007</v>
      </c>
      <c r="CZ78">
        <f t="shared" si="74"/>
        <v>370.0498</v>
      </c>
      <c r="DC78" t="s">
        <v>3</v>
      </c>
      <c r="DD78" t="s">
        <v>3</v>
      </c>
      <c r="DE78" t="s">
        <v>78</v>
      </c>
      <c r="DF78" t="s">
        <v>78</v>
      </c>
      <c r="DG78" t="s">
        <v>79</v>
      </c>
      <c r="DH78" t="s">
        <v>3</v>
      </c>
      <c r="DI78" t="s">
        <v>79</v>
      </c>
      <c r="DJ78" t="s">
        <v>78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1005</v>
      </c>
      <c r="DV78" t="s">
        <v>15</v>
      </c>
      <c r="DW78" t="s">
        <v>15</v>
      </c>
      <c r="DX78">
        <v>100</v>
      </c>
      <c r="EE78">
        <v>39174529</v>
      </c>
      <c r="EF78">
        <v>2</v>
      </c>
      <c r="EG78" t="s">
        <v>20</v>
      </c>
      <c r="EH78">
        <v>0</v>
      </c>
      <c r="EI78" t="s">
        <v>3</v>
      </c>
      <c r="EJ78">
        <v>1</v>
      </c>
      <c r="EK78">
        <v>15001</v>
      </c>
      <c r="EL78" t="s">
        <v>21</v>
      </c>
      <c r="EM78" t="s">
        <v>22</v>
      </c>
      <c r="EO78" t="s">
        <v>80</v>
      </c>
      <c r="EQ78">
        <v>0</v>
      </c>
      <c r="ER78">
        <v>80.62</v>
      </c>
      <c r="ES78">
        <v>0</v>
      </c>
      <c r="ET78">
        <v>0</v>
      </c>
      <c r="EU78">
        <v>0</v>
      </c>
      <c r="EV78">
        <v>80.62</v>
      </c>
      <c r="EW78">
        <v>8.3800000000000008</v>
      </c>
      <c r="EX78">
        <v>0</v>
      </c>
      <c r="EY78">
        <v>0</v>
      </c>
      <c r="FQ78">
        <v>0</v>
      </c>
      <c r="FR78">
        <f t="shared" si="75"/>
        <v>0</v>
      </c>
      <c r="FS78">
        <v>0</v>
      </c>
      <c r="FT78" t="s">
        <v>24</v>
      </c>
      <c r="FU78" t="s">
        <v>25</v>
      </c>
      <c r="FX78">
        <v>94.5</v>
      </c>
      <c r="FY78">
        <v>46.75</v>
      </c>
      <c r="GA78" t="s">
        <v>3</v>
      </c>
      <c r="GD78">
        <v>0</v>
      </c>
      <c r="GF78">
        <v>-1713052478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76"/>
        <v>0</v>
      </c>
      <c r="GM78">
        <f t="shared" si="77"/>
        <v>1905.36</v>
      </c>
      <c r="GN78">
        <f t="shared" si="78"/>
        <v>1905.36</v>
      </c>
      <c r="GO78">
        <f t="shared" si="79"/>
        <v>0</v>
      </c>
      <c r="GP78">
        <f t="shared" si="80"/>
        <v>0</v>
      </c>
      <c r="GR78">
        <v>0</v>
      </c>
      <c r="GS78">
        <v>3</v>
      </c>
      <c r="GT78">
        <v>0</v>
      </c>
      <c r="GU78" t="s">
        <v>3</v>
      </c>
      <c r="GV78">
        <f t="shared" si="81"/>
        <v>0</v>
      </c>
      <c r="GW78">
        <v>1</v>
      </c>
      <c r="GX78">
        <f t="shared" si="82"/>
        <v>0</v>
      </c>
      <c r="HA78">
        <v>0</v>
      </c>
      <c r="HB78">
        <v>0</v>
      </c>
      <c r="IK78">
        <v>0</v>
      </c>
    </row>
    <row r="79" spans="1:245" x14ac:dyDescent="0.2">
      <c r="A79">
        <v>18</v>
      </c>
      <c r="B79">
        <v>1</v>
      </c>
      <c r="C79">
        <v>172</v>
      </c>
      <c r="E79" t="s">
        <v>226</v>
      </c>
      <c r="F79" t="s">
        <v>213</v>
      </c>
      <c r="G79" t="s">
        <v>214</v>
      </c>
      <c r="H79" t="s">
        <v>215</v>
      </c>
      <c r="I79">
        <f>I78*J79</f>
        <v>19.692799999999998</v>
      </c>
      <c r="J79">
        <v>16</v>
      </c>
      <c r="O79">
        <f t="shared" si="50"/>
        <v>11654.46</v>
      </c>
      <c r="P79">
        <f t="shared" si="51"/>
        <v>11654.46</v>
      </c>
      <c r="Q79">
        <f t="shared" si="52"/>
        <v>0</v>
      </c>
      <c r="R79">
        <f t="shared" si="53"/>
        <v>0</v>
      </c>
      <c r="S79">
        <f t="shared" si="54"/>
        <v>0</v>
      </c>
      <c r="T79">
        <f t="shared" si="55"/>
        <v>0</v>
      </c>
      <c r="U79">
        <f t="shared" si="56"/>
        <v>0</v>
      </c>
      <c r="V79">
        <f t="shared" si="57"/>
        <v>0</v>
      </c>
      <c r="W79">
        <f t="shared" si="58"/>
        <v>0</v>
      </c>
      <c r="X79">
        <f t="shared" si="59"/>
        <v>0</v>
      </c>
      <c r="Y79">
        <f t="shared" si="60"/>
        <v>0</v>
      </c>
      <c r="AA79">
        <v>39579451</v>
      </c>
      <c r="AB79">
        <f t="shared" si="61"/>
        <v>85.77</v>
      </c>
      <c r="AC79">
        <f t="shared" si="86"/>
        <v>85.77</v>
      </c>
      <c r="AD79">
        <f>ROUND((((ET79)-(EU79))+AE79),2)</f>
        <v>0</v>
      </c>
      <c r="AE79">
        <f>ROUND((EU79),2)</f>
        <v>0</v>
      </c>
      <c r="AF79">
        <f>ROUND((EV79),2)</f>
        <v>0</v>
      </c>
      <c r="AG79">
        <f t="shared" si="62"/>
        <v>0</v>
      </c>
      <c r="AH79">
        <f>(EW79)</f>
        <v>0</v>
      </c>
      <c r="AI79">
        <f>(EX79)</f>
        <v>0</v>
      </c>
      <c r="AJ79">
        <f t="shared" si="63"/>
        <v>0</v>
      </c>
      <c r="AK79">
        <v>85.77</v>
      </c>
      <c r="AL79">
        <v>85.77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95</v>
      </c>
      <c r="AU79">
        <v>47</v>
      </c>
      <c r="AV79">
        <v>1</v>
      </c>
      <c r="AW79">
        <v>1</v>
      </c>
      <c r="AZ79">
        <v>6.9</v>
      </c>
      <c r="BA79">
        <v>1</v>
      </c>
      <c r="BB79">
        <v>1</v>
      </c>
      <c r="BC79">
        <v>6.9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216</v>
      </c>
      <c r="BM79">
        <v>15001</v>
      </c>
      <c r="BN79">
        <v>0</v>
      </c>
      <c r="BO79" t="s">
        <v>3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105</v>
      </c>
      <c r="CA79">
        <v>55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64"/>
        <v>11654.46</v>
      </c>
      <c r="CQ79">
        <f t="shared" si="65"/>
        <v>591.81299999999999</v>
      </c>
      <c r="CR79">
        <f t="shared" si="66"/>
        <v>0</v>
      </c>
      <c r="CS79">
        <f t="shared" si="67"/>
        <v>0</v>
      </c>
      <c r="CT79">
        <f t="shared" si="68"/>
        <v>0</v>
      </c>
      <c r="CU79">
        <f t="shared" si="69"/>
        <v>0</v>
      </c>
      <c r="CV79">
        <f t="shared" si="70"/>
        <v>0</v>
      </c>
      <c r="CW79">
        <f t="shared" si="71"/>
        <v>0</v>
      </c>
      <c r="CX79">
        <f t="shared" si="72"/>
        <v>0</v>
      </c>
      <c r="CY79">
        <f t="shared" si="73"/>
        <v>0</v>
      </c>
      <c r="CZ79">
        <f t="shared" si="74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1002</v>
      </c>
      <c r="DV79" t="s">
        <v>215</v>
      </c>
      <c r="DW79" t="s">
        <v>215</v>
      </c>
      <c r="DX79">
        <v>1</v>
      </c>
      <c r="EE79">
        <v>39174529</v>
      </c>
      <c r="EF79">
        <v>2</v>
      </c>
      <c r="EG79" t="s">
        <v>20</v>
      </c>
      <c r="EH79">
        <v>0</v>
      </c>
      <c r="EI79" t="s">
        <v>3</v>
      </c>
      <c r="EJ79">
        <v>1</v>
      </c>
      <c r="EK79">
        <v>15001</v>
      </c>
      <c r="EL79" t="s">
        <v>21</v>
      </c>
      <c r="EM79" t="s">
        <v>22</v>
      </c>
      <c r="EO79" t="s">
        <v>3</v>
      </c>
      <c r="EQ79">
        <v>0</v>
      </c>
      <c r="ER79">
        <v>85.77</v>
      </c>
      <c r="ES79">
        <v>85.77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75"/>
        <v>0</v>
      </c>
      <c r="FS79">
        <v>0</v>
      </c>
      <c r="FT79" t="s">
        <v>24</v>
      </c>
      <c r="FU79" t="s">
        <v>25</v>
      </c>
      <c r="FX79">
        <v>94.5</v>
      </c>
      <c r="FY79">
        <v>46.75</v>
      </c>
      <c r="GA79" t="s">
        <v>3</v>
      </c>
      <c r="GD79">
        <v>0</v>
      </c>
      <c r="GF79">
        <v>1703645008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76"/>
        <v>0</v>
      </c>
      <c r="GM79">
        <f t="shared" si="77"/>
        <v>11654.46</v>
      </c>
      <c r="GN79">
        <f t="shared" si="78"/>
        <v>11654.46</v>
      </c>
      <c r="GO79">
        <f t="shared" si="79"/>
        <v>0</v>
      </c>
      <c r="GP79">
        <f t="shared" si="80"/>
        <v>0</v>
      </c>
      <c r="GR79">
        <v>0</v>
      </c>
      <c r="GS79">
        <v>3</v>
      </c>
      <c r="GT79">
        <v>0</v>
      </c>
      <c r="GU79" t="s">
        <v>3</v>
      </c>
      <c r="GV79">
        <f t="shared" si="81"/>
        <v>0</v>
      </c>
      <c r="GW79">
        <v>1</v>
      </c>
      <c r="GX79">
        <f t="shared" si="82"/>
        <v>0</v>
      </c>
      <c r="HA79">
        <v>0</v>
      </c>
      <c r="HB79">
        <v>0</v>
      </c>
      <c r="IK79">
        <v>0</v>
      </c>
    </row>
    <row r="80" spans="1:245" x14ac:dyDescent="0.2">
      <c r="A80">
        <v>18</v>
      </c>
      <c r="B80">
        <v>1</v>
      </c>
      <c r="C80">
        <v>173</v>
      </c>
      <c r="E80" t="s">
        <v>227</v>
      </c>
      <c r="F80" t="s">
        <v>228</v>
      </c>
      <c r="G80" t="s">
        <v>229</v>
      </c>
      <c r="H80" t="s">
        <v>105</v>
      </c>
      <c r="I80">
        <f>I78*J80</f>
        <v>1.9692999999999999E-2</v>
      </c>
      <c r="J80">
        <v>1.6000162495937602E-2</v>
      </c>
      <c r="O80">
        <f t="shared" si="50"/>
        <v>0</v>
      </c>
      <c r="P80">
        <f t="shared" si="51"/>
        <v>0</v>
      </c>
      <c r="Q80">
        <f t="shared" si="52"/>
        <v>0</v>
      </c>
      <c r="R80">
        <f t="shared" si="53"/>
        <v>0</v>
      </c>
      <c r="S80">
        <f t="shared" si="54"/>
        <v>0</v>
      </c>
      <c r="T80">
        <f t="shared" si="55"/>
        <v>0</v>
      </c>
      <c r="U80">
        <f t="shared" si="56"/>
        <v>0</v>
      </c>
      <c r="V80">
        <f t="shared" si="57"/>
        <v>0</v>
      </c>
      <c r="W80">
        <f t="shared" si="58"/>
        <v>0</v>
      </c>
      <c r="X80">
        <f t="shared" si="59"/>
        <v>0</v>
      </c>
      <c r="Y80">
        <f t="shared" si="60"/>
        <v>0</v>
      </c>
      <c r="AA80">
        <v>39579451</v>
      </c>
      <c r="AB80">
        <f t="shared" si="61"/>
        <v>0</v>
      </c>
      <c r="AC80">
        <f t="shared" si="86"/>
        <v>0</v>
      </c>
      <c r="AD80">
        <f>ROUND((((ET80)-(EU80))+AE80),2)</f>
        <v>0</v>
      </c>
      <c r="AE80">
        <f>ROUND((EU80),2)</f>
        <v>0</v>
      </c>
      <c r="AF80">
        <f>ROUND((EV80),2)</f>
        <v>0</v>
      </c>
      <c r="AG80">
        <f t="shared" si="62"/>
        <v>0</v>
      </c>
      <c r="AH80">
        <f>(EW80)</f>
        <v>0</v>
      </c>
      <c r="AI80">
        <f>(EX80)</f>
        <v>0</v>
      </c>
      <c r="AJ80">
        <f t="shared" si="63"/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95</v>
      </c>
      <c r="AU80">
        <v>47</v>
      </c>
      <c r="AV80">
        <v>1</v>
      </c>
      <c r="AW80">
        <v>1</v>
      </c>
      <c r="AZ80">
        <v>6.9</v>
      </c>
      <c r="BA80">
        <v>1</v>
      </c>
      <c r="BB80">
        <v>1</v>
      </c>
      <c r="BC80">
        <v>6.9</v>
      </c>
      <c r="BD80" t="s">
        <v>3</v>
      </c>
      <c r="BE80" t="s">
        <v>3</v>
      </c>
      <c r="BF80" t="s">
        <v>3</v>
      </c>
      <c r="BG80" t="s">
        <v>3</v>
      </c>
      <c r="BH80">
        <v>3</v>
      </c>
      <c r="BI80">
        <v>1</v>
      </c>
      <c r="BJ80" t="s">
        <v>3</v>
      </c>
      <c r="BM80">
        <v>15001</v>
      </c>
      <c r="BN80">
        <v>0</v>
      </c>
      <c r="BO80" t="s">
        <v>3</v>
      </c>
      <c r="BP80">
        <v>0</v>
      </c>
      <c r="BQ80">
        <v>2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105</v>
      </c>
      <c r="CA80">
        <v>55</v>
      </c>
      <c r="CF80">
        <v>0</v>
      </c>
      <c r="CG80">
        <v>0</v>
      </c>
      <c r="CM80">
        <v>0</v>
      </c>
      <c r="CN80" t="s">
        <v>3</v>
      </c>
      <c r="CO80">
        <v>0</v>
      </c>
      <c r="CP80">
        <f t="shared" si="64"/>
        <v>0</v>
      </c>
      <c r="CQ80">
        <f t="shared" si="65"/>
        <v>0</v>
      </c>
      <c r="CR80">
        <f t="shared" si="66"/>
        <v>0</v>
      </c>
      <c r="CS80">
        <f t="shared" si="67"/>
        <v>0</v>
      </c>
      <c r="CT80">
        <f t="shared" si="68"/>
        <v>0</v>
      </c>
      <c r="CU80">
        <f t="shared" si="69"/>
        <v>0</v>
      </c>
      <c r="CV80">
        <f t="shared" si="70"/>
        <v>0</v>
      </c>
      <c r="CW80">
        <f t="shared" si="71"/>
        <v>0</v>
      </c>
      <c r="CX80">
        <f t="shared" si="72"/>
        <v>0</v>
      </c>
      <c r="CY80">
        <f t="shared" si="73"/>
        <v>0</v>
      </c>
      <c r="CZ80">
        <f t="shared" si="74"/>
        <v>0</v>
      </c>
      <c r="DC80" t="s">
        <v>3</v>
      </c>
      <c r="DD80" t="s">
        <v>3</v>
      </c>
      <c r="DE80" t="s">
        <v>3</v>
      </c>
      <c r="DF80" t="s">
        <v>3</v>
      </c>
      <c r="DG80" t="s">
        <v>3</v>
      </c>
      <c r="DH80" t="s">
        <v>3</v>
      </c>
      <c r="DI80" t="s">
        <v>3</v>
      </c>
      <c r="DJ80" t="s">
        <v>3</v>
      </c>
      <c r="DK80" t="s">
        <v>3</v>
      </c>
      <c r="DL80" t="s">
        <v>3</v>
      </c>
      <c r="DM80" t="s">
        <v>3</v>
      </c>
      <c r="DN80">
        <v>0</v>
      </c>
      <c r="DO80">
        <v>0</v>
      </c>
      <c r="DP80">
        <v>1</v>
      </c>
      <c r="DQ80">
        <v>1</v>
      </c>
      <c r="DU80">
        <v>1009</v>
      </c>
      <c r="DV80" t="s">
        <v>105</v>
      </c>
      <c r="DW80" t="s">
        <v>105</v>
      </c>
      <c r="DX80">
        <v>1000</v>
      </c>
      <c r="EE80">
        <v>39174529</v>
      </c>
      <c r="EF80">
        <v>2</v>
      </c>
      <c r="EG80" t="s">
        <v>20</v>
      </c>
      <c r="EH80">
        <v>0</v>
      </c>
      <c r="EI80" t="s">
        <v>3</v>
      </c>
      <c r="EJ80">
        <v>1</v>
      </c>
      <c r="EK80">
        <v>15001</v>
      </c>
      <c r="EL80" t="s">
        <v>21</v>
      </c>
      <c r="EM80" t="s">
        <v>22</v>
      </c>
      <c r="EO80" t="s">
        <v>3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FQ80">
        <v>0</v>
      </c>
      <c r="FR80">
        <f t="shared" si="75"/>
        <v>0</v>
      </c>
      <c r="FS80">
        <v>0</v>
      </c>
      <c r="FT80" t="s">
        <v>24</v>
      </c>
      <c r="FU80" t="s">
        <v>25</v>
      </c>
      <c r="FX80">
        <v>94.5</v>
      </c>
      <c r="FY80">
        <v>46.75</v>
      </c>
      <c r="GA80" t="s">
        <v>3</v>
      </c>
      <c r="GD80">
        <v>0</v>
      </c>
      <c r="GF80">
        <v>973262446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76"/>
        <v>0</v>
      </c>
      <c r="GM80">
        <f t="shared" si="77"/>
        <v>0</v>
      </c>
      <c r="GN80">
        <f t="shared" si="78"/>
        <v>0</v>
      </c>
      <c r="GO80">
        <f t="shared" si="79"/>
        <v>0</v>
      </c>
      <c r="GP80">
        <f t="shared" si="80"/>
        <v>0</v>
      </c>
      <c r="GR80">
        <v>0</v>
      </c>
      <c r="GS80">
        <v>3</v>
      </c>
      <c r="GT80">
        <v>0</v>
      </c>
      <c r="GU80" t="s">
        <v>3</v>
      </c>
      <c r="GV80">
        <f t="shared" si="81"/>
        <v>0</v>
      </c>
      <c r="GW80">
        <v>1</v>
      </c>
      <c r="GX80">
        <f t="shared" si="82"/>
        <v>0</v>
      </c>
      <c r="HA80">
        <v>0</v>
      </c>
      <c r="HB80">
        <v>0</v>
      </c>
      <c r="IK80">
        <v>0</v>
      </c>
    </row>
    <row r="81" spans="1:245" x14ac:dyDescent="0.2">
      <c r="A81">
        <v>17</v>
      </c>
      <c r="B81">
        <v>1</v>
      </c>
      <c r="C81">
        <f>ROW(SmtRes!A188)</f>
        <v>188</v>
      </c>
      <c r="D81">
        <f>ROW(EtalonRes!A181)</f>
        <v>181</v>
      </c>
      <c r="E81" t="s">
        <v>230</v>
      </c>
      <c r="F81" t="s">
        <v>231</v>
      </c>
      <c r="G81" t="s">
        <v>232</v>
      </c>
      <c r="H81" t="s">
        <v>15</v>
      </c>
      <c r="I81">
        <f>ROUND(27.99/100,9)</f>
        <v>0.27989999999999998</v>
      </c>
      <c r="J81">
        <v>0</v>
      </c>
      <c r="O81">
        <f t="shared" si="50"/>
        <v>9160.86</v>
      </c>
      <c r="P81">
        <f t="shared" si="51"/>
        <v>532.80999999999995</v>
      </c>
      <c r="Q81">
        <f t="shared" si="52"/>
        <v>1370.5</v>
      </c>
      <c r="R81">
        <f t="shared" si="53"/>
        <v>79.55</v>
      </c>
      <c r="S81">
        <f t="shared" si="54"/>
        <v>7257.55</v>
      </c>
      <c r="T81">
        <f t="shared" si="55"/>
        <v>0</v>
      </c>
      <c r="U81">
        <f t="shared" si="56"/>
        <v>104.55468569999998</v>
      </c>
      <c r="V81">
        <f t="shared" si="57"/>
        <v>0.86768999999999996</v>
      </c>
      <c r="W81">
        <f t="shared" si="58"/>
        <v>0</v>
      </c>
      <c r="X81">
        <f t="shared" si="59"/>
        <v>5943.05</v>
      </c>
      <c r="Y81">
        <f t="shared" si="60"/>
        <v>5282.71</v>
      </c>
      <c r="AA81">
        <v>39579451</v>
      </c>
      <c r="AB81">
        <f t="shared" si="61"/>
        <v>4743.34</v>
      </c>
      <c r="AC81">
        <f t="shared" si="86"/>
        <v>275.88</v>
      </c>
      <c r="AD81">
        <f>ROUND(((((ET81*1.25))-((EU81*1.25)))+AE81),2)</f>
        <v>709.62</v>
      </c>
      <c r="AE81">
        <f>ROUND(((EU81*1.25)),2)</f>
        <v>41.19</v>
      </c>
      <c r="AF81">
        <f>ROUND(((EV81*1.15)),2)</f>
        <v>3757.84</v>
      </c>
      <c r="AG81">
        <f t="shared" si="62"/>
        <v>0</v>
      </c>
      <c r="AH81">
        <f>((EW81*1.15))</f>
        <v>373.54299999999995</v>
      </c>
      <c r="AI81">
        <f>((EX81*1.25))</f>
        <v>3.1</v>
      </c>
      <c r="AJ81">
        <f t="shared" si="63"/>
        <v>0</v>
      </c>
      <c r="AK81">
        <v>4111.26</v>
      </c>
      <c r="AL81">
        <v>275.88</v>
      </c>
      <c r="AM81">
        <v>567.69000000000005</v>
      </c>
      <c r="AN81">
        <v>32.950000000000003</v>
      </c>
      <c r="AO81">
        <v>3267.69</v>
      </c>
      <c r="AP81">
        <v>0</v>
      </c>
      <c r="AQ81">
        <v>324.82</v>
      </c>
      <c r="AR81">
        <v>2.48</v>
      </c>
      <c r="AS81">
        <v>0</v>
      </c>
      <c r="AT81">
        <v>81</v>
      </c>
      <c r="AU81">
        <v>72</v>
      </c>
      <c r="AV81">
        <v>1</v>
      </c>
      <c r="AW81">
        <v>1</v>
      </c>
      <c r="AZ81">
        <v>6.9</v>
      </c>
      <c r="BA81">
        <v>6.9</v>
      </c>
      <c r="BB81">
        <v>6.9</v>
      </c>
      <c r="BC81">
        <v>6.9</v>
      </c>
      <c r="BD81" t="s">
        <v>3</v>
      </c>
      <c r="BE81" t="s">
        <v>3</v>
      </c>
      <c r="BF81" t="s">
        <v>3</v>
      </c>
      <c r="BG81" t="s">
        <v>3</v>
      </c>
      <c r="BH81">
        <v>0</v>
      </c>
      <c r="BI81">
        <v>1</v>
      </c>
      <c r="BJ81" t="s">
        <v>233</v>
      </c>
      <c r="BM81">
        <v>9001</v>
      </c>
      <c r="BN81">
        <v>0</v>
      </c>
      <c r="BO81" t="s">
        <v>3</v>
      </c>
      <c r="BP81">
        <v>0</v>
      </c>
      <c r="BQ81">
        <v>2</v>
      </c>
      <c r="BR81">
        <v>0</v>
      </c>
      <c r="BS81">
        <v>6.9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90</v>
      </c>
      <c r="CA81">
        <v>85</v>
      </c>
      <c r="CF81">
        <v>0</v>
      </c>
      <c r="CG81">
        <v>0</v>
      </c>
      <c r="CM81">
        <v>0</v>
      </c>
      <c r="CN81" t="s">
        <v>787</v>
      </c>
      <c r="CO81">
        <v>0</v>
      </c>
      <c r="CP81">
        <f t="shared" si="64"/>
        <v>9160.86</v>
      </c>
      <c r="CQ81">
        <f t="shared" si="65"/>
        <v>1903.5720000000001</v>
      </c>
      <c r="CR81">
        <f t="shared" si="66"/>
        <v>4896.3780000000006</v>
      </c>
      <c r="CS81">
        <f t="shared" si="67"/>
        <v>284.21100000000001</v>
      </c>
      <c r="CT81">
        <f t="shared" si="68"/>
        <v>25929.096000000001</v>
      </c>
      <c r="CU81">
        <f t="shared" si="69"/>
        <v>0</v>
      </c>
      <c r="CV81">
        <f t="shared" si="70"/>
        <v>373.54299999999995</v>
      </c>
      <c r="CW81">
        <f t="shared" si="71"/>
        <v>3.1</v>
      </c>
      <c r="CX81">
        <f t="shared" si="72"/>
        <v>0</v>
      </c>
      <c r="CY81">
        <f t="shared" si="73"/>
        <v>5943.0509999999995</v>
      </c>
      <c r="CZ81">
        <f t="shared" si="74"/>
        <v>5282.7120000000004</v>
      </c>
      <c r="DC81" t="s">
        <v>3</v>
      </c>
      <c r="DD81" t="s">
        <v>3</v>
      </c>
      <c r="DE81" t="s">
        <v>78</v>
      </c>
      <c r="DF81" t="s">
        <v>78</v>
      </c>
      <c r="DG81" t="s">
        <v>79</v>
      </c>
      <c r="DH81" t="s">
        <v>3</v>
      </c>
      <c r="DI81" t="s">
        <v>79</v>
      </c>
      <c r="DJ81" t="s">
        <v>78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1005</v>
      </c>
      <c r="DV81" t="s">
        <v>15</v>
      </c>
      <c r="DW81" t="s">
        <v>15</v>
      </c>
      <c r="DX81">
        <v>100</v>
      </c>
      <c r="EE81">
        <v>39174502</v>
      </c>
      <c r="EF81">
        <v>2</v>
      </c>
      <c r="EG81" t="s">
        <v>20</v>
      </c>
      <c r="EH81">
        <v>0</v>
      </c>
      <c r="EI81" t="s">
        <v>3</v>
      </c>
      <c r="EJ81">
        <v>1</v>
      </c>
      <c r="EK81">
        <v>9001</v>
      </c>
      <c r="EL81" t="s">
        <v>234</v>
      </c>
      <c r="EM81" t="s">
        <v>235</v>
      </c>
      <c r="EO81" t="s">
        <v>80</v>
      </c>
      <c r="EQ81">
        <v>0</v>
      </c>
      <c r="ER81">
        <v>4111.26</v>
      </c>
      <c r="ES81">
        <v>275.88</v>
      </c>
      <c r="ET81">
        <v>567.69000000000005</v>
      </c>
      <c r="EU81">
        <v>32.950000000000003</v>
      </c>
      <c r="EV81">
        <v>3267.69</v>
      </c>
      <c r="EW81">
        <v>324.82</v>
      </c>
      <c r="EX81">
        <v>2.48</v>
      </c>
      <c r="EY81">
        <v>0</v>
      </c>
      <c r="FQ81">
        <v>0</v>
      </c>
      <c r="FR81">
        <f t="shared" si="75"/>
        <v>0</v>
      </c>
      <c r="FS81">
        <v>0</v>
      </c>
      <c r="FT81" t="s">
        <v>24</v>
      </c>
      <c r="FU81" t="s">
        <v>25</v>
      </c>
      <c r="FX81">
        <v>81</v>
      </c>
      <c r="FY81">
        <v>72.25</v>
      </c>
      <c r="GA81" t="s">
        <v>3</v>
      </c>
      <c r="GD81">
        <v>0</v>
      </c>
      <c r="GF81">
        <v>-1603771734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76"/>
        <v>0</v>
      </c>
      <c r="GM81">
        <f t="shared" si="77"/>
        <v>20386.62</v>
      </c>
      <c r="GN81">
        <f t="shared" si="78"/>
        <v>20386.62</v>
      </c>
      <c r="GO81">
        <f t="shared" si="79"/>
        <v>0</v>
      </c>
      <c r="GP81">
        <f t="shared" si="80"/>
        <v>0</v>
      </c>
      <c r="GR81">
        <v>0</v>
      </c>
      <c r="GS81">
        <v>3</v>
      </c>
      <c r="GT81">
        <v>0</v>
      </c>
      <c r="GU81" t="s">
        <v>3</v>
      </c>
      <c r="GV81">
        <f t="shared" si="81"/>
        <v>0</v>
      </c>
      <c r="GW81">
        <v>1</v>
      </c>
      <c r="GX81">
        <f t="shared" si="82"/>
        <v>0</v>
      </c>
      <c r="HA81">
        <v>0</v>
      </c>
      <c r="HB81">
        <v>0</v>
      </c>
      <c r="IK81">
        <v>0</v>
      </c>
    </row>
    <row r="82" spans="1:245" x14ac:dyDescent="0.2">
      <c r="A82">
        <v>18</v>
      </c>
      <c r="B82">
        <v>1</v>
      </c>
      <c r="C82">
        <v>186</v>
      </c>
      <c r="E82" t="s">
        <v>236</v>
      </c>
      <c r="F82" t="s">
        <v>237</v>
      </c>
      <c r="G82" t="s">
        <v>238</v>
      </c>
      <c r="H82" t="s">
        <v>189</v>
      </c>
      <c r="I82">
        <f>I81*J82</f>
        <v>1</v>
      </c>
      <c r="J82">
        <v>3.5727045373347628</v>
      </c>
      <c r="O82">
        <f t="shared" si="50"/>
        <v>78556.5</v>
      </c>
      <c r="P82">
        <f t="shared" si="51"/>
        <v>78556.5</v>
      </c>
      <c r="Q82">
        <f t="shared" si="52"/>
        <v>0</v>
      </c>
      <c r="R82">
        <f t="shared" si="53"/>
        <v>0</v>
      </c>
      <c r="S82">
        <f t="shared" si="54"/>
        <v>0</v>
      </c>
      <c r="T82">
        <f t="shared" si="55"/>
        <v>0</v>
      </c>
      <c r="U82">
        <f t="shared" si="56"/>
        <v>0</v>
      </c>
      <c r="V82">
        <f t="shared" si="57"/>
        <v>0</v>
      </c>
      <c r="W82">
        <f t="shared" si="58"/>
        <v>0</v>
      </c>
      <c r="X82">
        <f t="shared" si="59"/>
        <v>0</v>
      </c>
      <c r="Y82">
        <f t="shared" si="60"/>
        <v>0</v>
      </c>
      <c r="AA82">
        <v>39579451</v>
      </c>
      <c r="AB82">
        <f t="shared" si="61"/>
        <v>11385</v>
      </c>
      <c r="AC82">
        <f t="shared" si="86"/>
        <v>11385</v>
      </c>
      <c r="AD82">
        <f t="shared" ref="AD82:AD87" si="89">ROUND((((ET82)-(EU82))+AE82),2)</f>
        <v>0</v>
      </c>
      <c r="AE82">
        <f t="shared" ref="AE82:AF87" si="90">ROUND((EU82),2)</f>
        <v>0</v>
      </c>
      <c r="AF82">
        <f t="shared" si="90"/>
        <v>0</v>
      </c>
      <c r="AG82">
        <f t="shared" si="62"/>
        <v>0</v>
      </c>
      <c r="AH82">
        <f t="shared" ref="AH82:AI87" si="91">(EW82)</f>
        <v>0</v>
      </c>
      <c r="AI82">
        <f t="shared" si="91"/>
        <v>0</v>
      </c>
      <c r="AJ82">
        <f t="shared" si="63"/>
        <v>0</v>
      </c>
      <c r="AK82">
        <v>11385</v>
      </c>
      <c r="AL82">
        <v>11385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81</v>
      </c>
      <c r="AU82">
        <v>72</v>
      </c>
      <c r="AV82">
        <v>1</v>
      </c>
      <c r="AW82">
        <v>1</v>
      </c>
      <c r="AZ82">
        <v>6.9</v>
      </c>
      <c r="BA82">
        <v>1</v>
      </c>
      <c r="BB82">
        <v>1</v>
      </c>
      <c r="BC82">
        <v>6.9</v>
      </c>
      <c r="BD82" t="s">
        <v>3</v>
      </c>
      <c r="BE82" t="s">
        <v>3</v>
      </c>
      <c r="BF82" t="s">
        <v>3</v>
      </c>
      <c r="BG82" t="s">
        <v>3</v>
      </c>
      <c r="BH82">
        <v>3</v>
      </c>
      <c r="BI82">
        <v>1</v>
      </c>
      <c r="BJ82" t="s">
        <v>239</v>
      </c>
      <c r="BM82">
        <v>9001</v>
      </c>
      <c r="BN82">
        <v>0</v>
      </c>
      <c r="BO82" t="s">
        <v>3</v>
      </c>
      <c r="BP82">
        <v>0</v>
      </c>
      <c r="BQ82">
        <v>2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90</v>
      </c>
      <c r="CA82">
        <v>85</v>
      </c>
      <c r="CF82">
        <v>0</v>
      </c>
      <c r="CG82">
        <v>0</v>
      </c>
      <c r="CM82">
        <v>0</v>
      </c>
      <c r="CN82" t="s">
        <v>3</v>
      </c>
      <c r="CO82">
        <v>0</v>
      </c>
      <c r="CP82">
        <f t="shared" si="64"/>
        <v>78556.5</v>
      </c>
      <c r="CQ82">
        <f t="shared" si="65"/>
        <v>78556.5</v>
      </c>
      <c r="CR82">
        <f t="shared" si="66"/>
        <v>0</v>
      </c>
      <c r="CS82">
        <f t="shared" si="67"/>
        <v>0</v>
      </c>
      <c r="CT82">
        <f t="shared" si="68"/>
        <v>0</v>
      </c>
      <c r="CU82">
        <f t="shared" si="69"/>
        <v>0</v>
      </c>
      <c r="CV82">
        <f t="shared" si="70"/>
        <v>0</v>
      </c>
      <c r="CW82">
        <f t="shared" si="71"/>
        <v>0</v>
      </c>
      <c r="CX82">
        <f t="shared" si="72"/>
        <v>0</v>
      </c>
      <c r="CY82">
        <f t="shared" si="73"/>
        <v>0</v>
      </c>
      <c r="CZ82">
        <f t="shared" si="74"/>
        <v>0</v>
      </c>
      <c r="DC82" t="s">
        <v>3</v>
      </c>
      <c r="DD82" t="s">
        <v>3</v>
      </c>
      <c r="DE82" t="s">
        <v>3</v>
      </c>
      <c r="DF82" t="s">
        <v>3</v>
      </c>
      <c r="DG82" t="s">
        <v>3</v>
      </c>
      <c r="DH82" t="s">
        <v>3</v>
      </c>
      <c r="DI82" t="s">
        <v>3</v>
      </c>
      <c r="DJ82" t="s">
        <v>3</v>
      </c>
      <c r="DK82" t="s">
        <v>3</v>
      </c>
      <c r="DL82" t="s">
        <v>3</v>
      </c>
      <c r="DM82" t="s">
        <v>3</v>
      </c>
      <c r="DN82">
        <v>0</v>
      </c>
      <c r="DO82">
        <v>0</v>
      </c>
      <c r="DP82">
        <v>1</v>
      </c>
      <c r="DQ82">
        <v>1</v>
      </c>
      <c r="DU82">
        <v>1010</v>
      </c>
      <c r="DV82" t="s">
        <v>189</v>
      </c>
      <c r="DW82" t="s">
        <v>189</v>
      </c>
      <c r="DX82">
        <v>1</v>
      </c>
      <c r="EE82">
        <v>39174502</v>
      </c>
      <c r="EF82">
        <v>2</v>
      </c>
      <c r="EG82" t="s">
        <v>20</v>
      </c>
      <c r="EH82">
        <v>0</v>
      </c>
      <c r="EI82" t="s">
        <v>3</v>
      </c>
      <c r="EJ82">
        <v>1</v>
      </c>
      <c r="EK82">
        <v>9001</v>
      </c>
      <c r="EL82" t="s">
        <v>234</v>
      </c>
      <c r="EM82" t="s">
        <v>235</v>
      </c>
      <c r="EO82" t="s">
        <v>3</v>
      </c>
      <c r="EQ82">
        <v>0</v>
      </c>
      <c r="ER82">
        <v>11385</v>
      </c>
      <c r="ES82">
        <v>11385</v>
      </c>
      <c r="ET82">
        <v>0</v>
      </c>
      <c r="EU82">
        <v>0</v>
      </c>
      <c r="EV82">
        <v>0</v>
      </c>
      <c r="EW82">
        <v>0</v>
      </c>
      <c r="EX82">
        <v>0</v>
      </c>
      <c r="FQ82">
        <v>0</v>
      </c>
      <c r="FR82">
        <f t="shared" si="75"/>
        <v>0</v>
      </c>
      <c r="FS82">
        <v>0</v>
      </c>
      <c r="FT82" t="s">
        <v>24</v>
      </c>
      <c r="FU82" t="s">
        <v>25</v>
      </c>
      <c r="FX82">
        <v>81</v>
      </c>
      <c r="FY82">
        <v>72.25</v>
      </c>
      <c r="GA82" t="s">
        <v>3</v>
      </c>
      <c r="GD82">
        <v>0</v>
      </c>
      <c r="GF82">
        <v>1421977603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76"/>
        <v>0</v>
      </c>
      <c r="GM82">
        <f t="shared" si="77"/>
        <v>78556.5</v>
      </c>
      <c r="GN82">
        <f t="shared" si="78"/>
        <v>78556.5</v>
      </c>
      <c r="GO82">
        <f t="shared" si="79"/>
        <v>0</v>
      </c>
      <c r="GP82">
        <f t="shared" si="80"/>
        <v>0</v>
      </c>
      <c r="GR82">
        <v>0</v>
      </c>
      <c r="GS82">
        <v>3</v>
      </c>
      <c r="GT82">
        <v>0</v>
      </c>
      <c r="GU82" t="s">
        <v>3</v>
      </c>
      <c r="GV82">
        <f t="shared" si="81"/>
        <v>0</v>
      </c>
      <c r="GW82">
        <v>1</v>
      </c>
      <c r="GX82">
        <f t="shared" si="82"/>
        <v>0</v>
      </c>
      <c r="HA82">
        <v>0</v>
      </c>
      <c r="HB82">
        <v>0</v>
      </c>
      <c r="IK82">
        <v>0</v>
      </c>
    </row>
    <row r="83" spans="1:245" x14ac:dyDescent="0.2">
      <c r="A83">
        <v>18</v>
      </c>
      <c r="B83">
        <v>1</v>
      </c>
      <c r="C83">
        <v>187</v>
      </c>
      <c r="E83" t="s">
        <v>240</v>
      </c>
      <c r="F83" t="s">
        <v>241</v>
      </c>
      <c r="G83" t="s">
        <v>242</v>
      </c>
      <c r="H83" t="s">
        <v>189</v>
      </c>
      <c r="I83">
        <f>I81*J83</f>
        <v>1</v>
      </c>
      <c r="J83">
        <v>3.5727045373347628</v>
      </c>
      <c r="O83">
        <f t="shared" si="50"/>
        <v>87942.43</v>
      </c>
      <c r="P83">
        <f t="shared" si="51"/>
        <v>87942.43</v>
      </c>
      <c r="Q83">
        <f t="shared" si="52"/>
        <v>0</v>
      </c>
      <c r="R83">
        <f t="shared" si="53"/>
        <v>0</v>
      </c>
      <c r="S83">
        <f t="shared" si="54"/>
        <v>0</v>
      </c>
      <c r="T83">
        <f t="shared" si="55"/>
        <v>0</v>
      </c>
      <c r="U83">
        <f t="shared" si="56"/>
        <v>0</v>
      </c>
      <c r="V83">
        <f t="shared" si="57"/>
        <v>0</v>
      </c>
      <c r="W83">
        <f t="shared" si="58"/>
        <v>0</v>
      </c>
      <c r="X83">
        <f t="shared" si="59"/>
        <v>0</v>
      </c>
      <c r="Y83">
        <f t="shared" si="60"/>
        <v>0</v>
      </c>
      <c r="AA83">
        <v>39579451</v>
      </c>
      <c r="AB83">
        <f t="shared" si="61"/>
        <v>12745.28</v>
      </c>
      <c r="AC83">
        <f t="shared" si="86"/>
        <v>12745.28</v>
      </c>
      <c r="AD83">
        <f t="shared" si="89"/>
        <v>0</v>
      </c>
      <c r="AE83">
        <f t="shared" si="90"/>
        <v>0</v>
      </c>
      <c r="AF83">
        <f t="shared" si="90"/>
        <v>0</v>
      </c>
      <c r="AG83">
        <f t="shared" si="62"/>
        <v>0</v>
      </c>
      <c r="AH83">
        <f t="shared" si="91"/>
        <v>0</v>
      </c>
      <c r="AI83">
        <f t="shared" si="91"/>
        <v>0</v>
      </c>
      <c r="AJ83">
        <f t="shared" si="63"/>
        <v>0</v>
      </c>
      <c r="AK83">
        <v>12745.28</v>
      </c>
      <c r="AL83">
        <v>12745.28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81</v>
      </c>
      <c r="AU83">
        <v>72</v>
      </c>
      <c r="AV83">
        <v>1</v>
      </c>
      <c r="AW83">
        <v>1</v>
      </c>
      <c r="AZ83">
        <v>6.9</v>
      </c>
      <c r="BA83">
        <v>1</v>
      </c>
      <c r="BB83">
        <v>1</v>
      </c>
      <c r="BC83">
        <v>6.9</v>
      </c>
      <c r="BD83" t="s">
        <v>3</v>
      </c>
      <c r="BE83" t="s">
        <v>3</v>
      </c>
      <c r="BF83" t="s">
        <v>3</v>
      </c>
      <c r="BG83" t="s">
        <v>3</v>
      </c>
      <c r="BH83">
        <v>3</v>
      </c>
      <c r="BI83">
        <v>1</v>
      </c>
      <c r="BJ83" t="s">
        <v>243</v>
      </c>
      <c r="BM83">
        <v>9001</v>
      </c>
      <c r="BN83">
        <v>0</v>
      </c>
      <c r="BO83" t="s">
        <v>3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90</v>
      </c>
      <c r="CA83">
        <v>85</v>
      </c>
      <c r="CF83">
        <v>0</v>
      </c>
      <c r="CG83">
        <v>0</v>
      </c>
      <c r="CM83">
        <v>0</v>
      </c>
      <c r="CN83" t="s">
        <v>3</v>
      </c>
      <c r="CO83">
        <v>0</v>
      </c>
      <c r="CP83">
        <f t="shared" si="64"/>
        <v>87942.43</v>
      </c>
      <c r="CQ83">
        <f t="shared" si="65"/>
        <v>87942.432000000015</v>
      </c>
      <c r="CR83">
        <f t="shared" si="66"/>
        <v>0</v>
      </c>
      <c r="CS83">
        <f t="shared" si="67"/>
        <v>0</v>
      </c>
      <c r="CT83">
        <f t="shared" si="68"/>
        <v>0</v>
      </c>
      <c r="CU83">
        <f t="shared" si="69"/>
        <v>0</v>
      </c>
      <c r="CV83">
        <f t="shared" si="70"/>
        <v>0</v>
      </c>
      <c r="CW83">
        <f t="shared" si="71"/>
        <v>0</v>
      </c>
      <c r="CX83">
        <f t="shared" si="72"/>
        <v>0</v>
      </c>
      <c r="CY83">
        <f t="shared" si="73"/>
        <v>0</v>
      </c>
      <c r="CZ83">
        <f t="shared" si="74"/>
        <v>0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1010</v>
      </c>
      <c r="DV83" t="s">
        <v>189</v>
      </c>
      <c r="DW83" t="s">
        <v>189</v>
      </c>
      <c r="DX83">
        <v>1</v>
      </c>
      <c r="EE83">
        <v>39174502</v>
      </c>
      <c r="EF83">
        <v>2</v>
      </c>
      <c r="EG83" t="s">
        <v>20</v>
      </c>
      <c r="EH83">
        <v>0</v>
      </c>
      <c r="EI83" t="s">
        <v>3</v>
      </c>
      <c r="EJ83">
        <v>1</v>
      </c>
      <c r="EK83">
        <v>9001</v>
      </c>
      <c r="EL83" t="s">
        <v>234</v>
      </c>
      <c r="EM83" t="s">
        <v>235</v>
      </c>
      <c r="EO83" t="s">
        <v>3</v>
      </c>
      <c r="EQ83">
        <v>0</v>
      </c>
      <c r="ER83">
        <v>12745.28</v>
      </c>
      <c r="ES83">
        <v>12745.28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75"/>
        <v>0</v>
      </c>
      <c r="FS83">
        <v>0</v>
      </c>
      <c r="FT83" t="s">
        <v>24</v>
      </c>
      <c r="FU83" t="s">
        <v>25</v>
      </c>
      <c r="FX83">
        <v>81</v>
      </c>
      <c r="FY83">
        <v>72.25</v>
      </c>
      <c r="GA83" t="s">
        <v>3</v>
      </c>
      <c r="GD83">
        <v>0</v>
      </c>
      <c r="GF83">
        <v>-1912188872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76"/>
        <v>0</v>
      </c>
      <c r="GM83">
        <f t="shared" si="77"/>
        <v>87942.43</v>
      </c>
      <c r="GN83">
        <f t="shared" si="78"/>
        <v>87942.43</v>
      </c>
      <c r="GO83">
        <f t="shared" si="79"/>
        <v>0</v>
      </c>
      <c r="GP83">
        <f t="shared" si="80"/>
        <v>0</v>
      </c>
      <c r="GR83">
        <v>0</v>
      </c>
      <c r="GS83">
        <v>3</v>
      </c>
      <c r="GT83">
        <v>0</v>
      </c>
      <c r="GU83" t="s">
        <v>3</v>
      </c>
      <c r="GV83">
        <f t="shared" si="81"/>
        <v>0</v>
      </c>
      <c r="GW83">
        <v>1</v>
      </c>
      <c r="GX83">
        <f t="shared" si="82"/>
        <v>0</v>
      </c>
      <c r="HA83">
        <v>0</v>
      </c>
      <c r="HB83">
        <v>0</v>
      </c>
      <c r="IK83">
        <v>0</v>
      </c>
    </row>
    <row r="84" spans="1:245" x14ac:dyDescent="0.2">
      <c r="A84">
        <v>18</v>
      </c>
      <c r="B84">
        <v>1</v>
      </c>
      <c r="C84">
        <v>179</v>
      </c>
      <c r="E84" t="s">
        <v>244</v>
      </c>
      <c r="F84" t="s">
        <v>245</v>
      </c>
      <c r="G84" t="s">
        <v>246</v>
      </c>
      <c r="H84" t="s">
        <v>247</v>
      </c>
      <c r="I84">
        <f>I81*J84</f>
        <v>2</v>
      </c>
      <c r="J84">
        <v>7.1454090746695256</v>
      </c>
      <c r="O84">
        <f t="shared" si="50"/>
        <v>1276.78</v>
      </c>
      <c r="P84">
        <f t="shared" si="51"/>
        <v>1276.78</v>
      </c>
      <c r="Q84">
        <f t="shared" si="52"/>
        <v>0</v>
      </c>
      <c r="R84">
        <f t="shared" si="53"/>
        <v>0</v>
      </c>
      <c r="S84">
        <f t="shared" si="54"/>
        <v>0</v>
      </c>
      <c r="T84">
        <f t="shared" si="55"/>
        <v>0</v>
      </c>
      <c r="U84">
        <f t="shared" si="56"/>
        <v>0</v>
      </c>
      <c r="V84">
        <f t="shared" si="57"/>
        <v>0</v>
      </c>
      <c r="W84">
        <f t="shared" si="58"/>
        <v>0</v>
      </c>
      <c r="X84">
        <f t="shared" si="59"/>
        <v>0</v>
      </c>
      <c r="Y84">
        <f t="shared" si="60"/>
        <v>0</v>
      </c>
      <c r="AA84">
        <v>39579451</v>
      </c>
      <c r="AB84">
        <f t="shared" si="61"/>
        <v>92.52</v>
      </c>
      <c r="AC84">
        <f t="shared" si="86"/>
        <v>92.52</v>
      </c>
      <c r="AD84">
        <f t="shared" si="89"/>
        <v>0</v>
      </c>
      <c r="AE84">
        <f t="shared" si="90"/>
        <v>0</v>
      </c>
      <c r="AF84">
        <f t="shared" si="90"/>
        <v>0</v>
      </c>
      <c r="AG84">
        <f t="shared" si="62"/>
        <v>0</v>
      </c>
      <c r="AH84">
        <f t="shared" si="91"/>
        <v>0</v>
      </c>
      <c r="AI84">
        <f t="shared" si="91"/>
        <v>0</v>
      </c>
      <c r="AJ84">
        <f t="shared" si="63"/>
        <v>0</v>
      </c>
      <c r="AK84">
        <v>92.52</v>
      </c>
      <c r="AL84">
        <v>92.52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106</v>
      </c>
      <c r="AU84">
        <v>54</v>
      </c>
      <c r="AV84">
        <v>1</v>
      </c>
      <c r="AW84">
        <v>1</v>
      </c>
      <c r="AZ84">
        <v>6.9</v>
      </c>
      <c r="BA84">
        <v>1</v>
      </c>
      <c r="BB84">
        <v>1</v>
      </c>
      <c r="BC84">
        <v>6.9</v>
      </c>
      <c r="BD84" t="s">
        <v>3</v>
      </c>
      <c r="BE84" t="s">
        <v>3</v>
      </c>
      <c r="BF84" t="s">
        <v>3</v>
      </c>
      <c r="BG84" t="s">
        <v>3</v>
      </c>
      <c r="BH84">
        <v>3</v>
      </c>
      <c r="BI84">
        <v>1</v>
      </c>
      <c r="BJ84" t="s">
        <v>248</v>
      </c>
      <c r="BM84">
        <v>10001</v>
      </c>
      <c r="BN84">
        <v>0</v>
      </c>
      <c r="BO84" t="s">
        <v>3</v>
      </c>
      <c r="BP84">
        <v>0</v>
      </c>
      <c r="BQ84">
        <v>2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118</v>
      </c>
      <c r="CA84">
        <v>63</v>
      </c>
      <c r="CF84">
        <v>0</v>
      </c>
      <c r="CG84">
        <v>0</v>
      </c>
      <c r="CM84">
        <v>0</v>
      </c>
      <c r="CN84" t="s">
        <v>3</v>
      </c>
      <c r="CO84">
        <v>0</v>
      </c>
      <c r="CP84">
        <f t="shared" si="64"/>
        <v>1276.78</v>
      </c>
      <c r="CQ84">
        <f t="shared" si="65"/>
        <v>638.38800000000003</v>
      </c>
      <c r="CR84">
        <f t="shared" si="66"/>
        <v>0</v>
      </c>
      <c r="CS84">
        <f t="shared" si="67"/>
        <v>0</v>
      </c>
      <c r="CT84">
        <f t="shared" si="68"/>
        <v>0</v>
      </c>
      <c r="CU84">
        <f t="shared" si="69"/>
        <v>0</v>
      </c>
      <c r="CV84">
        <f t="shared" si="70"/>
        <v>0</v>
      </c>
      <c r="CW84">
        <f t="shared" si="71"/>
        <v>0</v>
      </c>
      <c r="CX84">
        <f t="shared" si="72"/>
        <v>0</v>
      </c>
      <c r="CY84">
        <f t="shared" si="73"/>
        <v>0</v>
      </c>
      <c r="CZ84">
        <f t="shared" si="74"/>
        <v>0</v>
      </c>
      <c r="DC84" t="s">
        <v>3</v>
      </c>
      <c r="DD84" t="s">
        <v>3</v>
      </c>
      <c r="DE84" t="s">
        <v>3</v>
      </c>
      <c r="DF84" t="s">
        <v>3</v>
      </c>
      <c r="DG84" t="s">
        <v>3</v>
      </c>
      <c r="DH84" t="s">
        <v>3</v>
      </c>
      <c r="DI84" t="s">
        <v>3</v>
      </c>
      <c r="DJ84" t="s">
        <v>3</v>
      </c>
      <c r="DK84" t="s">
        <v>3</v>
      </c>
      <c r="DL84" t="s">
        <v>3</v>
      </c>
      <c r="DM84" t="s">
        <v>3</v>
      </c>
      <c r="DN84">
        <v>0</v>
      </c>
      <c r="DO84">
        <v>0</v>
      </c>
      <c r="DP84">
        <v>1</v>
      </c>
      <c r="DQ84">
        <v>1</v>
      </c>
      <c r="DU84">
        <v>1013</v>
      </c>
      <c r="DV84" t="s">
        <v>247</v>
      </c>
      <c r="DW84" t="s">
        <v>247</v>
      </c>
      <c r="DX84">
        <v>1</v>
      </c>
      <c r="EE84">
        <v>39174503</v>
      </c>
      <c r="EF84">
        <v>2</v>
      </c>
      <c r="EG84" t="s">
        <v>20</v>
      </c>
      <c r="EH84">
        <v>0</v>
      </c>
      <c r="EI84" t="s">
        <v>3</v>
      </c>
      <c r="EJ84">
        <v>1</v>
      </c>
      <c r="EK84">
        <v>10001</v>
      </c>
      <c r="EL84" t="s">
        <v>66</v>
      </c>
      <c r="EM84" t="s">
        <v>67</v>
      </c>
      <c r="EO84" t="s">
        <v>3</v>
      </c>
      <c r="EQ84">
        <v>0</v>
      </c>
      <c r="ER84">
        <v>92.52</v>
      </c>
      <c r="ES84">
        <v>92.52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75"/>
        <v>0</v>
      </c>
      <c r="FS84">
        <v>0</v>
      </c>
      <c r="FT84" t="s">
        <v>24</v>
      </c>
      <c r="FU84" t="s">
        <v>25</v>
      </c>
      <c r="FX84">
        <v>106.2</v>
      </c>
      <c r="FY84">
        <v>53.55</v>
      </c>
      <c r="GA84" t="s">
        <v>3</v>
      </c>
      <c r="GD84">
        <v>0</v>
      </c>
      <c r="GF84">
        <v>203574032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si="76"/>
        <v>0</v>
      </c>
      <c r="GM84">
        <f t="shared" si="77"/>
        <v>1276.78</v>
      </c>
      <c r="GN84">
        <f t="shared" si="78"/>
        <v>1276.78</v>
      </c>
      <c r="GO84">
        <f t="shared" si="79"/>
        <v>0</v>
      </c>
      <c r="GP84">
        <f t="shared" si="80"/>
        <v>0</v>
      </c>
      <c r="GR84">
        <v>0</v>
      </c>
      <c r="GS84">
        <v>3</v>
      </c>
      <c r="GT84">
        <v>0</v>
      </c>
      <c r="GU84" t="s">
        <v>3</v>
      </c>
      <c r="GV84">
        <f t="shared" si="81"/>
        <v>0</v>
      </c>
      <c r="GW84">
        <v>1</v>
      </c>
      <c r="GX84">
        <f t="shared" si="82"/>
        <v>0</v>
      </c>
      <c r="HA84">
        <v>0</v>
      </c>
      <c r="HB84">
        <v>0</v>
      </c>
      <c r="IK84">
        <v>0</v>
      </c>
    </row>
    <row r="85" spans="1:245" x14ac:dyDescent="0.2">
      <c r="A85">
        <v>18</v>
      </c>
      <c r="B85">
        <v>1</v>
      </c>
      <c r="C85">
        <v>180</v>
      </c>
      <c r="E85" t="s">
        <v>249</v>
      </c>
      <c r="F85" t="s">
        <v>250</v>
      </c>
      <c r="G85" t="s">
        <v>251</v>
      </c>
      <c r="H85" t="s">
        <v>247</v>
      </c>
      <c r="I85">
        <f>I81*J85</f>
        <v>2</v>
      </c>
      <c r="J85">
        <v>7.1454090746695256</v>
      </c>
      <c r="O85">
        <f t="shared" si="50"/>
        <v>1306.58</v>
      </c>
      <c r="P85">
        <f t="shared" si="51"/>
        <v>1306.58</v>
      </c>
      <c r="Q85">
        <f t="shared" si="52"/>
        <v>0</v>
      </c>
      <c r="R85">
        <f t="shared" si="53"/>
        <v>0</v>
      </c>
      <c r="S85">
        <f t="shared" si="54"/>
        <v>0</v>
      </c>
      <c r="T85">
        <f t="shared" si="55"/>
        <v>0</v>
      </c>
      <c r="U85">
        <f t="shared" si="56"/>
        <v>0</v>
      </c>
      <c r="V85">
        <f t="shared" si="57"/>
        <v>0</v>
      </c>
      <c r="W85">
        <f t="shared" si="58"/>
        <v>0</v>
      </c>
      <c r="X85">
        <f t="shared" si="59"/>
        <v>0</v>
      </c>
      <c r="Y85">
        <f t="shared" si="60"/>
        <v>0</v>
      </c>
      <c r="AA85">
        <v>39579451</v>
      </c>
      <c r="AB85">
        <f t="shared" si="61"/>
        <v>94.68</v>
      </c>
      <c r="AC85">
        <f t="shared" si="86"/>
        <v>94.68</v>
      </c>
      <c r="AD85">
        <f t="shared" si="89"/>
        <v>0</v>
      </c>
      <c r="AE85">
        <f t="shared" si="90"/>
        <v>0</v>
      </c>
      <c r="AF85">
        <f t="shared" si="90"/>
        <v>0</v>
      </c>
      <c r="AG85">
        <f t="shared" si="62"/>
        <v>0</v>
      </c>
      <c r="AH85">
        <f t="shared" si="91"/>
        <v>0</v>
      </c>
      <c r="AI85">
        <f t="shared" si="91"/>
        <v>0</v>
      </c>
      <c r="AJ85">
        <f t="shared" si="63"/>
        <v>0</v>
      </c>
      <c r="AK85">
        <v>94.68</v>
      </c>
      <c r="AL85">
        <v>94.68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106</v>
      </c>
      <c r="AU85">
        <v>54</v>
      </c>
      <c r="AV85">
        <v>1</v>
      </c>
      <c r="AW85">
        <v>1</v>
      </c>
      <c r="AZ85">
        <v>6.9</v>
      </c>
      <c r="BA85">
        <v>1</v>
      </c>
      <c r="BB85">
        <v>1</v>
      </c>
      <c r="BC85">
        <v>6.9</v>
      </c>
      <c r="BD85" t="s">
        <v>3</v>
      </c>
      <c r="BE85" t="s">
        <v>3</v>
      </c>
      <c r="BF85" t="s">
        <v>3</v>
      </c>
      <c r="BG85" t="s">
        <v>3</v>
      </c>
      <c r="BH85">
        <v>3</v>
      </c>
      <c r="BI85">
        <v>1</v>
      </c>
      <c r="BJ85" t="s">
        <v>252</v>
      </c>
      <c r="BM85">
        <v>10001</v>
      </c>
      <c r="BN85">
        <v>0</v>
      </c>
      <c r="BO85" t="s">
        <v>3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118</v>
      </c>
      <c r="CA85">
        <v>63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64"/>
        <v>1306.58</v>
      </c>
      <c r="CQ85">
        <f t="shared" si="65"/>
        <v>653.29200000000003</v>
      </c>
      <c r="CR85">
        <f t="shared" si="66"/>
        <v>0</v>
      </c>
      <c r="CS85">
        <f t="shared" si="67"/>
        <v>0</v>
      </c>
      <c r="CT85">
        <f t="shared" si="68"/>
        <v>0</v>
      </c>
      <c r="CU85">
        <f t="shared" si="69"/>
        <v>0</v>
      </c>
      <c r="CV85">
        <f t="shared" si="70"/>
        <v>0</v>
      </c>
      <c r="CW85">
        <f t="shared" si="71"/>
        <v>0</v>
      </c>
      <c r="CX85">
        <f t="shared" si="72"/>
        <v>0</v>
      </c>
      <c r="CY85">
        <f t="shared" si="73"/>
        <v>0</v>
      </c>
      <c r="CZ85">
        <f t="shared" si="74"/>
        <v>0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1013</v>
      </c>
      <c r="DV85" t="s">
        <v>247</v>
      </c>
      <c r="DW85" t="s">
        <v>247</v>
      </c>
      <c r="DX85">
        <v>1</v>
      </c>
      <c r="EE85">
        <v>39174503</v>
      </c>
      <c r="EF85">
        <v>2</v>
      </c>
      <c r="EG85" t="s">
        <v>20</v>
      </c>
      <c r="EH85">
        <v>0</v>
      </c>
      <c r="EI85" t="s">
        <v>3</v>
      </c>
      <c r="EJ85">
        <v>1</v>
      </c>
      <c r="EK85">
        <v>10001</v>
      </c>
      <c r="EL85" t="s">
        <v>66</v>
      </c>
      <c r="EM85" t="s">
        <v>67</v>
      </c>
      <c r="EO85" t="s">
        <v>3</v>
      </c>
      <c r="EQ85">
        <v>0</v>
      </c>
      <c r="ER85">
        <v>94.68</v>
      </c>
      <c r="ES85">
        <v>94.68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75"/>
        <v>0</v>
      </c>
      <c r="FS85">
        <v>0</v>
      </c>
      <c r="FT85" t="s">
        <v>24</v>
      </c>
      <c r="FU85" t="s">
        <v>25</v>
      </c>
      <c r="FX85">
        <v>106.2</v>
      </c>
      <c r="FY85">
        <v>53.55</v>
      </c>
      <c r="GA85" t="s">
        <v>3</v>
      </c>
      <c r="GD85">
        <v>0</v>
      </c>
      <c r="GF85">
        <v>-1514276406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76"/>
        <v>0</v>
      </c>
      <c r="GM85">
        <f t="shared" si="77"/>
        <v>1306.58</v>
      </c>
      <c r="GN85">
        <f t="shared" si="78"/>
        <v>1306.58</v>
      </c>
      <c r="GO85">
        <f t="shared" si="79"/>
        <v>0</v>
      </c>
      <c r="GP85">
        <f t="shared" si="80"/>
        <v>0</v>
      </c>
      <c r="GR85">
        <v>0</v>
      </c>
      <c r="GS85">
        <v>3</v>
      </c>
      <c r="GT85">
        <v>0</v>
      </c>
      <c r="GU85" t="s">
        <v>3</v>
      </c>
      <c r="GV85">
        <f t="shared" si="81"/>
        <v>0</v>
      </c>
      <c r="GW85">
        <v>1</v>
      </c>
      <c r="GX85">
        <f t="shared" si="82"/>
        <v>0</v>
      </c>
      <c r="HA85">
        <v>0</v>
      </c>
      <c r="HB85">
        <v>0</v>
      </c>
      <c r="IK85">
        <v>0</v>
      </c>
    </row>
    <row r="86" spans="1:245" x14ac:dyDescent="0.2">
      <c r="A86">
        <v>18</v>
      </c>
      <c r="B86">
        <v>1</v>
      </c>
      <c r="C86">
        <v>183</v>
      </c>
      <c r="E86" t="s">
        <v>253</v>
      </c>
      <c r="F86" t="s">
        <v>254</v>
      </c>
      <c r="G86" t="s">
        <v>255</v>
      </c>
      <c r="H86" t="s">
        <v>154</v>
      </c>
      <c r="I86">
        <f>I81*J86</f>
        <v>27.99</v>
      </c>
      <c r="J86">
        <v>100</v>
      </c>
      <c r="O86">
        <f t="shared" si="50"/>
        <v>49016.65</v>
      </c>
      <c r="P86">
        <f t="shared" si="51"/>
        <v>49016.65</v>
      </c>
      <c r="Q86">
        <f t="shared" si="52"/>
        <v>0</v>
      </c>
      <c r="R86">
        <f t="shared" si="53"/>
        <v>0</v>
      </c>
      <c r="S86">
        <f t="shared" si="54"/>
        <v>0</v>
      </c>
      <c r="T86">
        <f t="shared" si="55"/>
        <v>0</v>
      </c>
      <c r="U86">
        <f t="shared" si="56"/>
        <v>0</v>
      </c>
      <c r="V86">
        <f t="shared" si="57"/>
        <v>0</v>
      </c>
      <c r="W86">
        <f t="shared" si="58"/>
        <v>0</v>
      </c>
      <c r="X86">
        <f t="shared" si="59"/>
        <v>0</v>
      </c>
      <c r="Y86">
        <f t="shared" si="60"/>
        <v>0</v>
      </c>
      <c r="AA86">
        <v>39579451</v>
      </c>
      <c r="AB86">
        <f t="shared" si="61"/>
        <v>253.8</v>
      </c>
      <c r="AC86">
        <f t="shared" si="86"/>
        <v>253.8</v>
      </c>
      <c r="AD86">
        <f t="shared" si="89"/>
        <v>0</v>
      </c>
      <c r="AE86">
        <f t="shared" si="90"/>
        <v>0</v>
      </c>
      <c r="AF86">
        <f t="shared" si="90"/>
        <v>0</v>
      </c>
      <c r="AG86">
        <f t="shared" si="62"/>
        <v>0</v>
      </c>
      <c r="AH86">
        <f t="shared" si="91"/>
        <v>0</v>
      </c>
      <c r="AI86">
        <f t="shared" si="91"/>
        <v>0</v>
      </c>
      <c r="AJ86">
        <f t="shared" si="63"/>
        <v>0</v>
      </c>
      <c r="AK86">
        <v>253.8</v>
      </c>
      <c r="AL86">
        <v>253.8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81</v>
      </c>
      <c r="AU86">
        <v>72</v>
      </c>
      <c r="AV86">
        <v>1</v>
      </c>
      <c r="AW86">
        <v>1</v>
      </c>
      <c r="AZ86">
        <v>6.9</v>
      </c>
      <c r="BA86">
        <v>1</v>
      </c>
      <c r="BB86">
        <v>1</v>
      </c>
      <c r="BC86">
        <v>6.9</v>
      </c>
      <c r="BD86" t="s">
        <v>3</v>
      </c>
      <c r="BE86" t="s">
        <v>3</v>
      </c>
      <c r="BF86" t="s">
        <v>3</v>
      </c>
      <c r="BG86" t="s">
        <v>3</v>
      </c>
      <c r="BH86">
        <v>3</v>
      </c>
      <c r="BI86">
        <v>1</v>
      </c>
      <c r="BJ86" t="s">
        <v>256</v>
      </c>
      <c r="BM86">
        <v>9001</v>
      </c>
      <c r="BN86">
        <v>0</v>
      </c>
      <c r="BO86" t="s">
        <v>3</v>
      </c>
      <c r="BP86">
        <v>0</v>
      </c>
      <c r="BQ86">
        <v>2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3</v>
      </c>
      <c r="BZ86">
        <v>90</v>
      </c>
      <c r="CA86">
        <v>85</v>
      </c>
      <c r="CF86">
        <v>0</v>
      </c>
      <c r="CG86">
        <v>0</v>
      </c>
      <c r="CM86">
        <v>0</v>
      </c>
      <c r="CN86" t="s">
        <v>3</v>
      </c>
      <c r="CO86">
        <v>0</v>
      </c>
      <c r="CP86">
        <f t="shared" si="64"/>
        <v>49016.65</v>
      </c>
      <c r="CQ86">
        <f t="shared" si="65"/>
        <v>1751.2200000000003</v>
      </c>
      <c r="CR86">
        <f t="shared" si="66"/>
        <v>0</v>
      </c>
      <c r="CS86">
        <f t="shared" si="67"/>
        <v>0</v>
      </c>
      <c r="CT86">
        <f t="shared" si="68"/>
        <v>0</v>
      </c>
      <c r="CU86">
        <f t="shared" si="69"/>
        <v>0</v>
      </c>
      <c r="CV86">
        <f t="shared" si="70"/>
        <v>0</v>
      </c>
      <c r="CW86">
        <f t="shared" si="71"/>
        <v>0</v>
      </c>
      <c r="CX86">
        <f t="shared" si="72"/>
        <v>0</v>
      </c>
      <c r="CY86">
        <f t="shared" si="73"/>
        <v>0</v>
      </c>
      <c r="CZ86">
        <f t="shared" si="74"/>
        <v>0</v>
      </c>
      <c r="DC86" t="s">
        <v>3</v>
      </c>
      <c r="DD86" t="s">
        <v>3</v>
      </c>
      <c r="DE86" t="s">
        <v>3</v>
      </c>
      <c r="DF86" t="s">
        <v>3</v>
      </c>
      <c r="DG86" t="s">
        <v>3</v>
      </c>
      <c r="DH86" t="s">
        <v>3</v>
      </c>
      <c r="DI86" t="s">
        <v>3</v>
      </c>
      <c r="DJ86" t="s">
        <v>3</v>
      </c>
      <c r="DK86" t="s">
        <v>3</v>
      </c>
      <c r="DL86" t="s">
        <v>3</v>
      </c>
      <c r="DM86" t="s">
        <v>3</v>
      </c>
      <c r="DN86">
        <v>0</v>
      </c>
      <c r="DO86">
        <v>0</v>
      </c>
      <c r="DP86">
        <v>1</v>
      </c>
      <c r="DQ86">
        <v>1</v>
      </c>
      <c r="DU86">
        <v>1005</v>
      </c>
      <c r="DV86" t="s">
        <v>154</v>
      </c>
      <c r="DW86" t="s">
        <v>154</v>
      </c>
      <c r="DX86">
        <v>1</v>
      </c>
      <c r="EE86">
        <v>39174502</v>
      </c>
      <c r="EF86">
        <v>2</v>
      </c>
      <c r="EG86" t="s">
        <v>20</v>
      </c>
      <c r="EH86">
        <v>0</v>
      </c>
      <c r="EI86" t="s">
        <v>3</v>
      </c>
      <c r="EJ86">
        <v>1</v>
      </c>
      <c r="EK86">
        <v>9001</v>
      </c>
      <c r="EL86" t="s">
        <v>234</v>
      </c>
      <c r="EM86" t="s">
        <v>235</v>
      </c>
      <c r="EO86" t="s">
        <v>3</v>
      </c>
      <c r="EQ86">
        <v>0</v>
      </c>
      <c r="ER86">
        <v>253.8</v>
      </c>
      <c r="ES86">
        <v>253.8</v>
      </c>
      <c r="ET86">
        <v>0</v>
      </c>
      <c r="EU86">
        <v>0</v>
      </c>
      <c r="EV86">
        <v>0</v>
      </c>
      <c r="EW86">
        <v>0</v>
      </c>
      <c r="EX86">
        <v>0</v>
      </c>
      <c r="FQ86">
        <v>0</v>
      </c>
      <c r="FR86">
        <f t="shared" si="75"/>
        <v>0</v>
      </c>
      <c r="FS86">
        <v>0</v>
      </c>
      <c r="FT86" t="s">
        <v>24</v>
      </c>
      <c r="FU86" t="s">
        <v>25</v>
      </c>
      <c r="FX86">
        <v>81</v>
      </c>
      <c r="FY86">
        <v>72.25</v>
      </c>
      <c r="GA86" t="s">
        <v>3</v>
      </c>
      <c r="GD86">
        <v>0</v>
      </c>
      <c r="GF86">
        <v>1958343218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76"/>
        <v>0</v>
      </c>
      <c r="GM86">
        <f t="shared" si="77"/>
        <v>49016.65</v>
      </c>
      <c r="GN86">
        <f t="shared" si="78"/>
        <v>49016.65</v>
      </c>
      <c r="GO86">
        <f t="shared" si="79"/>
        <v>0</v>
      </c>
      <c r="GP86">
        <f t="shared" si="80"/>
        <v>0</v>
      </c>
      <c r="GR86">
        <v>0</v>
      </c>
      <c r="GS86">
        <v>3</v>
      </c>
      <c r="GT86">
        <v>0</v>
      </c>
      <c r="GU86" t="s">
        <v>3</v>
      </c>
      <c r="GV86">
        <f t="shared" si="81"/>
        <v>0</v>
      </c>
      <c r="GW86">
        <v>1</v>
      </c>
      <c r="GX86">
        <f t="shared" si="82"/>
        <v>0</v>
      </c>
      <c r="HA86">
        <v>0</v>
      </c>
      <c r="HB86">
        <v>0</v>
      </c>
      <c r="IK86">
        <v>0</v>
      </c>
    </row>
    <row r="87" spans="1:245" x14ac:dyDescent="0.2">
      <c r="A87">
        <v>18</v>
      </c>
      <c r="B87">
        <v>1</v>
      </c>
      <c r="C87">
        <v>181</v>
      </c>
      <c r="E87" t="s">
        <v>257</v>
      </c>
      <c r="F87" t="s">
        <v>258</v>
      </c>
      <c r="G87" t="s">
        <v>259</v>
      </c>
      <c r="H87" t="s">
        <v>118</v>
      </c>
      <c r="I87">
        <f>I81*J87</f>
        <v>1.2</v>
      </c>
      <c r="J87">
        <v>4.287245444801715</v>
      </c>
      <c r="O87">
        <f t="shared" si="50"/>
        <v>233.99</v>
      </c>
      <c r="P87">
        <f t="shared" si="51"/>
        <v>233.99</v>
      </c>
      <c r="Q87">
        <f t="shared" si="52"/>
        <v>0</v>
      </c>
      <c r="R87">
        <f t="shared" si="53"/>
        <v>0</v>
      </c>
      <c r="S87">
        <f t="shared" si="54"/>
        <v>0</v>
      </c>
      <c r="T87">
        <f t="shared" si="55"/>
        <v>0</v>
      </c>
      <c r="U87">
        <f t="shared" si="56"/>
        <v>0</v>
      </c>
      <c r="V87">
        <f t="shared" si="57"/>
        <v>0</v>
      </c>
      <c r="W87">
        <f t="shared" si="58"/>
        <v>0</v>
      </c>
      <c r="X87">
        <f t="shared" si="59"/>
        <v>0</v>
      </c>
      <c r="Y87">
        <f t="shared" si="60"/>
        <v>0</v>
      </c>
      <c r="AA87">
        <v>39579451</v>
      </c>
      <c r="AB87">
        <f t="shared" si="61"/>
        <v>28.26</v>
      </c>
      <c r="AC87">
        <f t="shared" si="86"/>
        <v>28.26</v>
      </c>
      <c r="AD87">
        <f t="shared" si="89"/>
        <v>0</v>
      </c>
      <c r="AE87">
        <f t="shared" si="90"/>
        <v>0</v>
      </c>
      <c r="AF87">
        <f t="shared" si="90"/>
        <v>0</v>
      </c>
      <c r="AG87">
        <f t="shared" si="62"/>
        <v>0</v>
      </c>
      <c r="AH87">
        <f t="shared" si="91"/>
        <v>0</v>
      </c>
      <c r="AI87">
        <f t="shared" si="91"/>
        <v>0</v>
      </c>
      <c r="AJ87">
        <f t="shared" si="63"/>
        <v>0</v>
      </c>
      <c r="AK87">
        <v>28.26</v>
      </c>
      <c r="AL87">
        <v>28.26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81</v>
      </c>
      <c r="AU87">
        <v>72</v>
      </c>
      <c r="AV87">
        <v>1</v>
      </c>
      <c r="AW87">
        <v>1</v>
      </c>
      <c r="AZ87">
        <v>6.9</v>
      </c>
      <c r="BA87">
        <v>1</v>
      </c>
      <c r="BB87">
        <v>1</v>
      </c>
      <c r="BC87">
        <v>6.9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1</v>
      </c>
      <c r="BJ87" t="s">
        <v>260</v>
      </c>
      <c r="BM87">
        <v>9001</v>
      </c>
      <c r="BN87">
        <v>0</v>
      </c>
      <c r="BO87" t="s">
        <v>3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90</v>
      </c>
      <c r="CA87">
        <v>85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64"/>
        <v>233.99</v>
      </c>
      <c r="CQ87">
        <f t="shared" si="65"/>
        <v>194.99400000000003</v>
      </c>
      <c r="CR87">
        <f t="shared" si="66"/>
        <v>0</v>
      </c>
      <c r="CS87">
        <f t="shared" si="67"/>
        <v>0</v>
      </c>
      <c r="CT87">
        <f t="shared" si="68"/>
        <v>0</v>
      </c>
      <c r="CU87">
        <f t="shared" si="69"/>
        <v>0</v>
      </c>
      <c r="CV87">
        <f t="shared" si="70"/>
        <v>0</v>
      </c>
      <c r="CW87">
        <f t="shared" si="71"/>
        <v>0</v>
      </c>
      <c r="CX87">
        <f t="shared" si="72"/>
        <v>0</v>
      </c>
      <c r="CY87">
        <f t="shared" si="73"/>
        <v>0</v>
      </c>
      <c r="CZ87">
        <f t="shared" si="74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118</v>
      </c>
      <c r="DW87" t="s">
        <v>118</v>
      </c>
      <c r="DX87">
        <v>1</v>
      </c>
      <c r="EE87">
        <v>39174502</v>
      </c>
      <c r="EF87">
        <v>2</v>
      </c>
      <c r="EG87" t="s">
        <v>20</v>
      </c>
      <c r="EH87">
        <v>0</v>
      </c>
      <c r="EI87" t="s">
        <v>3</v>
      </c>
      <c r="EJ87">
        <v>1</v>
      </c>
      <c r="EK87">
        <v>9001</v>
      </c>
      <c r="EL87" t="s">
        <v>234</v>
      </c>
      <c r="EM87" t="s">
        <v>235</v>
      </c>
      <c r="EO87" t="s">
        <v>3</v>
      </c>
      <c r="EQ87">
        <v>0</v>
      </c>
      <c r="ER87">
        <v>28.26</v>
      </c>
      <c r="ES87">
        <v>28.26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75"/>
        <v>0</v>
      </c>
      <c r="FS87">
        <v>0</v>
      </c>
      <c r="FT87" t="s">
        <v>24</v>
      </c>
      <c r="FU87" t="s">
        <v>25</v>
      </c>
      <c r="FX87">
        <v>81</v>
      </c>
      <c r="FY87">
        <v>72.25</v>
      </c>
      <c r="GA87" t="s">
        <v>3</v>
      </c>
      <c r="GD87">
        <v>0</v>
      </c>
      <c r="GF87">
        <v>-1725235741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76"/>
        <v>0</v>
      </c>
      <c r="GM87">
        <f t="shared" si="77"/>
        <v>233.99</v>
      </c>
      <c r="GN87">
        <f t="shared" si="78"/>
        <v>233.99</v>
      </c>
      <c r="GO87">
        <f t="shared" si="79"/>
        <v>0</v>
      </c>
      <c r="GP87">
        <f t="shared" si="80"/>
        <v>0</v>
      </c>
      <c r="GR87">
        <v>0</v>
      </c>
      <c r="GS87">
        <v>3</v>
      </c>
      <c r="GT87">
        <v>0</v>
      </c>
      <c r="GU87" t="s">
        <v>3</v>
      </c>
      <c r="GV87">
        <f t="shared" si="81"/>
        <v>0</v>
      </c>
      <c r="GW87">
        <v>1</v>
      </c>
      <c r="GX87">
        <f t="shared" si="82"/>
        <v>0</v>
      </c>
      <c r="HA87">
        <v>0</v>
      </c>
      <c r="HB87">
        <v>0</v>
      </c>
      <c r="IK87">
        <v>0</v>
      </c>
    </row>
    <row r="88" spans="1:245" x14ac:dyDescent="0.2">
      <c r="A88">
        <v>17</v>
      </c>
      <c r="B88">
        <v>1</v>
      </c>
      <c r="C88">
        <f>ROW(SmtRes!A202)</f>
        <v>202</v>
      </c>
      <c r="D88">
        <f>ROW(EtalonRes!A192)</f>
        <v>192</v>
      </c>
      <c r="E88" t="s">
        <v>261</v>
      </c>
      <c r="F88" t="s">
        <v>262</v>
      </c>
      <c r="G88" t="s">
        <v>263</v>
      </c>
      <c r="H88" t="s">
        <v>15</v>
      </c>
      <c r="I88">
        <f>ROUND(6.09/100,9)</f>
        <v>6.0900000000000003E-2</v>
      </c>
      <c r="J88">
        <v>0</v>
      </c>
      <c r="O88">
        <f t="shared" ref="O88:O116" si="92">ROUND(CP88,2)</f>
        <v>1621.58</v>
      </c>
      <c r="P88">
        <f t="shared" ref="P88:P116" si="93">ROUND(CQ88*I88,2)</f>
        <v>715.96</v>
      </c>
      <c r="Q88">
        <f t="shared" ref="Q88:Q116" si="94">ROUND(CR88*I88,2)</f>
        <v>508.45</v>
      </c>
      <c r="R88">
        <f t="shared" ref="R88:R116" si="95">ROUND(CS88*I88,2)</f>
        <v>80.84</v>
      </c>
      <c r="S88">
        <f t="shared" ref="S88:S116" si="96">ROUND(CT88*I88,2)</f>
        <v>397.17</v>
      </c>
      <c r="T88">
        <f t="shared" ref="T88:T116" si="97">ROUND(CU88*I88,2)</f>
        <v>0</v>
      </c>
      <c r="U88">
        <f t="shared" ref="U88:U116" si="98">CV88*I88</f>
        <v>6.2702335499999995</v>
      </c>
      <c r="V88">
        <f t="shared" ref="V88:V116" si="99">CW88*I88</f>
        <v>0.88914000000000004</v>
      </c>
      <c r="W88">
        <f t="shared" ref="W88:W116" si="100">ROUND(CX88*I88,2)</f>
        <v>0</v>
      </c>
      <c r="X88">
        <f t="shared" ref="X88:X116" si="101">ROUND(CY88,2)</f>
        <v>506.69</v>
      </c>
      <c r="Y88">
        <f t="shared" ref="Y88:Y116" si="102">ROUND(CZ88,2)</f>
        <v>258.13</v>
      </c>
      <c r="AA88">
        <v>39579451</v>
      </c>
      <c r="AB88">
        <f t="shared" ref="AB88:AB116" si="103">ROUND((AC88+AD88+AF88),2)</f>
        <v>3858.97</v>
      </c>
      <c r="AC88">
        <f t="shared" si="86"/>
        <v>1703.82</v>
      </c>
      <c r="AD88">
        <f>ROUND(((((ET88*1.25))-((EU88*1.25)))+AE88),2)</f>
        <v>1209.98</v>
      </c>
      <c r="AE88">
        <f>ROUND(((EU88*1.25)),2)</f>
        <v>192.38</v>
      </c>
      <c r="AF88">
        <f>ROUND(((EV88*1.15)),2)</f>
        <v>945.17</v>
      </c>
      <c r="AG88">
        <f t="shared" ref="AG88:AG116" si="104">ROUND((AP88),2)</f>
        <v>0</v>
      </c>
      <c r="AH88">
        <f>((EW88*1.15))</f>
        <v>102.95949999999999</v>
      </c>
      <c r="AI88">
        <f>((EX88*1.25))</f>
        <v>14.6</v>
      </c>
      <c r="AJ88">
        <f t="shared" ref="AJ88:AJ116" si="105">ROUND((AS88),2)</f>
        <v>0</v>
      </c>
      <c r="AK88">
        <v>3493.69</v>
      </c>
      <c r="AL88">
        <v>1703.82</v>
      </c>
      <c r="AM88">
        <v>967.98</v>
      </c>
      <c r="AN88">
        <v>153.9</v>
      </c>
      <c r="AO88">
        <v>821.89</v>
      </c>
      <c r="AP88">
        <v>0</v>
      </c>
      <c r="AQ88">
        <v>89.53</v>
      </c>
      <c r="AR88">
        <v>11.68</v>
      </c>
      <c r="AS88">
        <v>0</v>
      </c>
      <c r="AT88">
        <v>106</v>
      </c>
      <c r="AU88">
        <v>54</v>
      </c>
      <c r="AV88">
        <v>1</v>
      </c>
      <c r="AW88">
        <v>1</v>
      </c>
      <c r="AZ88">
        <v>6.9</v>
      </c>
      <c r="BA88">
        <v>6.9</v>
      </c>
      <c r="BB88">
        <v>6.9</v>
      </c>
      <c r="BC88">
        <v>6.9</v>
      </c>
      <c r="BD88" t="s">
        <v>3</v>
      </c>
      <c r="BE88" t="s">
        <v>3</v>
      </c>
      <c r="BF88" t="s">
        <v>3</v>
      </c>
      <c r="BG88" t="s">
        <v>3</v>
      </c>
      <c r="BH88">
        <v>0</v>
      </c>
      <c r="BI88">
        <v>1</v>
      </c>
      <c r="BJ88" t="s">
        <v>264</v>
      </c>
      <c r="BM88">
        <v>10001</v>
      </c>
      <c r="BN88">
        <v>0</v>
      </c>
      <c r="BO88" t="s">
        <v>3</v>
      </c>
      <c r="BP88">
        <v>0</v>
      </c>
      <c r="BQ88">
        <v>2</v>
      </c>
      <c r="BR88">
        <v>0</v>
      </c>
      <c r="BS88">
        <v>6.9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3</v>
      </c>
      <c r="BZ88">
        <v>118</v>
      </c>
      <c r="CA88">
        <v>63</v>
      </c>
      <c r="CF88">
        <v>0</v>
      </c>
      <c r="CG88">
        <v>0</v>
      </c>
      <c r="CM88">
        <v>0</v>
      </c>
      <c r="CN88" t="s">
        <v>787</v>
      </c>
      <c r="CO88">
        <v>0</v>
      </c>
      <c r="CP88">
        <f t="shared" ref="CP88:CP116" si="106">(P88+Q88+S88)</f>
        <v>1621.5800000000002</v>
      </c>
      <c r="CQ88">
        <f t="shared" ref="CQ88:CQ116" si="107">AC88*BC88</f>
        <v>11756.358</v>
      </c>
      <c r="CR88">
        <f t="shared" ref="CR88:CR116" si="108">AD88*BB88</f>
        <v>8348.862000000001</v>
      </c>
      <c r="CS88">
        <f t="shared" ref="CS88:CS116" si="109">AE88*BS88</f>
        <v>1327.422</v>
      </c>
      <c r="CT88">
        <f t="shared" ref="CT88:CT116" si="110">AF88*BA88</f>
        <v>6521.6729999999998</v>
      </c>
      <c r="CU88">
        <f t="shared" ref="CU88:CU116" si="111">AG88</f>
        <v>0</v>
      </c>
      <c r="CV88">
        <f t="shared" ref="CV88:CV116" si="112">AH88</f>
        <v>102.95949999999999</v>
      </c>
      <c r="CW88">
        <f t="shared" ref="CW88:CW116" si="113">AI88</f>
        <v>14.6</v>
      </c>
      <c r="CX88">
        <f t="shared" ref="CX88:CX116" si="114">AJ88</f>
        <v>0</v>
      </c>
      <c r="CY88">
        <f t="shared" ref="CY88:CY116" si="115">(((S88+R88)*AT88)/100)</f>
        <v>506.69059999999996</v>
      </c>
      <c r="CZ88">
        <f t="shared" ref="CZ88:CZ116" si="116">(((S88+R88)*AU88)/100)</f>
        <v>258.12540000000001</v>
      </c>
      <c r="DC88" t="s">
        <v>3</v>
      </c>
      <c r="DD88" t="s">
        <v>3</v>
      </c>
      <c r="DE88" t="s">
        <v>78</v>
      </c>
      <c r="DF88" t="s">
        <v>78</v>
      </c>
      <c r="DG88" t="s">
        <v>79</v>
      </c>
      <c r="DH88" t="s">
        <v>3</v>
      </c>
      <c r="DI88" t="s">
        <v>79</v>
      </c>
      <c r="DJ88" t="s">
        <v>78</v>
      </c>
      <c r="DK88" t="s">
        <v>3</v>
      </c>
      <c r="DL88" t="s">
        <v>3</v>
      </c>
      <c r="DM88" t="s">
        <v>3</v>
      </c>
      <c r="DN88">
        <v>0</v>
      </c>
      <c r="DO88">
        <v>0</v>
      </c>
      <c r="DP88">
        <v>1</v>
      </c>
      <c r="DQ88">
        <v>1</v>
      </c>
      <c r="DU88">
        <v>1005</v>
      </c>
      <c r="DV88" t="s">
        <v>15</v>
      </c>
      <c r="DW88" t="s">
        <v>15</v>
      </c>
      <c r="DX88">
        <v>100</v>
      </c>
      <c r="EE88">
        <v>39174503</v>
      </c>
      <c r="EF88">
        <v>2</v>
      </c>
      <c r="EG88" t="s">
        <v>20</v>
      </c>
      <c r="EH88">
        <v>0</v>
      </c>
      <c r="EI88" t="s">
        <v>3</v>
      </c>
      <c r="EJ88">
        <v>1</v>
      </c>
      <c r="EK88">
        <v>10001</v>
      </c>
      <c r="EL88" t="s">
        <v>66</v>
      </c>
      <c r="EM88" t="s">
        <v>67</v>
      </c>
      <c r="EO88" t="s">
        <v>80</v>
      </c>
      <c r="EQ88">
        <v>0</v>
      </c>
      <c r="ER88">
        <v>3493.69</v>
      </c>
      <c r="ES88">
        <v>1703.82</v>
      </c>
      <c r="ET88">
        <v>967.98</v>
      </c>
      <c r="EU88">
        <v>153.9</v>
      </c>
      <c r="EV88">
        <v>821.89</v>
      </c>
      <c r="EW88">
        <v>89.53</v>
      </c>
      <c r="EX88">
        <v>11.68</v>
      </c>
      <c r="EY88">
        <v>0</v>
      </c>
      <c r="FQ88">
        <v>0</v>
      </c>
      <c r="FR88">
        <f t="shared" ref="FR88:FR118" si="117">ROUND(IF(AND(BH88=3,BI88=3),P88,0),2)</f>
        <v>0</v>
      </c>
      <c r="FS88">
        <v>0</v>
      </c>
      <c r="FT88" t="s">
        <v>24</v>
      </c>
      <c r="FU88" t="s">
        <v>25</v>
      </c>
      <c r="FX88">
        <v>106.2</v>
      </c>
      <c r="FY88">
        <v>53.55</v>
      </c>
      <c r="GA88" t="s">
        <v>3</v>
      </c>
      <c r="GD88">
        <v>0</v>
      </c>
      <c r="GF88">
        <v>-2063365966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ref="GL88:GL118" si="118">ROUND(IF(AND(BH88=3,BI88=3,FS88&lt;&gt;0),P88,0),2)</f>
        <v>0</v>
      </c>
      <c r="GM88">
        <f t="shared" ref="GM88:GM116" si="119">ROUND(O88+X88+Y88+GK88,2)+GX88</f>
        <v>2386.4</v>
      </c>
      <c r="GN88">
        <f t="shared" ref="GN88:GN116" si="120">IF(OR(BI88=0,BI88=1),ROUND(O88+X88+Y88+GK88,2),0)</f>
        <v>2386.4</v>
      </c>
      <c r="GO88">
        <f t="shared" ref="GO88:GO116" si="121">IF(BI88=2,ROUND(O88+X88+Y88+GK88,2),0)</f>
        <v>0</v>
      </c>
      <c r="GP88">
        <f t="shared" ref="GP88:GP116" si="122">IF(BI88=4,ROUND(O88+X88+Y88+GK88,2)+GX88,0)</f>
        <v>0</v>
      </c>
      <c r="GR88">
        <v>0</v>
      </c>
      <c r="GS88">
        <v>3</v>
      </c>
      <c r="GT88">
        <v>0</v>
      </c>
      <c r="GU88" t="s">
        <v>3</v>
      </c>
      <c r="GV88">
        <f t="shared" ref="GV88:GV116" si="123">ROUND(GT88,2)</f>
        <v>0</v>
      </c>
      <c r="GW88">
        <v>1</v>
      </c>
      <c r="GX88">
        <f t="shared" ref="GX88:GX118" si="124">ROUND(GV88*GW88*I88,2)</f>
        <v>0</v>
      </c>
      <c r="HA88">
        <v>0</v>
      </c>
      <c r="HB88">
        <v>0</v>
      </c>
      <c r="IK88">
        <v>0</v>
      </c>
    </row>
    <row r="89" spans="1:245" x14ac:dyDescent="0.2">
      <c r="A89">
        <v>18</v>
      </c>
      <c r="B89">
        <v>1</v>
      </c>
      <c r="C89">
        <v>194</v>
      </c>
      <c r="E89" t="s">
        <v>265</v>
      </c>
      <c r="F89" t="s">
        <v>250</v>
      </c>
      <c r="G89" t="s">
        <v>251</v>
      </c>
      <c r="H89" t="s">
        <v>247</v>
      </c>
      <c r="I89">
        <f>I88*J89</f>
        <v>1</v>
      </c>
      <c r="J89">
        <v>16.420361247947454</v>
      </c>
      <c r="O89">
        <f t="shared" si="92"/>
        <v>653.29</v>
      </c>
      <c r="P89">
        <f t="shared" si="93"/>
        <v>653.29</v>
      </c>
      <c r="Q89">
        <f t="shared" si="94"/>
        <v>0</v>
      </c>
      <c r="R89">
        <f t="shared" si="95"/>
        <v>0</v>
      </c>
      <c r="S89">
        <f t="shared" si="96"/>
        <v>0</v>
      </c>
      <c r="T89">
        <f t="shared" si="97"/>
        <v>0</v>
      </c>
      <c r="U89">
        <f t="shared" si="98"/>
        <v>0</v>
      </c>
      <c r="V89">
        <f t="shared" si="99"/>
        <v>0</v>
      </c>
      <c r="W89">
        <f t="shared" si="100"/>
        <v>0</v>
      </c>
      <c r="X89">
        <f t="shared" si="101"/>
        <v>0</v>
      </c>
      <c r="Y89">
        <f t="shared" si="102"/>
        <v>0</v>
      </c>
      <c r="AA89">
        <v>39579451</v>
      </c>
      <c r="AB89">
        <f t="shared" si="103"/>
        <v>94.68</v>
      </c>
      <c r="AC89">
        <f t="shared" si="86"/>
        <v>94.68</v>
      </c>
      <c r="AD89">
        <f t="shared" ref="AD89:AD116" si="125">ROUND((((ET89)-(EU89))+AE89),2)</f>
        <v>0</v>
      </c>
      <c r="AE89">
        <f t="shared" ref="AE89:AE116" si="126">ROUND((EU89),2)</f>
        <v>0</v>
      </c>
      <c r="AF89">
        <f t="shared" ref="AF89:AF116" si="127">ROUND((EV89),2)</f>
        <v>0</v>
      </c>
      <c r="AG89">
        <f t="shared" si="104"/>
        <v>0</v>
      </c>
      <c r="AH89">
        <f t="shared" ref="AH89:AH116" si="128">(EW89)</f>
        <v>0</v>
      </c>
      <c r="AI89">
        <f t="shared" ref="AI89:AI116" si="129">(EX89)</f>
        <v>0</v>
      </c>
      <c r="AJ89">
        <f t="shared" si="105"/>
        <v>0</v>
      </c>
      <c r="AK89">
        <v>94.68</v>
      </c>
      <c r="AL89">
        <v>94.68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106</v>
      </c>
      <c r="AU89">
        <v>54</v>
      </c>
      <c r="AV89">
        <v>1</v>
      </c>
      <c r="AW89">
        <v>1</v>
      </c>
      <c r="AZ89">
        <v>6.9</v>
      </c>
      <c r="BA89">
        <v>1</v>
      </c>
      <c r="BB89">
        <v>1</v>
      </c>
      <c r="BC89">
        <v>6.9</v>
      </c>
      <c r="BD89" t="s">
        <v>3</v>
      </c>
      <c r="BE89" t="s">
        <v>3</v>
      </c>
      <c r="BF89" t="s">
        <v>3</v>
      </c>
      <c r="BG89" t="s">
        <v>3</v>
      </c>
      <c r="BH89">
        <v>3</v>
      </c>
      <c r="BI89">
        <v>1</v>
      </c>
      <c r="BJ89" t="s">
        <v>252</v>
      </c>
      <c r="BM89">
        <v>10001</v>
      </c>
      <c r="BN89">
        <v>0</v>
      </c>
      <c r="BO89" t="s">
        <v>3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118</v>
      </c>
      <c r="CA89">
        <v>63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106"/>
        <v>653.29</v>
      </c>
      <c r="CQ89">
        <f t="shared" si="107"/>
        <v>653.29200000000003</v>
      </c>
      <c r="CR89">
        <f t="shared" si="108"/>
        <v>0</v>
      </c>
      <c r="CS89">
        <f t="shared" si="109"/>
        <v>0</v>
      </c>
      <c r="CT89">
        <f t="shared" si="110"/>
        <v>0</v>
      </c>
      <c r="CU89">
        <f t="shared" si="111"/>
        <v>0</v>
      </c>
      <c r="CV89">
        <f t="shared" si="112"/>
        <v>0</v>
      </c>
      <c r="CW89">
        <f t="shared" si="113"/>
        <v>0</v>
      </c>
      <c r="CX89">
        <f t="shared" si="114"/>
        <v>0</v>
      </c>
      <c r="CY89">
        <f t="shared" si="115"/>
        <v>0</v>
      </c>
      <c r="CZ89">
        <f t="shared" si="116"/>
        <v>0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1013</v>
      </c>
      <c r="DV89" t="s">
        <v>247</v>
      </c>
      <c r="DW89" t="s">
        <v>247</v>
      </c>
      <c r="DX89">
        <v>1</v>
      </c>
      <c r="EE89">
        <v>39174503</v>
      </c>
      <c r="EF89">
        <v>2</v>
      </c>
      <c r="EG89" t="s">
        <v>20</v>
      </c>
      <c r="EH89">
        <v>0</v>
      </c>
      <c r="EI89" t="s">
        <v>3</v>
      </c>
      <c r="EJ89">
        <v>1</v>
      </c>
      <c r="EK89">
        <v>10001</v>
      </c>
      <c r="EL89" t="s">
        <v>66</v>
      </c>
      <c r="EM89" t="s">
        <v>67</v>
      </c>
      <c r="EO89" t="s">
        <v>3</v>
      </c>
      <c r="EQ89">
        <v>0</v>
      </c>
      <c r="ER89">
        <v>94.68</v>
      </c>
      <c r="ES89">
        <v>94.68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117"/>
        <v>0</v>
      </c>
      <c r="FS89">
        <v>0</v>
      </c>
      <c r="FT89" t="s">
        <v>24</v>
      </c>
      <c r="FU89" t="s">
        <v>25</v>
      </c>
      <c r="FX89">
        <v>106.2</v>
      </c>
      <c r="FY89">
        <v>53.55</v>
      </c>
      <c r="GA89" t="s">
        <v>3</v>
      </c>
      <c r="GD89">
        <v>0</v>
      </c>
      <c r="GF89">
        <v>-1514276406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118"/>
        <v>0</v>
      </c>
      <c r="GM89">
        <f t="shared" si="119"/>
        <v>653.29</v>
      </c>
      <c r="GN89">
        <f t="shared" si="120"/>
        <v>653.29</v>
      </c>
      <c r="GO89">
        <f t="shared" si="121"/>
        <v>0</v>
      </c>
      <c r="GP89">
        <f t="shared" si="122"/>
        <v>0</v>
      </c>
      <c r="GR89">
        <v>0</v>
      </c>
      <c r="GS89">
        <v>3</v>
      </c>
      <c r="GT89">
        <v>0</v>
      </c>
      <c r="GU89" t="s">
        <v>3</v>
      </c>
      <c r="GV89">
        <f t="shared" si="123"/>
        <v>0</v>
      </c>
      <c r="GW89">
        <v>1</v>
      </c>
      <c r="GX89">
        <f t="shared" si="124"/>
        <v>0</v>
      </c>
      <c r="HA89">
        <v>0</v>
      </c>
      <c r="HB89">
        <v>0</v>
      </c>
      <c r="IK89">
        <v>0</v>
      </c>
    </row>
    <row r="90" spans="1:245" x14ac:dyDescent="0.2">
      <c r="A90">
        <v>18</v>
      </c>
      <c r="B90">
        <v>1</v>
      </c>
      <c r="C90">
        <v>195</v>
      </c>
      <c r="E90" t="s">
        <v>266</v>
      </c>
      <c r="F90" t="s">
        <v>267</v>
      </c>
      <c r="G90" t="s">
        <v>268</v>
      </c>
      <c r="H90" t="s">
        <v>247</v>
      </c>
      <c r="I90">
        <f>I88*J90</f>
        <v>2</v>
      </c>
      <c r="J90">
        <v>32.840722495894909</v>
      </c>
      <c r="O90">
        <f t="shared" si="92"/>
        <v>1306.58</v>
      </c>
      <c r="P90">
        <f t="shared" si="93"/>
        <v>1306.58</v>
      </c>
      <c r="Q90">
        <f t="shared" si="94"/>
        <v>0</v>
      </c>
      <c r="R90">
        <f t="shared" si="95"/>
        <v>0</v>
      </c>
      <c r="S90">
        <f t="shared" si="96"/>
        <v>0</v>
      </c>
      <c r="T90">
        <f t="shared" si="97"/>
        <v>0</v>
      </c>
      <c r="U90">
        <f t="shared" si="98"/>
        <v>0</v>
      </c>
      <c r="V90">
        <f t="shared" si="99"/>
        <v>0</v>
      </c>
      <c r="W90">
        <f t="shared" si="100"/>
        <v>0</v>
      </c>
      <c r="X90">
        <f t="shared" si="101"/>
        <v>0</v>
      </c>
      <c r="Y90">
        <f t="shared" si="102"/>
        <v>0</v>
      </c>
      <c r="AA90">
        <v>39579451</v>
      </c>
      <c r="AB90">
        <f t="shared" si="103"/>
        <v>94.68</v>
      </c>
      <c r="AC90">
        <f t="shared" si="86"/>
        <v>94.68</v>
      </c>
      <c r="AD90">
        <f t="shared" si="125"/>
        <v>0</v>
      </c>
      <c r="AE90">
        <f t="shared" si="126"/>
        <v>0</v>
      </c>
      <c r="AF90">
        <f t="shared" si="127"/>
        <v>0</v>
      </c>
      <c r="AG90">
        <f t="shared" si="104"/>
        <v>0</v>
      </c>
      <c r="AH90">
        <f t="shared" si="128"/>
        <v>0</v>
      </c>
      <c r="AI90">
        <f t="shared" si="129"/>
        <v>0</v>
      </c>
      <c r="AJ90">
        <f t="shared" si="105"/>
        <v>0</v>
      </c>
      <c r="AK90">
        <v>94.68</v>
      </c>
      <c r="AL90">
        <v>94.68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106</v>
      </c>
      <c r="AU90">
        <v>54</v>
      </c>
      <c r="AV90">
        <v>1</v>
      </c>
      <c r="AW90">
        <v>1</v>
      </c>
      <c r="AZ90">
        <v>6.9</v>
      </c>
      <c r="BA90">
        <v>1</v>
      </c>
      <c r="BB90">
        <v>1</v>
      </c>
      <c r="BC90">
        <v>6.9</v>
      </c>
      <c r="BD90" t="s">
        <v>3</v>
      </c>
      <c r="BE90" t="s">
        <v>3</v>
      </c>
      <c r="BF90" t="s">
        <v>3</v>
      </c>
      <c r="BG90" t="s">
        <v>3</v>
      </c>
      <c r="BH90">
        <v>3</v>
      </c>
      <c r="BI90">
        <v>1</v>
      </c>
      <c r="BJ90" t="s">
        <v>269</v>
      </c>
      <c r="BM90">
        <v>10001</v>
      </c>
      <c r="BN90">
        <v>0</v>
      </c>
      <c r="BO90" t="s">
        <v>3</v>
      </c>
      <c r="BP90">
        <v>0</v>
      </c>
      <c r="BQ90">
        <v>2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118</v>
      </c>
      <c r="CA90">
        <v>63</v>
      </c>
      <c r="CF90">
        <v>0</v>
      </c>
      <c r="CG90">
        <v>0</v>
      </c>
      <c r="CM90">
        <v>0</v>
      </c>
      <c r="CN90" t="s">
        <v>3</v>
      </c>
      <c r="CO90">
        <v>0</v>
      </c>
      <c r="CP90">
        <f t="shared" si="106"/>
        <v>1306.58</v>
      </c>
      <c r="CQ90">
        <f t="shared" si="107"/>
        <v>653.29200000000003</v>
      </c>
      <c r="CR90">
        <f t="shared" si="108"/>
        <v>0</v>
      </c>
      <c r="CS90">
        <f t="shared" si="109"/>
        <v>0</v>
      </c>
      <c r="CT90">
        <f t="shared" si="110"/>
        <v>0</v>
      </c>
      <c r="CU90">
        <f t="shared" si="111"/>
        <v>0</v>
      </c>
      <c r="CV90">
        <f t="shared" si="112"/>
        <v>0</v>
      </c>
      <c r="CW90">
        <f t="shared" si="113"/>
        <v>0</v>
      </c>
      <c r="CX90">
        <f t="shared" si="114"/>
        <v>0</v>
      </c>
      <c r="CY90">
        <f t="shared" si="115"/>
        <v>0</v>
      </c>
      <c r="CZ90">
        <f t="shared" si="116"/>
        <v>0</v>
      </c>
      <c r="DC90" t="s">
        <v>3</v>
      </c>
      <c r="DD90" t="s">
        <v>3</v>
      </c>
      <c r="DE90" t="s">
        <v>3</v>
      </c>
      <c r="DF90" t="s">
        <v>3</v>
      </c>
      <c r="DG90" t="s">
        <v>3</v>
      </c>
      <c r="DH90" t="s">
        <v>3</v>
      </c>
      <c r="DI90" t="s">
        <v>3</v>
      </c>
      <c r="DJ90" t="s">
        <v>3</v>
      </c>
      <c r="DK90" t="s">
        <v>3</v>
      </c>
      <c r="DL90" t="s">
        <v>3</v>
      </c>
      <c r="DM90" t="s">
        <v>3</v>
      </c>
      <c r="DN90">
        <v>0</v>
      </c>
      <c r="DO90">
        <v>0</v>
      </c>
      <c r="DP90">
        <v>1</v>
      </c>
      <c r="DQ90">
        <v>1</v>
      </c>
      <c r="DU90">
        <v>1013</v>
      </c>
      <c r="DV90" t="s">
        <v>247</v>
      </c>
      <c r="DW90" t="s">
        <v>247</v>
      </c>
      <c r="DX90">
        <v>1</v>
      </c>
      <c r="EE90">
        <v>39174503</v>
      </c>
      <c r="EF90">
        <v>2</v>
      </c>
      <c r="EG90" t="s">
        <v>20</v>
      </c>
      <c r="EH90">
        <v>0</v>
      </c>
      <c r="EI90" t="s">
        <v>3</v>
      </c>
      <c r="EJ90">
        <v>1</v>
      </c>
      <c r="EK90">
        <v>10001</v>
      </c>
      <c r="EL90" t="s">
        <v>66</v>
      </c>
      <c r="EM90" t="s">
        <v>67</v>
      </c>
      <c r="EO90" t="s">
        <v>3</v>
      </c>
      <c r="EQ90">
        <v>0</v>
      </c>
      <c r="ER90">
        <v>94.68</v>
      </c>
      <c r="ES90">
        <v>94.68</v>
      </c>
      <c r="ET90">
        <v>0</v>
      </c>
      <c r="EU90">
        <v>0</v>
      </c>
      <c r="EV90">
        <v>0</v>
      </c>
      <c r="EW90">
        <v>0</v>
      </c>
      <c r="EX90">
        <v>0</v>
      </c>
      <c r="FQ90">
        <v>0</v>
      </c>
      <c r="FR90">
        <f t="shared" si="117"/>
        <v>0</v>
      </c>
      <c r="FS90">
        <v>0</v>
      </c>
      <c r="FT90" t="s">
        <v>24</v>
      </c>
      <c r="FU90" t="s">
        <v>25</v>
      </c>
      <c r="FX90">
        <v>106.2</v>
      </c>
      <c r="FY90">
        <v>53.55</v>
      </c>
      <c r="GA90" t="s">
        <v>3</v>
      </c>
      <c r="GD90">
        <v>0</v>
      </c>
      <c r="GF90">
        <v>602577485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118"/>
        <v>0</v>
      </c>
      <c r="GM90">
        <f t="shared" si="119"/>
        <v>1306.58</v>
      </c>
      <c r="GN90">
        <f t="shared" si="120"/>
        <v>1306.58</v>
      </c>
      <c r="GO90">
        <f t="shared" si="121"/>
        <v>0</v>
      </c>
      <c r="GP90">
        <f t="shared" si="122"/>
        <v>0</v>
      </c>
      <c r="GR90">
        <v>0</v>
      </c>
      <c r="GS90">
        <v>3</v>
      </c>
      <c r="GT90">
        <v>0</v>
      </c>
      <c r="GU90" t="s">
        <v>3</v>
      </c>
      <c r="GV90">
        <f t="shared" si="123"/>
        <v>0</v>
      </c>
      <c r="GW90">
        <v>1</v>
      </c>
      <c r="GX90">
        <f t="shared" si="124"/>
        <v>0</v>
      </c>
      <c r="HA90">
        <v>0</v>
      </c>
      <c r="HB90">
        <v>0</v>
      </c>
      <c r="IK90">
        <v>0</v>
      </c>
    </row>
    <row r="91" spans="1:245" x14ac:dyDescent="0.2">
      <c r="A91">
        <v>18</v>
      </c>
      <c r="B91">
        <v>1</v>
      </c>
      <c r="C91">
        <v>200</v>
      </c>
      <c r="E91" t="s">
        <v>270</v>
      </c>
      <c r="F91" t="s">
        <v>271</v>
      </c>
      <c r="G91" t="s">
        <v>272</v>
      </c>
      <c r="H91" t="s">
        <v>154</v>
      </c>
      <c r="I91">
        <f>I88*J91</f>
        <v>2.73</v>
      </c>
      <c r="J91">
        <v>44.827586206896548</v>
      </c>
      <c r="O91">
        <f t="shared" si="92"/>
        <v>45705.15</v>
      </c>
      <c r="P91">
        <f t="shared" si="93"/>
        <v>45705.15</v>
      </c>
      <c r="Q91">
        <f t="shared" si="94"/>
        <v>0</v>
      </c>
      <c r="R91">
        <f t="shared" si="95"/>
        <v>0</v>
      </c>
      <c r="S91">
        <f t="shared" si="96"/>
        <v>0</v>
      </c>
      <c r="T91">
        <f t="shared" si="97"/>
        <v>0</v>
      </c>
      <c r="U91">
        <f t="shared" si="98"/>
        <v>0</v>
      </c>
      <c r="V91">
        <f t="shared" si="99"/>
        <v>0</v>
      </c>
      <c r="W91">
        <f t="shared" si="100"/>
        <v>0</v>
      </c>
      <c r="X91">
        <f t="shared" si="101"/>
        <v>0</v>
      </c>
      <c r="Y91">
        <f t="shared" si="102"/>
        <v>0</v>
      </c>
      <c r="AA91">
        <v>39579451</v>
      </c>
      <c r="AB91">
        <f t="shared" si="103"/>
        <v>2426.35</v>
      </c>
      <c r="AC91">
        <f t="shared" si="86"/>
        <v>2426.35</v>
      </c>
      <c r="AD91">
        <f t="shared" si="125"/>
        <v>0</v>
      </c>
      <c r="AE91">
        <f t="shared" si="126"/>
        <v>0</v>
      </c>
      <c r="AF91">
        <f t="shared" si="127"/>
        <v>0</v>
      </c>
      <c r="AG91">
        <f t="shared" si="104"/>
        <v>0</v>
      </c>
      <c r="AH91">
        <f t="shared" si="128"/>
        <v>0</v>
      </c>
      <c r="AI91">
        <f t="shared" si="129"/>
        <v>0</v>
      </c>
      <c r="AJ91">
        <f t="shared" si="105"/>
        <v>0</v>
      </c>
      <c r="AK91">
        <v>2426.35</v>
      </c>
      <c r="AL91">
        <v>2426.35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106</v>
      </c>
      <c r="AU91">
        <v>54</v>
      </c>
      <c r="AV91">
        <v>1</v>
      </c>
      <c r="AW91">
        <v>1</v>
      </c>
      <c r="AZ91">
        <v>6.9</v>
      </c>
      <c r="BA91">
        <v>1</v>
      </c>
      <c r="BB91">
        <v>1</v>
      </c>
      <c r="BC91">
        <v>6.9</v>
      </c>
      <c r="BD91" t="s">
        <v>3</v>
      </c>
      <c r="BE91" t="s">
        <v>3</v>
      </c>
      <c r="BF91" t="s">
        <v>3</v>
      </c>
      <c r="BG91" t="s">
        <v>3</v>
      </c>
      <c r="BH91">
        <v>3</v>
      </c>
      <c r="BI91">
        <v>1</v>
      </c>
      <c r="BJ91" t="s">
        <v>273</v>
      </c>
      <c r="BM91">
        <v>10001</v>
      </c>
      <c r="BN91">
        <v>0</v>
      </c>
      <c r="BO91" t="s">
        <v>3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118</v>
      </c>
      <c r="CA91">
        <v>63</v>
      </c>
      <c r="CF91">
        <v>0</v>
      </c>
      <c r="CG91">
        <v>0</v>
      </c>
      <c r="CM91">
        <v>0</v>
      </c>
      <c r="CN91" t="s">
        <v>3</v>
      </c>
      <c r="CO91">
        <v>0</v>
      </c>
      <c r="CP91">
        <f t="shared" si="106"/>
        <v>45705.15</v>
      </c>
      <c r="CQ91">
        <f t="shared" si="107"/>
        <v>16741.814999999999</v>
      </c>
      <c r="CR91">
        <f t="shared" si="108"/>
        <v>0</v>
      </c>
      <c r="CS91">
        <f t="shared" si="109"/>
        <v>0</v>
      </c>
      <c r="CT91">
        <f t="shared" si="110"/>
        <v>0</v>
      </c>
      <c r="CU91">
        <f t="shared" si="111"/>
        <v>0</v>
      </c>
      <c r="CV91">
        <f t="shared" si="112"/>
        <v>0</v>
      </c>
      <c r="CW91">
        <f t="shared" si="113"/>
        <v>0</v>
      </c>
      <c r="CX91">
        <f t="shared" si="114"/>
        <v>0</v>
      </c>
      <c r="CY91">
        <f t="shared" si="115"/>
        <v>0</v>
      </c>
      <c r="CZ91">
        <f t="shared" si="116"/>
        <v>0</v>
      </c>
      <c r="DC91" t="s">
        <v>3</v>
      </c>
      <c r="DD91" t="s">
        <v>3</v>
      </c>
      <c r="DE91" t="s">
        <v>3</v>
      </c>
      <c r="DF91" t="s">
        <v>3</v>
      </c>
      <c r="DG91" t="s">
        <v>3</v>
      </c>
      <c r="DH91" t="s">
        <v>3</v>
      </c>
      <c r="DI91" t="s">
        <v>3</v>
      </c>
      <c r="DJ91" t="s">
        <v>3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154</v>
      </c>
      <c r="DW91" t="s">
        <v>154</v>
      </c>
      <c r="DX91">
        <v>1</v>
      </c>
      <c r="EE91">
        <v>39174503</v>
      </c>
      <c r="EF91">
        <v>2</v>
      </c>
      <c r="EG91" t="s">
        <v>20</v>
      </c>
      <c r="EH91">
        <v>0</v>
      </c>
      <c r="EI91" t="s">
        <v>3</v>
      </c>
      <c r="EJ91">
        <v>1</v>
      </c>
      <c r="EK91">
        <v>10001</v>
      </c>
      <c r="EL91" t="s">
        <v>66</v>
      </c>
      <c r="EM91" t="s">
        <v>67</v>
      </c>
      <c r="EO91" t="s">
        <v>3</v>
      </c>
      <c r="EQ91">
        <v>0</v>
      </c>
      <c r="ER91">
        <v>2426.35</v>
      </c>
      <c r="ES91">
        <v>2426.35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117"/>
        <v>0</v>
      </c>
      <c r="FS91">
        <v>0</v>
      </c>
      <c r="FT91" t="s">
        <v>24</v>
      </c>
      <c r="FU91" t="s">
        <v>25</v>
      </c>
      <c r="FX91">
        <v>106.2</v>
      </c>
      <c r="FY91">
        <v>53.55</v>
      </c>
      <c r="GA91" t="s">
        <v>3</v>
      </c>
      <c r="GD91">
        <v>0</v>
      </c>
      <c r="GF91">
        <v>425018049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118"/>
        <v>0</v>
      </c>
      <c r="GM91">
        <f t="shared" si="119"/>
        <v>45705.15</v>
      </c>
      <c r="GN91">
        <f t="shared" si="120"/>
        <v>45705.15</v>
      </c>
      <c r="GO91">
        <f t="shared" si="121"/>
        <v>0</v>
      </c>
      <c r="GP91">
        <f t="shared" si="122"/>
        <v>0</v>
      </c>
      <c r="GR91">
        <v>0</v>
      </c>
      <c r="GS91">
        <v>3</v>
      </c>
      <c r="GT91">
        <v>0</v>
      </c>
      <c r="GU91" t="s">
        <v>3</v>
      </c>
      <c r="GV91">
        <f t="shared" si="123"/>
        <v>0</v>
      </c>
      <c r="GW91">
        <v>1</v>
      </c>
      <c r="GX91">
        <f t="shared" si="124"/>
        <v>0</v>
      </c>
      <c r="HA91">
        <v>0</v>
      </c>
      <c r="HB91">
        <v>0</v>
      </c>
      <c r="IK91">
        <v>0</v>
      </c>
    </row>
    <row r="92" spans="1:245" x14ac:dyDescent="0.2">
      <c r="A92">
        <v>18</v>
      </c>
      <c r="B92">
        <v>1</v>
      </c>
      <c r="C92">
        <v>201</v>
      </c>
      <c r="E92" t="s">
        <v>274</v>
      </c>
      <c r="F92" t="s">
        <v>275</v>
      </c>
      <c r="G92" t="s">
        <v>276</v>
      </c>
      <c r="H92" t="s">
        <v>154</v>
      </c>
      <c r="I92">
        <f>I88*J92</f>
        <v>3.36</v>
      </c>
      <c r="J92">
        <v>55.172413793103445</v>
      </c>
      <c r="O92">
        <f t="shared" si="92"/>
        <v>29481.47</v>
      </c>
      <c r="P92">
        <f t="shared" si="93"/>
        <v>29481.47</v>
      </c>
      <c r="Q92">
        <f t="shared" si="94"/>
        <v>0</v>
      </c>
      <c r="R92">
        <f t="shared" si="95"/>
        <v>0</v>
      </c>
      <c r="S92">
        <f t="shared" si="96"/>
        <v>0</v>
      </c>
      <c r="T92">
        <f t="shared" si="97"/>
        <v>0</v>
      </c>
      <c r="U92">
        <f t="shared" si="98"/>
        <v>0</v>
      </c>
      <c r="V92">
        <f t="shared" si="99"/>
        <v>0</v>
      </c>
      <c r="W92">
        <f t="shared" si="100"/>
        <v>0</v>
      </c>
      <c r="X92">
        <f t="shared" si="101"/>
        <v>0</v>
      </c>
      <c r="Y92">
        <f t="shared" si="102"/>
        <v>0</v>
      </c>
      <c r="AA92">
        <v>39579451</v>
      </c>
      <c r="AB92">
        <f t="shared" si="103"/>
        <v>1271.6300000000001</v>
      </c>
      <c r="AC92">
        <f t="shared" si="86"/>
        <v>1271.6300000000001</v>
      </c>
      <c r="AD92">
        <f t="shared" si="125"/>
        <v>0</v>
      </c>
      <c r="AE92">
        <f t="shared" si="126"/>
        <v>0</v>
      </c>
      <c r="AF92">
        <f t="shared" si="127"/>
        <v>0</v>
      </c>
      <c r="AG92">
        <f t="shared" si="104"/>
        <v>0</v>
      </c>
      <c r="AH92">
        <f t="shared" si="128"/>
        <v>0</v>
      </c>
      <c r="AI92">
        <f t="shared" si="129"/>
        <v>0</v>
      </c>
      <c r="AJ92">
        <f t="shared" si="105"/>
        <v>0</v>
      </c>
      <c r="AK92">
        <v>1271.6300000000001</v>
      </c>
      <c r="AL92">
        <v>1271.6300000000001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106</v>
      </c>
      <c r="AU92">
        <v>54</v>
      </c>
      <c r="AV92">
        <v>1</v>
      </c>
      <c r="AW92">
        <v>1</v>
      </c>
      <c r="AZ92">
        <v>6.9</v>
      </c>
      <c r="BA92">
        <v>1</v>
      </c>
      <c r="BB92">
        <v>1</v>
      </c>
      <c r="BC92">
        <v>6.9</v>
      </c>
      <c r="BD92" t="s">
        <v>3</v>
      </c>
      <c r="BE92" t="s">
        <v>3</v>
      </c>
      <c r="BF92" t="s">
        <v>3</v>
      </c>
      <c r="BG92" t="s">
        <v>3</v>
      </c>
      <c r="BH92">
        <v>3</v>
      </c>
      <c r="BI92">
        <v>1</v>
      </c>
      <c r="BJ92" t="s">
        <v>277</v>
      </c>
      <c r="BM92">
        <v>10001</v>
      </c>
      <c r="BN92">
        <v>0</v>
      </c>
      <c r="BO92" t="s">
        <v>3</v>
      </c>
      <c r="BP92">
        <v>0</v>
      </c>
      <c r="BQ92">
        <v>2</v>
      </c>
      <c r="BR92">
        <v>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118</v>
      </c>
      <c r="CA92">
        <v>63</v>
      </c>
      <c r="CF92">
        <v>0</v>
      </c>
      <c r="CG92">
        <v>0</v>
      </c>
      <c r="CM92">
        <v>0</v>
      </c>
      <c r="CN92" t="s">
        <v>3</v>
      </c>
      <c r="CO92">
        <v>0</v>
      </c>
      <c r="CP92">
        <f t="shared" si="106"/>
        <v>29481.47</v>
      </c>
      <c r="CQ92">
        <f t="shared" si="107"/>
        <v>8774.2470000000012</v>
      </c>
      <c r="CR92">
        <f t="shared" si="108"/>
        <v>0</v>
      </c>
      <c r="CS92">
        <f t="shared" si="109"/>
        <v>0</v>
      </c>
      <c r="CT92">
        <f t="shared" si="110"/>
        <v>0</v>
      </c>
      <c r="CU92">
        <f t="shared" si="111"/>
        <v>0</v>
      </c>
      <c r="CV92">
        <f t="shared" si="112"/>
        <v>0</v>
      </c>
      <c r="CW92">
        <f t="shared" si="113"/>
        <v>0</v>
      </c>
      <c r="CX92">
        <f t="shared" si="114"/>
        <v>0</v>
      </c>
      <c r="CY92">
        <f t="shared" si="115"/>
        <v>0</v>
      </c>
      <c r="CZ92">
        <f t="shared" si="116"/>
        <v>0</v>
      </c>
      <c r="DC92" t="s">
        <v>3</v>
      </c>
      <c r="DD92" t="s">
        <v>3</v>
      </c>
      <c r="DE92" t="s">
        <v>3</v>
      </c>
      <c r="DF92" t="s">
        <v>3</v>
      </c>
      <c r="DG92" t="s">
        <v>3</v>
      </c>
      <c r="DH92" t="s">
        <v>3</v>
      </c>
      <c r="DI92" t="s">
        <v>3</v>
      </c>
      <c r="DJ92" t="s">
        <v>3</v>
      </c>
      <c r="DK92" t="s">
        <v>3</v>
      </c>
      <c r="DL92" t="s">
        <v>3</v>
      </c>
      <c r="DM92" t="s">
        <v>3</v>
      </c>
      <c r="DN92">
        <v>0</v>
      </c>
      <c r="DO92">
        <v>0</v>
      </c>
      <c r="DP92">
        <v>1</v>
      </c>
      <c r="DQ92">
        <v>1</v>
      </c>
      <c r="DU92">
        <v>1005</v>
      </c>
      <c r="DV92" t="s">
        <v>154</v>
      </c>
      <c r="DW92" t="s">
        <v>154</v>
      </c>
      <c r="DX92">
        <v>1</v>
      </c>
      <c r="EE92">
        <v>39174503</v>
      </c>
      <c r="EF92">
        <v>2</v>
      </c>
      <c r="EG92" t="s">
        <v>20</v>
      </c>
      <c r="EH92">
        <v>0</v>
      </c>
      <c r="EI92" t="s">
        <v>3</v>
      </c>
      <c r="EJ92">
        <v>1</v>
      </c>
      <c r="EK92">
        <v>10001</v>
      </c>
      <c r="EL92" t="s">
        <v>66</v>
      </c>
      <c r="EM92" t="s">
        <v>67</v>
      </c>
      <c r="EO92" t="s">
        <v>3</v>
      </c>
      <c r="EQ92">
        <v>0</v>
      </c>
      <c r="ER92">
        <v>1271.6300000000001</v>
      </c>
      <c r="ES92">
        <v>1271.6300000000001</v>
      </c>
      <c r="ET92">
        <v>0</v>
      </c>
      <c r="EU92">
        <v>0</v>
      </c>
      <c r="EV92">
        <v>0</v>
      </c>
      <c r="EW92">
        <v>0</v>
      </c>
      <c r="EX92">
        <v>0</v>
      </c>
      <c r="FQ92">
        <v>0</v>
      </c>
      <c r="FR92">
        <f t="shared" si="117"/>
        <v>0</v>
      </c>
      <c r="FS92">
        <v>0</v>
      </c>
      <c r="FT92" t="s">
        <v>24</v>
      </c>
      <c r="FU92" t="s">
        <v>25</v>
      </c>
      <c r="FX92">
        <v>106.2</v>
      </c>
      <c r="FY92">
        <v>53.55</v>
      </c>
      <c r="GA92" t="s">
        <v>3</v>
      </c>
      <c r="GD92">
        <v>0</v>
      </c>
      <c r="GF92">
        <v>-796608360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si="118"/>
        <v>0</v>
      </c>
      <c r="GM92">
        <f t="shared" si="119"/>
        <v>29481.47</v>
      </c>
      <c r="GN92">
        <f t="shared" si="120"/>
        <v>29481.47</v>
      </c>
      <c r="GO92">
        <f t="shared" si="121"/>
        <v>0</v>
      </c>
      <c r="GP92">
        <f t="shared" si="122"/>
        <v>0</v>
      </c>
      <c r="GR92">
        <v>0</v>
      </c>
      <c r="GS92">
        <v>3</v>
      </c>
      <c r="GT92">
        <v>0</v>
      </c>
      <c r="GU92" t="s">
        <v>3</v>
      </c>
      <c r="GV92">
        <f t="shared" si="123"/>
        <v>0</v>
      </c>
      <c r="GW92">
        <v>1</v>
      </c>
      <c r="GX92">
        <f t="shared" si="124"/>
        <v>0</v>
      </c>
      <c r="HA92">
        <v>0</v>
      </c>
      <c r="HB92">
        <v>0</v>
      </c>
      <c r="IK92">
        <v>0</v>
      </c>
    </row>
    <row r="93" spans="1:245" x14ac:dyDescent="0.2">
      <c r="A93">
        <v>18</v>
      </c>
      <c r="B93">
        <v>1</v>
      </c>
      <c r="C93">
        <v>193</v>
      </c>
      <c r="E93" t="s">
        <v>278</v>
      </c>
      <c r="F93" t="s">
        <v>245</v>
      </c>
      <c r="G93" t="s">
        <v>246</v>
      </c>
      <c r="H93" t="s">
        <v>247</v>
      </c>
      <c r="I93">
        <f>I88*J93</f>
        <v>3</v>
      </c>
      <c r="J93">
        <v>49.261083743842363</v>
      </c>
      <c r="O93">
        <f t="shared" si="92"/>
        <v>1915.16</v>
      </c>
      <c r="P93">
        <f t="shared" si="93"/>
        <v>1915.16</v>
      </c>
      <c r="Q93">
        <f t="shared" si="94"/>
        <v>0</v>
      </c>
      <c r="R93">
        <f t="shared" si="95"/>
        <v>0</v>
      </c>
      <c r="S93">
        <f t="shared" si="96"/>
        <v>0</v>
      </c>
      <c r="T93">
        <f t="shared" si="97"/>
        <v>0</v>
      </c>
      <c r="U93">
        <f t="shared" si="98"/>
        <v>0</v>
      </c>
      <c r="V93">
        <f t="shared" si="99"/>
        <v>0</v>
      </c>
      <c r="W93">
        <f t="shared" si="100"/>
        <v>0</v>
      </c>
      <c r="X93">
        <f t="shared" si="101"/>
        <v>0</v>
      </c>
      <c r="Y93">
        <f t="shared" si="102"/>
        <v>0</v>
      </c>
      <c r="AA93">
        <v>39579451</v>
      </c>
      <c r="AB93">
        <f t="shared" si="103"/>
        <v>92.52</v>
      </c>
      <c r="AC93">
        <f t="shared" si="86"/>
        <v>92.52</v>
      </c>
      <c r="AD93">
        <f t="shared" si="125"/>
        <v>0</v>
      </c>
      <c r="AE93">
        <f t="shared" si="126"/>
        <v>0</v>
      </c>
      <c r="AF93">
        <f t="shared" si="127"/>
        <v>0</v>
      </c>
      <c r="AG93">
        <f t="shared" si="104"/>
        <v>0</v>
      </c>
      <c r="AH93">
        <f t="shared" si="128"/>
        <v>0</v>
      </c>
      <c r="AI93">
        <f t="shared" si="129"/>
        <v>0</v>
      </c>
      <c r="AJ93">
        <f t="shared" si="105"/>
        <v>0</v>
      </c>
      <c r="AK93">
        <v>92.52</v>
      </c>
      <c r="AL93">
        <v>92.52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106</v>
      </c>
      <c r="AU93">
        <v>54</v>
      </c>
      <c r="AV93">
        <v>1</v>
      </c>
      <c r="AW93">
        <v>1</v>
      </c>
      <c r="AZ93">
        <v>6.9</v>
      </c>
      <c r="BA93">
        <v>1</v>
      </c>
      <c r="BB93">
        <v>1</v>
      </c>
      <c r="BC93">
        <v>6.9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1</v>
      </c>
      <c r="BJ93" t="s">
        <v>248</v>
      </c>
      <c r="BM93">
        <v>10001</v>
      </c>
      <c r="BN93">
        <v>0</v>
      </c>
      <c r="BO93" t="s">
        <v>3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118</v>
      </c>
      <c r="CA93">
        <v>63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106"/>
        <v>1915.16</v>
      </c>
      <c r="CQ93">
        <f t="shared" si="107"/>
        <v>638.38800000000003</v>
      </c>
      <c r="CR93">
        <f t="shared" si="108"/>
        <v>0</v>
      </c>
      <c r="CS93">
        <f t="shared" si="109"/>
        <v>0</v>
      </c>
      <c r="CT93">
        <f t="shared" si="110"/>
        <v>0</v>
      </c>
      <c r="CU93">
        <f t="shared" si="111"/>
        <v>0</v>
      </c>
      <c r="CV93">
        <f t="shared" si="112"/>
        <v>0</v>
      </c>
      <c r="CW93">
        <f t="shared" si="113"/>
        <v>0</v>
      </c>
      <c r="CX93">
        <f t="shared" si="114"/>
        <v>0</v>
      </c>
      <c r="CY93">
        <f t="shared" si="115"/>
        <v>0</v>
      </c>
      <c r="CZ93">
        <f t="shared" si="116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1013</v>
      </c>
      <c r="DV93" t="s">
        <v>247</v>
      </c>
      <c r="DW93" t="s">
        <v>247</v>
      </c>
      <c r="DX93">
        <v>1</v>
      </c>
      <c r="EE93">
        <v>39174503</v>
      </c>
      <c r="EF93">
        <v>2</v>
      </c>
      <c r="EG93" t="s">
        <v>20</v>
      </c>
      <c r="EH93">
        <v>0</v>
      </c>
      <c r="EI93" t="s">
        <v>3</v>
      </c>
      <c r="EJ93">
        <v>1</v>
      </c>
      <c r="EK93">
        <v>10001</v>
      </c>
      <c r="EL93" t="s">
        <v>66</v>
      </c>
      <c r="EM93" t="s">
        <v>67</v>
      </c>
      <c r="EO93" t="s">
        <v>3</v>
      </c>
      <c r="EQ93">
        <v>0</v>
      </c>
      <c r="ER93">
        <v>92.52</v>
      </c>
      <c r="ES93">
        <v>92.52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17"/>
        <v>0</v>
      </c>
      <c r="FS93">
        <v>0</v>
      </c>
      <c r="FT93" t="s">
        <v>24</v>
      </c>
      <c r="FU93" t="s">
        <v>25</v>
      </c>
      <c r="FX93">
        <v>106.2</v>
      </c>
      <c r="FY93">
        <v>53.55</v>
      </c>
      <c r="GA93" t="s">
        <v>3</v>
      </c>
      <c r="GD93">
        <v>0</v>
      </c>
      <c r="GF93">
        <v>203574032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118"/>
        <v>0</v>
      </c>
      <c r="GM93">
        <f t="shared" si="119"/>
        <v>1915.16</v>
      </c>
      <c r="GN93">
        <f t="shared" si="120"/>
        <v>1915.16</v>
      </c>
      <c r="GO93">
        <f t="shared" si="121"/>
        <v>0</v>
      </c>
      <c r="GP93">
        <f t="shared" si="122"/>
        <v>0</v>
      </c>
      <c r="GR93">
        <v>0</v>
      </c>
      <c r="GS93">
        <v>3</v>
      </c>
      <c r="GT93">
        <v>0</v>
      </c>
      <c r="GU93" t="s">
        <v>3</v>
      </c>
      <c r="GV93">
        <f t="shared" si="123"/>
        <v>0</v>
      </c>
      <c r="GW93">
        <v>1</v>
      </c>
      <c r="GX93">
        <f t="shared" si="124"/>
        <v>0</v>
      </c>
      <c r="HA93">
        <v>0</v>
      </c>
      <c r="HB93">
        <v>0</v>
      </c>
      <c r="IK93">
        <v>0</v>
      </c>
    </row>
    <row r="94" spans="1:245" x14ac:dyDescent="0.2">
      <c r="A94">
        <v>18</v>
      </c>
      <c r="B94">
        <v>1</v>
      </c>
      <c r="C94">
        <v>199</v>
      </c>
      <c r="E94" t="s">
        <v>279</v>
      </c>
      <c r="F94" t="s">
        <v>280</v>
      </c>
      <c r="G94" t="s">
        <v>281</v>
      </c>
      <c r="H94" t="s">
        <v>154</v>
      </c>
      <c r="I94">
        <f>I88*J94</f>
        <v>6.09</v>
      </c>
      <c r="J94">
        <v>100</v>
      </c>
      <c r="O94">
        <f t="shared" si="92"/>
        <v>0</v>
      </c>
      <c r="P94">
        <f t="shared" si="93"/>
        <v>0</v>
      </c>
      <c r="Q94">
        <f t="shared" si="94"/>
        <v>0</v>
      </c>
      <c r="R94">
        <f t="shared" si="95"/>
        <v>0</v>
      </c>
      <c r="S94">
        <f t="shared" si="96"/>
        <v>0</v>
      </c>
      <c r="T94">
        <f t="shared" si="97"/>
        <v>0</v>
      </c>
      <c r="U94">
        <f t="shared" si="98"/>
        <v>0</v>
      </c>
      <c r="V94">
        <f t="shared" si="99"/>
        <v>0</v>
      </c>
      <c r="W94">
        <f t="shared" si="100"/>
        <v>0</v>
      </c>
      <c r="X94">
        <f t="shared" si="101"/>
        <v>0</v>
      </c>
      <c r="Y94">
        <f t="shared" si="102"/>
        <v>0</v>
      </c>
      <c r="AA94">
        <v>39579451</v>
      </c>
      <c r="AB94">
        <f t="shared" si="103"/>
        <v>0</v>
      </c>
      <c r="AC94">
        <f t="shared" si="86"/>
        <v>0</v>
      </c>
      <c r="AD94">
        <f t="shared" si="125"/>
        <v>0</v>
      </c>
      <c r="AE94">
        <f t="shared" si="126"/>
        <v>0</v>
      </c>
      <c r="AF94">
        <f t="shared" si="127"/>
        <v>0</v>
      </c>
      <c r="AG94">
        <f t="shared" si="104"/>
        <v>0</v>
      </c>
      <c r="AH94">
        <f t="shared" si="128"/>
        <v>0</v>
      </c>
      <c r="AI94">
        <f t="shared" si="129"/>
        <v>0</v>
      </c>
      <c r="AJ94">
        <f t="shared" si="105"/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106</v>
      </c>
      <c r="AU94">
        <v>54</v>
      </c>
      <c r="AV94">
        <v>1</v>
      </c>
      <c r="AW94">
        <v>1</v>
      </c>
      <c r="AZ94">
        <v>6.9</v>
      </c>
      <c r="BA94">
        <v>1</v>
      </c>
      <c r="BB94">
        <v>1</v>
      </c>
      <c r="BC94">
        <v>6.9</v>
      </c>
      <c r="BD94" t="s">
        <v>3</v>
      </c>
      <c r="BE94" t="s">
        <v>3</v>
      </c>
      <c r="BF94" t="s">
        <v>3</v>
      </c>
      <c r="BG94" t="s">
        <v>3</v>
      </c>
      <c r="BH94">
        <v>3</v>
      </c>
      <c r="BI94">
        <v>1</v>
      </c>
      <c r="BJ94" t="s">
        <v>3</v>
      </c>
      <c r="BM94">
        <v>10001</v>
      </c>
      <c r="BN94">
        <v>0</v>
      </c>
      <c r="BO94" t="s">
        <v>3</v>
      </c>
      <c r="BP94">
        <v>0</v>
      </c>
      <c r="BQ94">
        <v>2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3</v>
      </c>
      <c r="BZ94">
        <v>118</v>
      </c>
      <c r="CA94">
        <v>63</v>
      </c>
      <c r="CF94">
        <v>0</v>
      </c>
      <c r="CG94">
        <v>0</v>
      </c>
      <c r="CM94">
        <v>0</v>
      </c>
      <c r="CN94" t="s">
        <v>3</v>
      </c>
      <c r="CO94">
        <v>0</v>
      </c>
      <c r="CP94">
        <f t="shared" si="106"/>
        <v>0</v>
      </c>
      <c r="CQ94">
        <f t="shared" si="107"/>
        <v>0</v>
      </c>
      <c r="CR94">
        <f t="shared" si="108"/>
        <v>0</v>
      </c>
      <c r="CS94">
        <f t="shared" si="109"/>
        <v>0</v>
      </c>
      <c r="CT94">
        <f t="shared" si="110"/>
        <v>0</v>
      </c>
      <c r="CU94">
        <f t="shared" si="111"/>
        <v>0</v>
      </c>
      <c r="CV94">
        <f t="shared" si="112"/>
        <v>0</v>
      </c>
      <c r="CW94">
        <f t="shared" si="113"/>
        <v>0</v>
      </c>
      <c r="CX94">
        <f t="shared" si="114"/>
        <v>0</v>
      </c>
      <c r="CY94">
        <f t="shared" si="115"/>
        <v>0</v>
      </c>
      <c r="CZ94">
        <f t="shared" si="116"/>
        <v>0</v>
      </c>
      <c r="DC94" t="s">
        <v>3</v>
      </c>
      <c r="DD94" t="s">
        <v>3</v>
      </c>
      <c r="DE94" t="s">
        <v>3</v>
      </c>
      <c r="DF94" t="s">
        <v>3</v>
      </c>
      <c r="DG94" t="s">
        <v>3</v>
      </c>
      <c r="DH94" t="s">
        <v>3</v>
      </c>
      <c r="DI94" t="s">
        <v>3</v>
      </c>
      <c r="DJ94" t="s">
        <v>3</v>
      </c>
      <c r="DK94" t="s">
        <v>3</v>
      </c>
      <c r="DL94" t="s">
        <v>3</v>
      </c>
      <c r="DM94" t="s">
        <v>3</v>
      </c>
      <c r="DN94">
        <v>0</v>
      </c>
      <c r="DO94">
        <v>0</v>
      </c>
      <c r="DP94">
        <v>1</v>
      </c>
      <c r="DQ94">
        <v>1</v>
      </c>
      <c r="DU94">
        <v>1005</v>
      </c>
      <c r="DV94" t="s">
        <v>154</v>
      </c>
      <c r="DW94" t="s">
        <v>154</v>
      </c>
      <c r="DX94">
        <v>1</v>
      </c>
      <c r="EE94">
        <v>39174503</v>
      </c>
      <c r="EF94">
        <v>2</v>
      </c>
      <c r="EG94" t="s">
        <v>20</v>
      </c>
      <c r="EH94">
        <v>0</v>
      </c>
      <c r="EI94" t="s">
        <v>3</v>
      </c>
      <c r="EJ94">
        <v>1</v>
      </c>
      <c r="EK94">
        <v>10001</v>
      </c>
      <c r="EL94" t="s">
        <v>66</v>
      </c>
      <c r="EM94" t="s">
        <v>67</v>
      </c>
      <c r="EO94" t="s">
        <v>3</v>
      </c>
      <c r="EQ94">
        <v>0</v>
      </c>
      <c r="ER94">
        <v>0</v>
      </c>
      <c r="ES94">
        <v>0</v>
      </c>
      <c r="ET94">
        <v>0</v>
      </c>
      <c r="EU94">
        <v>0</v>
      </c>
      <c r="EV94">
        <v>0</v>
      </c>
      <c r="EW94">
        <v>0</v>
      </c>
      <c r="EX94">
        <v>0</v>
      </c>
      <c r="FQ94">
        <v>0</v>
      </c>
      <c r="FR94">
        <f t="shared" si="117"/>
        <v>0</v>
      </c>
      <c r="FS94">
        <v>0</v>
      </c>
      <c r="FT94" t="s">
        <v>24</v>
      </c>
      <c r="FU94" t="s">
        <v>25</v>
      </c>
      <c r="FX94">
        <v>106.2</v>
      </c>
      <c r="FY94">
        <v>53.55</v>
      </c>
      <c r="GA94" t="s">
        <v>3</v>
      </c>
      <c r="GD94">
        <v>0</v>
      </c>
      <c r="GF94">
        <v>-732808487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118"/>
        <v>0</v>
      </c>
      <c r="GM94">
        <f t="shared" si="119"/>
        <v>0</v>
      </c>
      <c r="GN94">
        <f t="shared" si="120"/>
        <v>0</v>
      </c>
      <c r="GO94">
        <f t="shared" si="121"/>
        <v>0</v>
      </c>
      <c r="GP94">
        <f t="shared" si="122"/>
        <v>0</v>
      </c>
      <c r="GR94">
        <v>0</v>
      </c>
      <c r="GS94">
        <v>3</v>
      </c>
      <c r="GT94">
        <v>0</v>
      </c>
      <c r="GU94" t="s">
        <v>3</v>
      </c>
      <c r="GV94">
        <f t="shared" si="123"/>
        <v>0</v>
      </c>
      <c r="GW94">
        <v>1</v>
      </c>
      <c r="GX94">
        <f t="shared" si="124"/>
        <v>0</v>
      </c>
      <c r="HA94">
        <v>0</v>
      </c>
      <c r="HB94">
        <v>0</v>
      </c>
      <c r="IK94">
        <v>0</v>
      </c>
    </row>
    <row r="95" spans="1:245" x14ac:dyDescent="0.2">
      <c r="A95">
        <v>17</v>
      </c>
      <c r="B95">
        <v>1</v>
      </c>
      <c r="C95">
        <f>ROW(SmtRes!A205)</f>
        <v>205</v>
      </c>
      <c r="D95">
        <f>ROW(EtalonRes!A195)</f>
        <v>195</v>
      </c>
      <c r="E95" t="s">
        <v>282</v>
      </c>
      <c r="F95" t="s">
        <v>283</v>
      </c>
      <c r="G95" t="s">
        <v>284</v>
      </c>
      <c r="H95" t="s">
        <v>285</v>
      </c>
      <c r="I95">
        <f>ROUND(28/100,9)</f>
        <v>0.28000000000000003</v>
      </c>
      <c r="J95">
        <v>0</v>
      </c>
      <c r="O95">
        <f t="shared" si="92"/>
        <v>282.02999999999997</v>
      </c>
      <c r="P95">
        <f t="shared" si="93"/>
        <v>0</v>
      </c>
      <c r="Q95">
        <f t="shared" si="94"/>
        <v>4.83</v>
      </c>
      <c r="R95">
        <f t="shared" si="95"/>
        <v>2.09</v>
      </c>
      <c r="S95">
        <f t="shared" si="96"/>
        <v>277.2</v>
      </c>
      <c r="T95">
        <f t="shared" si="97"/>
        <v>0</v>
      </c>
      <c r="U95">
        <f t="shared" si="98"/>
        <v>5.0092000000000008</v>
      </c>
      <c r="V95">
        <f t="shared" si="99"/>
        <v>2.2400000000000003E-2</v>
      </c>
      <c r="W95">
        <f t="shared" si="100"/>
        <v>0</v>
      </c>
      <c r="X95">
        <f t="shared" si="101"/>
        <v>237.4</v>
      </c>
      <c r="Y95">
        <f t="shared" si="102"/>
        <v>181.54</v>
      </c>
      <c r="AA95">
        <v>39579451</v>
      </c>
      <c r="AB95">
        <f t="shared" si="103"/>
        <v>145.97999999999999</v>
      </c>
      <c r="AC95">
        <f t="shared" si="86"/>
        <v>0</v>
      </c>
      <c r="AD95">
        <f t="shared" si="125"/>
        <v>2.5</v>
      </c>
      <c r="AE95">
        <f t="shared" si="126"/>
        <v>1.08</v>
      </c>
      <c r="AF95">
        <f t="shared" si="127"/>
        <v>143.47999999999999</v>
      </c>
      <c r="AG95">
        <f t="shared" si="104"/>
        <v>0</v>
      </c>
      <c r="AH95">
        <f t="shared" si="128"/>
        <v>17.89</v>
      </c>
      <c r="AI95">
        <f t="shared" si="129"/>
        <v>0.08</v>
      </c>
      <c r="AJ95">
        <f t="shared" si="105"/>
        <v>0</v>
      </c>
      <c r="AK95">
        <v>145.97999999999999</v>
      </c>
      <c r="AL95">
        <v>0</v>
      </c>
      <c r="AM95">
        <v>2.5</v>
      </c>
      <c r="AN95">
        <v>1.08</v>
      </c>
      <c r="AO95">
        <v>143.47999999999999</v>
      </c>
      <c r="AP95">
        <v>0</v>
      </c>
      <c r="AQ95">
        <v>17.89</v>
      </c>
      <c r="AR95">
        <v>0.08</v>
      </c>
      <c r="AS95">
        <v>0</v>
      </c>
      <c r="AT95">
        <v>85</v>
      </c>
      <c r="AU95">
        <v>65</v>
      </c>
      <c r="AV95">
        <v>1</v>
      </c>
      <c r="AW95">
        <v>1</v>
      </c>
      <c r="AZ95">
        <v>6.9</v>
      </c>
      <c r="BA95">
        <v>6.9</v>
      </c>
      <c r="BB95">
        <v>6.9</v>
      </c>
      <c r="BC95">
        <v>6.9</v>
      </c>
      <c r="BD95" t="s">
        <v>3</v>
      </c>
      <c r="BE95" t="s">
        <v>3</v>
      </c>
      <c r="BF95" t="s">
        <v>3</v>
      </c>
      <c r="BG95" t="s">
        <v>3</v>
      </c>
      <c r="BH95">
        <v>0</v>
      </c>
      <c r="BI95">
        <v>1</v>
      </c>
      <c r="BJ95" t="s">
        <v>286</v>
      </c>
      <c r="BM95">
        <v>67001</v>
      </c>
      <c r="BN95">
        <v>0</v>
      </c>
      <c r="BO95" t="s">
        <v>3</v>
      </c>
      <c r="BP95">
        <v>0</v>
      </c>
      <c r="BQ95">
        <v>6</v>
      </c>
      <c r="BR95">
        <v>0</v>
      </c>
      <c r="BS95">
        <v>6.9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85</v>
      </c>
      <c r="CA95">
        <v>65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 t="shared" si="106"/>
        <v>282.02999999999997</v>
      </c>
      <c r="CQ95">
        <f t="shared" si="107"/>
        <v>0</v>
      </c>
      <c r="CR95">
        <f t="shared" si="108"/>
        <v>17.25</v>
      </c>
      <c r="CS95">
        <f t="shared" si="109"/>
        <v>7.4520000000000008</v>
      </c>
      <c r="CT95">
        <f t="shared" si="110"/>
        <v>990.01199999999994</v>
      </c>
      <c r="CU95">
        <f t="shared" si="111"/>
        <v>0</v>
      </c>
      <c r="CV95">
        <f t="shared" si="112"/>
        <v>17.89</v>
      </c>
      <c r="CW95">
        <f t="shared" si="113"/>
        <v>0.08</v>
      </c>
      <c r="CX95">
        <f t="shared" si="114"/>
        <v>0</v>
      </c>
      <c r="CY95">
        <f t="shared" si="115"/>
        <v>237.39649999999997</v>
      </c>
      <c r="CZ95">
        <f t="shared" si="116"/>
        <v>181.5385</v>
      </c>
      <c r="DC95" t="s">
        <v>3</v>
      </c>
      <c r="DD95" t="s">
        <v>3</v>
      </c>
      <c r="DE95" t="s">
        <v>3</v>
      </c>
      <c r="DF95" t="s">
        <v>3</v>
      </c>
      <c r="DG95" t="s">
        <v>3</v>
      </c>
      <c r="DH95" t="s">
        <v>3</v>
      </c>
      <c r="DI95" t="s">
        <v>3</v>
      </c>
      <c r="DJ95" t="s">
        <v>3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1013</v>
      </c>
      <c r="DV95" t="s">
        <v>285</v>
      </c>
      <c r="DW95" t="s">
        <v>285</v>
      </c>
      <c r="DX95">
        <v>1</v>
      </c>
      <c r="EE95">
        <v>39174628</v>
      </c>
      <c r="EF95">
        <v>6</v>
      </c>
      <c r="EG95" t="s">
        <v>30</v>
      </c>
      <c r="EH95">
        <v>0</v>
      </c>
      <c r="EI95" t="s">
        <v>3</v>
      </c>
      <c r="EJ95">
        <v>1</v>
      </c>
      <c r="EK95">
        <v>67001</v>
      </c>
      <c r="EL95" t="s">
        <v>287</v>
      </c>
      <c r="EM95" t="s">
        <v>288</v>
      </c>
      <c r="EO95" t="s">
        <v>3</v>
      </c>
      <c r="EQ95">
        <v>0</v>
      </c>
      <c r="ER95">
        <v>145.97999999999999</v>
      </c>
      <c r="ES95">
        <v>0</v>
      </c>
      <c r="ET95">
        <v>2.5</v>
      </c>
      <c r="EU95">
        <v>1.08</v>
      </c>
      <c r="EV95">
        <v>143.47999999999999</v>
      </c>
      <c r="EW95">
        <v>17.89</v>
      </c>
      <c r="EX95">
        <v>0.08</v>
      </c>
      <c r="EY95">
        <v>0</v>
      </c>
      <c r="FQ95">
        <v>0</v>
      </c>
      <c r="FR95">
        <f t="shared" si="117"/>
        <v>0</v>
      </c>
      <c r="FS95">
        <v>0</v>
      </c>
      <c r="FX95">
        <v>85</v>
      </c>
      <c r="FY95">
        <v>65</v>
      </c>
      <c r="GA95" t="s">
        <v>3</v>
      </c>
      <c r="GD95">
        <v>0</v>
      </c>
      <c r="GF95">
        <v>1077668203</v>
      </c>
      <c r="GG95">
        <v>1</v>
      </c>
      <c r="GH95">
        <v>1</v>
      </c>
      <c r="GI95">
        <v>4</v>
      </c>
      <c r="GJ95">
        <v>0</v>
      </c>
      <c r="GK95">
        <f>ROUND(R95*(R12)/100,2)</f>
        <v>0</v>
      </c>
      <c r="GL95">
        <f t="shared" si="118"/>
        <v>0</v>
      </c>
      <c r="GM95">
        <f t="shared" si="119"/>
        <v>700.97</v>
      </c>
      <c r="GN95">
        <f t="shared" si="120"/>
        <v>700.97</v>
      </c>
      <c r="GO95">
        <f t="shared" si="121"/>
        <v>0</v>
      </c>
      <c r="GP95">
        <f t="shared" si="122"/>
        <v>0</v>
      </c>
      <c r="GR95">
        <v>0</v>
      </c>
      <c r="GS95">
        <v>3</v>
      </c>
      <c r="GT95">
        <v>0</v>
      </c>
      <c r="GU95" t="s">
        <v>3</v>
      </c>
      <c r="GV95">
        <f t="shared" si="123"/>
        <v>0</v>
      </c>
      <c r="GW95">
        <v>1</v>
      </c>
      <c r="GX95">
        <f t="shared" si="124"/>
        <v>0</v>
      </c>
      <c r="HA95">
        <v>0</v>
      </c>
      <c r="HB95">
        <v>0</v>
      </c>
      <c r="IK95">
        <v>0</v>
      </c>
    </row>
    <row r="96" spans="1:245" x14ac:dyDescent="0.2">
      <c r="A96">
        <v>17</v>
      </c>
      <c r="B96">
        <v>1</v>
      </c>
      <c r="C96">
        <f>ROW(SmtRes!A212)</f>
        <v>212</v>
      </c>
      <c r="D96">
        <f>ROW(EtalonRes!A201)</f>
        <v>201</v>
      </c>
      <c r="E96" t="s">
        <v>289</v>
      </c>
      <c r="F96" t="s">
        <v>290</v>
      </c>
      <c r="G96" t="s">
        <v>291</v>
      </c>
      <c r="H96" t="s">
        <v>285</v>
      </c>
      <c r="I96">
        <f>ROUND(28/100,9)</f>
        <v>0.28000000000000003</v>
      </c>
      <c r="J96">
        <v>0</v>
      </c>
      <c r="O96">
        <f t="shared" si="92"/>
        <v>2111.13</v>
      </c>
      <c r="P96">
        <f t="shared" si="93"/>
        <v>233.25</v>
      </c>
      <c r="Q96">
        <f t="shared" si="94"/>
        <v>68.66</v>
      </c>
      <c r="R96">
        <f t="shared" si="95"/>
        <v>9.6999999999999993</v>
      </c>
      <c r="S96">
        <f t="shared" si="96"/>
        <v>1809.22</v>
      </c>
      <c r="T96">
        <f t="shared" si="97"/>
        <v>0</v>
      </c>
      <c r="U96">
        <f t="shared" si="98"/>
        <v>26.432000000000006</v>
      </c>
      <c r="V96">
        <f t="shared" si="99"/>
        <v>0.11200000000000002</v>
      </c>
      <c r="W96">
        <f t="shared" si="100"/>
        <v>0</v>
      </c>
      <c r="X96">
        <f t="shared" si="101"/>
        <v>1727.97</v>
      </c>
      <c r="Y96">
        <f t="shared" si="102"/>
        <v>1182.3</v>
      </c>
      <c r="AA96">
        <v>39579451</v>
      </c>
      <c r="AB96">
        <f t="shared" si="103"/>
        <v>1092.72</v>
      </c>
      <c r="AC96">
        <f t="shared" si="86"/>
        <v>120.73</v>
      </c>
      <c r="AD96">
        <f t="shared" si="125"/>
        <v>35.54</v>
      </c>
      <c r="AE96">
        <f t="shared" si="126"/>
        <v>5.0199999999999996</v>
      </c>
      <c r="AF96">
        <f t="shared" si="127"/>
        <v>936.45</v>
      </c>
      <c r="AG96">
        <f t="shared" si="104"/>
        <v>0</v>
      </c>
      <c r="AH96">
        <f t="shared" si="128"/>
        <v>94.4</v>
      </c>
      <c r="AI96">
        <f t="shared" si="129"/>
        <v>0.4</v>
      </c>
      <c r="AJ96">
        <f t="shared" si="105"/>
        <v>0</v>
      </c>
      <c r="AK96">
        <v>1092.72</v>
      </c>
      <c r="AL96">
        <v>120.73</v>
      </c>
      <c r="AM96">
        <v>35.54</v>
      </c>
      <c r="AN96">
        <v>5.0199999999999996</v>
      </c>
      <c r="AO96">
        <v>936.45</v>
      </c>
      <c r="AP96">
        <v>0</v>
      </c>
      <c r="AQ96">
        <v>94.4</v>
      </c>
      <c r="AR96">
        <v>0.4</v>
      </c>
      <c r="AS96">
        <v>0</v>
      </c>
      <c r="AT96">
        <v>95</v>
      </c>
      <c r="AU96">
        <v>65</v>
      </c>
      <c r="AV96">
        <v>1</v>
      </c>
      <c r="AW96">
        <v>1</v>
      </c>
      <c r="AZ96">
        <v>6.9</v>
      </c>
      <c r="BA96">
        <v>6.9</v>
      </c>
      <c r="BB96">
        <v>6.9</v>
      </c>
      <c r="BC96">
        <v>6.9</v>
      </c>
      <c r="BD96" t="s">
        <v>3</v>
      </c>
      <c r="BE96" t="s">
        <v>3</v>
      </c>
      <c r="BF96" t="s">
        <v>3</v>
      </c>
      <c r="BG96" t="s">
        <v>3</v>
      </c>
      <c r="BH96">
        <v>0</v>
      </c>
      <c r="BI96">
        <v>2</v>
      </c>
      <c r="BJ96" t="s">
        <v>292</v>
      </c>
      <c r="BM96">
        <v>108001</v>
      </c>
      <c r="BN96">
        <v>0</v>
      </c>
      <c r="BO96" t="s">
        <v>3</v>
      </c>
      <c r="BP96">
        <v>0</v>
      </c>
      <c r="BQ96">
        <v>3</v>
      </c>
      <c r="BR96">
        <v>0</v>
      </c>
      <c r="BS96">
        <v>6.9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3</v>
      </c>
      <c r="BZ96">
        <v>95</v>
      </c>
      <c r="CA96">
        <v>65</v>
      </c>
      <c r="CF96">
        <v>0</v>
      </c>
      <c r="CG96">
        <v>0</v>
      </c>
      <c r="CM96">
        <v>0</v>
      </c>
      <c r="CN96" t="s">
        <v>3</v>
      </c>
      <c r="CO96">
        <v>0</v>
      </c>
      <c r="CP96">
        <f t="shared" si="106"/>
        <v>2111.13</v>
      </c>
      <c r="CQ96">
        <f t="shared" si="107"/>
        <v>833.03700000000003</v>
      </c>
      <c r="CR96">
        <f t="shared" si="108"/>
        <v>245.226</v>
      </c>
      <c r="CS96">
        <f t="shared" si="109"/>
        <v>34.637999999999998</v>
      </c>
      <c r="CT96">
        <f t="shared" si="110"/>
        <v>6461.505000000001</v>
      </c>
      <c r="CU96">
        <f t="shared" si="111"/>
        <v>0</v>
      </c>
      <c r="CV96">
        <f t="shared" si="112"/>
        <v>94.4</v>
      </c>
      <c r="CW96">
        <f t="shared" si="113"/>
        <v>0.4</v>
      </c>
      <c r="CX96">
        <f t="shared" si="114"/>
        <v>0</v>
      </c>
      <c r="CY96">
        <f t="shared" si="115"/>
        <v>1727.9739999999999</v>
      </c>
      <c r="CZ96">
        <f t="shared" si="116"/>
        <v>1182.298</v>
      </c>
      <c r="DC96" t="s">
        <v>3</v>
      </c>
      <c r="DD96" t="s">
        <v>3</v>
      </c>
      <c r="DE96" t="s">
        <v>3</v>
      </c>
      <c r="DF96" t="s">
        <v>3</v>
      </c>
      <c r="DG96" t="s">
        <v>3</v>
      </c>
      <c r="DH96" t="s">
        <v>3</v>
      </c>
      <c r="DI96" t="s">
        <v>3</v>
      </c>
      <c r="DJ96" t="s">
        <v>3</v>
      </c>
      <c r="DK96" t="s">
        <v>3</v>
      </c>
      <c r="DL96" t="s">
        <v>3</v>
      </c>
      <c r="DM96" t="s">
        <v>3</v>
      </c>
      <c r="DN96">
        <v>0</v>
      </c>
      <c r="DO96">
        <v>0</v>
      </c>
      <c r="DP96">
        <v>1</v>
      </c>
      <c r="DQ96">
        <v>1</v>
      </c>
      <c r="DU96">
        <v>1013</v>
      </c>
      <c r="DV96" t="s">
        <v>285</v>
      </c>
      <c r="DW96" t="s">
        <v>285</v>
      </c>
      <c r="DX96">
        <v>1</v>
      </c>
      <c r="EE96">
        <v>39174386</v>
      </c>
      <c r="EF96">
        <v>3</v>
      </c>
      <c r="EG96" t="s">
        <v>293</v>
      </c>
      <c r="EH96">
        <v>0</v>
      </c>
      <c r="EI96" t="s">
        <v>3</v>
      </c>
      <c r="EJ96">
        <v>2</v>
      </c>
      <c r="EK96">
        <v>108001</v>
      </c>
      <c r="EL96" t="s">
        <v>294</v>
      </c>
      <c r="EM96" t="s">
        <v>295</v>
      </c>
      <c r="EO96" t="s">
        <v>3</v>
      </c>
      <c r="EQ96">
        <v>0</v>
      </c>
      <c r="ER96">
        <v>1092.72</v>
      </c>
      <c r="ES96">
        <v>120.73</v>
      </c>
      <c r="ET96">
        <v>35.54</v>
      </c>
      <c r="EU96">
        <v>5.0199999999999996</v>
      </c>
      <c r="EV96">
        <v>936.45</v>
      </c>
      <c r="EW96">
        <v>94.4</v>
      </c>
      <c r="EX96">
        <v>0.4</v>
      </c>
      <c r="EY96">
        <v>0</v>
      </c>
      <c r="FQ96">
        <v>0</v>
      </c>
      <c r="FR96">
        <f t="shared" si="117"/>
        <v>0</v>
      </c>
      <c r="FS96">
        <v>0</v>
      </c>
      <c r="FX96">
        <v>95</v>
      </c>
      <c r="FY96">
        <v>65</v>
      </c>
      <c r="GA96" t="s">
        <v>3</v>
      </c>
      <c r="GD96">
        <v>0</v>
      </c>
      <c r="GF96">
        <v>-1013997877</v>
      </c>
      <c r="GG96">
        <v>1</v>
      </c>
      <c r="GH96">
        <v>1</v>
      </c>
      <c r="GI96">
        <v>4</v>
      </c>
      <c r="GJ96">
        <v>0</v>
      </c>
      <c r="GK96">
        <f>ROUND(R96*(R12)/100,2)</f>
        <v>0</v>
      </c>
      <c r="GL96">
        <f t="shared" si="118"/>
        <v>0</v>
      </c>
      <c r="GM96">
        <f t="shared" si="119"/>
        <v>5021.3999999999996</v>
      </c>
      <c r="GN96">
        <f t="shared" si="120"/>
        <v>0</v>
      </c>
      <c r="GO96">
        <f t="shared" si="121"/>
        <v>5021.3999999999996</v>
      </c>
      <c r="GP96">
        <f t="shared" si="122"/>
        <v>0</v>
      </c>
      <c r="GR96">
        <v>0</v>
      </c>
      <c r="GS96">
        <v>3</v>
      </c>
      <c r="GT96">
        <v>0</v>
      </c>
      <c r="GU96" t="s">
        <v>3</v>
      </c>
      <c r="GV96">
        <f t="shared" si="123"/>
        <v>0</v>
      </c>
      <c r="GW96">
        <v>1</v>
      </c>
      <c r="GX96">
        <f t="shared" si="124"/>
        <v>0</v>
      </c>
      <c r="HA96">
        <v>0</v>
      </c>
      <c r="HB96">
        <v>0</v>
      </c>
      <c r="IK96">
        <v>0</v>
      </c>
    </row>
    <row r="97" spans="1:245" x14ac:dyDescent="0.2">
      <c r="A97">
        <v>18</v>
      </c>
      <c r="B97">
        <v>1</v>
      </c>
      <c r="C97">
        <v>210</v>
      </c>
      <c r="E97" t="s">
        <v>296</v>
      </c>
      <c r="F97" t="s">
        <v>297</v>
      </c>
      <c r="G97" t="s">
        <v>298</v>
      </c>
      <c r="H97" t="s">
        <v>189</v>
      </c>
      <c r="I97">
        <f>I96*J97</f>
        <v>28</v>
      </c>
      <c r="J97">
        <v>99.999999999999986</v>
      </c>
      <c r="O97">
        <f t="shared" si="92"/>
        <v>65759.48</v>
      </c>
      <c r="P97">
        <f t="shared" si="93"/>
        <v>65759.48</v>
      </c>
      <c r="Q97">
        <f t="shared" si="94"/>
        <v>0</v>
      </c>
      <c r="R97">
        <f t="shared" si="95"/>
        <v>0</v>
      </c>
      <c r="S97">
        <f t="shared" si="96"/>
        <v>0</v>
      </c>
      <c r="T97">
        <f t="shared" si="97"/>
        <v>0</v>
      </c>
      <c r="U97">
        <f t="shared" si="98"/>
        <v>0</v>
      </c>
      <c r="V97">
        <f t="shared" si="99"/>
        <v>0</v>
      </c>
      <c r="W97">
        <f t="shared" si="100"/>
        <v>0</v>
      </c>
      <c r="X97">
        <f t="shared" si="101"/>
        <v>0</v>
      </c>
      <c r="Y97">
        <f t="shared" si="102"/>
        <v>0</v>
      </c>
      <c r="AA97">
        <v>39579451</v>
      </c>
      <c r="AB97">
        <f t="shared" si="103"/>
        <v>340.37</v>
      </c>
      <c r="AC97">
        <f t="shared" si="86"/>
        <v>340.37</v>
      </c>
      <c r="AD97">
        <f t="shared" si="125"/>
        <v>0</v>
      </c>
      <c r="AE97">
        <f t="shared" si="126"/>
        <v>0</v>
      </c>
      <c r="AF97">
        <f t="shared" si="127"/>
        <v>0</v>
      </c>
      <c r="AG97">
        <f t="shared" si="104"/>
        <v>0</v>
      </c>
      <c r="AH97">
        <f t="shared" si="128"/>
        <v>0</v>
      </c>
      <c r="AI97">
        <f t="shared" si="129"/>
        <v>0</v>
      </c>
      <c r="AJ97">
        <f t="shared" si="105"/>
        <v>0</v>
      </c>
      <c r="AK97">
        <v>340.37</v>
      </c>
      <c r="AL97">
        <v>340.37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95</v>
      </c>
      <c r="AU97">
        <v>65</v>
      </c>
      <c r="AV97">
        <v>1</v>
      </c>
      <c r="AW97">
        <v>1</v>
      </c>
      <c r="AZ97">
        <v>6.9</v>
      </c>
      <c r="BA97">
        <v>1</v>
      </c>
      <c r="BB97">
        <v>1</v>
      </c>
      <c r="BC97">
        <v>6.9</v>
      </c>
      <c r="BD97" t="s">
        <v>3</v>
      </c>
      <c r="BE97" t="s">
        <v>3</v>
      </c>
      <c r="BF97" t="s">
        <v>3</v>
      </c>
      <c r="BG97" t="s">
        <v>3</v>
      </c>
      <c r="BH97">
        <v>3</v>
      </c>
      <c r="BI97">
        <v>2</v>
      </c>
      <c r="BJ97" t="s">
        <v>299</v>
      </c>
      <c r="BM97">
        <v>108001</v>
      </c>
      <c r="BN97">
        <v>0</v>
      </c>
      <c r="BO97" t="s">
        <v>3</v>
      </c>
      <c r="BP97">
        <v>0</v>
      </c>
      <c r="BQ97">
        <v>3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95</v>
      </c>
      <c r="CA97">
        <v>65</v>
      </c>
      <c r="CF97">
        <v>0</v>
      </c>
      <c r="CG97">
        <v>0</v>
      </c>
      <c r="CM97">
        <v>0</v>
      </c>
      <c r="CN97" t="s">
        <v>3</v>
      </c>
      <c r="CO97">
        <v>0</v>
      </c>
      <c r="CP97">
        <f t="shared" si="106"/>
        <v>65759.48</v>
      </c>
      <c r="CQ97">
        <f t="shared" si="107"/>
        <v>2348.5530000000003</v>
      </c>
      <c r="CR97">
        <f t="shared" si="108"/>
        <v>0</v>
      </c>
      <c r="CS97">
        <f t="shared" si="109"/>
        <v>0</v>
      </c>
      <c r="CT97">
        <f t="shared" si="110"/>
        <v>0</v>
      </c>
      <c r="CU97">
        <f t="shared" si="111"/>
        <v>0</v>
      </c>
      <c r="CV97">
        <f t="shared" si="112"/>
        <v>0</v>
      </c>
      <c r="CW97">
        <f t="shared" si="113"/>
        <v>0</v>
      </c>
      <c r="CX97">
        <f t="shared" si="114"/>
        <v>0</v>
      </c>
      <c r="CY97">
        <f t="shared" si="115"/>
        <v>0</v>
      </c>
      <c r="CZ97">
        <f t="shared" si="116"/>
        <v>0</v>
      </c>
      <c r="DC97" t="s">
        <v>3</v>
      </c>
      <c r="DD97" t="s">
        <v>3</v>
      </c>
      <c r="DE97" t="s">
        <v>3</v>
      </c>
      <c r="DF97" t="s">
        <v>3</v>
      </c>
      <c r="DG97" t="s">
        <v>3</v>
      </c>
      <c r="DH97" t="s">
        <v>3</v>
      </c>
      <c r="DI97" t="s">
        <v>3</v>
      </c>
      <c r="DJ97" t="s">
        <v>3</v>
      </c>
      <c r="DK97" t="s">
        <v>3</v>
      </c>
      <c r="DL97" t="s">
        <v>3</v>
      </c>
      <c r="DM97" t="s">
        <v>3</v>
      </c>
      <c r="DN97">
        <v>0</v>
      </c>
      <c r="DO97">
        <v>0</v>
      </c>
      <c r="DP97">
        <v>1</v>
      </c>
      <c r="DQ97">
        <v>1</v>
      </c>
      <c r="DU97">
        <v>1010</v>
      </c>
      <c r="DV97" t="s">
        <v>189</v>
      </c>
      <c r="DW97" t="s">
        <v>189</v>
      </c>
      <c r="DX97">
        <v>1</v>
      </c>
      <c r="EE97">
        <v>39174386</v>
      </c>
      <c r="EF97">
        <v>3</v>
      </c>
      <c r="EG97" t="s">
        <v>293</v>
      </c>
      <c r="EH97">
        <v>0</v>
      </c>
      <c r="EI97" t="s">
        <v>3</v>
      </c>
      <c r="EJ97">
        <v>2</v>
      </c>
      <c r="EK97">
        <v>108001</v>
      </c>
      <c r="EL97" t="s">
        <v>294</v>
      </c>
      <c r="EM97" t="s">
        <v>295</v>
      </c>
      <c r="EO97" t="s">
        <v>3</v>
      </c>
      <c r="EQ97">
        <v>0</v>
      </c>
      <c r="ER97">
        <v>340.37</v>
      </c>
      <c r="ES97">
        <v>340.37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17"/>
        <v>0</v>
      </c>
      <c r="FS97">
        <v>0</v>
      </c>
      <c r="FX97">
        <v>95</v>
      </c>
      <c r="FY97">
        <v>65</v>
      </c>
      <c r="GA97" t="s">
        <v>3</v>
      </c>
      <c r="GD97">
        <v>0</v>
      </c>
      <c r="GF97">
        <v>1531753992</v>
      </c>
      <c r="GG97">
        <v>1</v>
      </c>
      <c r="GH97">
        <v>1</v>
      </c>
      <c r="GI97">
        <v>4</v>
      </c>
      <c r="GJ97">
        <v>0</v>
      </c>
      <c r="GK97">
        <f>ROUND(R97*(R12)/100,2)</f>
        <v>0</v>
      </c>
      <c r="GL97">
        <f t="shared" si="118"/>
        <v>0</v>
      </c>
      <c r="GM97">
        <f t="shared" si="119"/>
        <v>65759.48</v>
      </c>
      <c r="GN97">
        <f t="shared" si="120"/>
        <v>0</v>
      </c>
      <c r="GO97">
        <f t="shared" si="121"/>
        <v>65759.48</v>
      </c>
      <c r="GP97">
        <f t="shared" si="122"/>
        <v>0</v>
      </c>
      <c r="GR97">
        <v>0</v>
      </c>
      <c r="GS97">
        <v>3</v>
      </c>
      <c r="GT97">
        <v>0</v>
      </c>
      <c r="GU97" t="s">
        <v>3</v>
      </c>
      <c r="GV97">
        <f t="shared" si="123"/>
        <v>0</v>
      </c>
      <c r="GW97">
        <v>1</v>
      </c>
      <c r="GX97">
        <f t="shared" si="124"/>
        <v>0</v>
      </c>
      <c r="HA97">
        <v>0</v>
      </c>
      <c r="HB97">
        <v>0</v>
      </c>
      <c r="IK97">
        <v>0</v>
      </c>
    </row>
    <row r="98" spans="1:245" x14ac:dyDescent="0.2">
      <c r="A98">
        <v>17</v>
      </c>
      <c r="B98">
        <v>1</v>
      </c>
      <c r="C98">
        <f>ROW(SmtRes!A216)</f>
        <v>216</v>
      </c>
      <c r="D98">
        <f>ROW(EtalonRes!A204)</f>
        <v>204</v>
      </c>
      <c r="E98" t="s">
        <v>300</v>
      </c>
      <c r="F98" t="s">
        <v>301</v>
      </c>
      <c r="G98" t="s">
        <v>302</v>
      </c>
      <c r="H98" t="s">
        <v>44</v>
      </c>
      <c r="I98">
        <f>ROUND(148/100,9)</f>
        <v>1.48</v>
      </c>
      <c r="J98">
        <v>0</v>
      </c>
      <c r="O98">
        <f t="shared" si="92"/>
        <v>1596.44</v>
      </c>
      <c r="P98">
        <f t="shared" si="93"/>
        <v>171.46</v>
      </c>
      <c r="Q98">
        <f t="shared" si="94"/>
        <v>0</v>
      </c>
      <c r="R98">
        <f t="shared" si="95"/>
        <v>0</v>
      </c>
      <c r="S98">
        <f t="shared" si="96"/>
        <v>1424.98</v>
      </c>
      <c r="T98">
        <f t="shared" si="97"/>
        <v>0</v>
      </c>
      <c r="U98">
        <f t="shared" si="98"/>
        <v>22.495999999999999</v>
      </c>
      <c r="V98">
        <f t="shared" si="99"/>
        <v>0</v>
      </c>
      <c r="W98">
        <f t="shared" si="100"/>
        <v>0</v>
      </c>
      <c r="X98">
        <f t="shared" si="101"/>
        <v>1353.73</v>
      </c>
      <c r="Y98">
        <f t="shared" si="102"/>
        <v>926.24</v>
      </c>
      <c r="AA98">
        <v>39579451</v>
      </c>
      <c r="AB98">
        <f t="shared" si="103"/>
        <v>156.33000000000001</v>
      </c>
      <c r="AC98">
        <f t="shared" si="86"/>
        <v>16.79</v>
      </c>
      <c r="AD98">
        <f t="shared" si="125"/>
        <v>0</v>
      </c>
      <c r="AE98">
        <f t="shared" si="126"/>
        <v>0</v>
      </c>
      <c r="AF98">
        <f t="shared" si="127"/>
        <v>139.54</v>
      </c>
      <c r="AG98">
        <f t="shared" si="104"/>
        <v>0</v>
      </c>
      <c r="AH98">
        <f t="shared" si="128"/>
        <v>15.2</v>
      </c>
      <c r="AI98">
        <f t="shared" si="129"/>
        <v>0</v>
      </c>
      <c r="AJ98">
        <f t="shared" si="105"/>
        <v>0</v>
      </c>
      <c r="AK98">
        <v>156.33000000000001</v>
      </c>
      <c r="AL98">
        <v>16.79</v>
      </c>
      <c r="AM98">
        <v>0</v>
      </c>
      <c r="AN98">
        <v>0</v>
      </c>
      <c r="AO98">
        <v>139.54</v>
      </c>
      <c r="AP98">
        <v>0</v>
      </c>
      <c r="AQ98">
        <v>15.2</v>
      </c>
      <c r="AR98">
        <v>0</v>
      </c>
      <c r="AS98">
        <v>0</v>
      </c>
      <c r="AT98">
        <v>95</v>
      </c>
      <c r="AU98">
        <v>65</v>
      </c>
      <c r="AV98">
        <v>1</v>
      </c>
      <c r="AW98">
        <v>1</v>
      </c>
      <c r="AZ98">
        <v>6.9</v>
      </c>
      <c r="BA98">
        <v>6.9</v>
      </c>
      <c r="BB98">
        <v>6.9</v>
      </c>
      <c r="BC98">
        <v>6.9</v>
      </c>
      <c r="BD98" t="s">
        <v>3</v>
      </c>
      <c r="BE98" t="s">
        <v>3</v>
      </c>
      <c r="BF98" t="s">
        <v>3</v>
      </c>
      <c r="BG98" t="s">
        <v>3</v>
      </c>
      <c r="BH98">
        <v>0</v>
      </c>
      <c r="BI98">
        <v>2</v>
      </c>
      <c r="BJ98" t="s">
        <v>303</v>
      </c>
      <c r="BM98">
        <v>108001</v>
      </c>
      <c r="BN98">
        <v>0</v>
      </c>
      <c r="BO98" t="s">
        <v>3</v>
      </c>
      <c r="BP98">
        <v>0</v>
      </c>
      <c r="BQ98">
        <v>3</v>
      </c>
      <c r="BR98">
        <v>0</v>
      </c>
      <c r="BS98">
        <v>6.9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3</v>
      </c>
      <c r="BZ98">
        <v>95</v>
      </c>
      <c r="CA98">
        <v>65</v>
      </c>
      <c r="CF98">
        <v>0</v>
      </c>
      <c r="CG98">
        <v>0</v>
      </c>
      <c r="CM98">
        <v>0</v>
      </c>
      <c r="CN98" t="s">
        <v>3</v>
      </c>
      <c r="CO98">
        <v>0</v>
      </c>
      <c r="CP98">
        <f t="shared" si="106"/>
        <v>1596.44</v>
      </c>
      <c r="CQ98">
        <f t="shared" si="107"/>
        <v>115.851</v>
      </c>
      <c r="CR98">
        <f t="shared" si="108"/>
        <v>0</v>
      </c>
      <c r="CS98">
        <f t="shared" si="109"/>
        <v>0</v>
      </c>
      <c r="CT98">
        <f t="shared" si="110"/>
        <v>962.82600000000002</v>
      </c>
      <c r="CU98">
        <f t="shared" si="111"/>
        <v>0</v>
      </c>
      <c r="CV98">
        <f t="shared" si="112"/>
        <v>15.2</v>
      </c>
      <c r="CW98">
        <f t="shared" si="113"/>
        <v>0</v>
      </c>
      <c r="CX98">
        <f t="shared" si="114"/>
        <v>0</v>
      </c>
      <c r="CY98">
        <f t="shared" si="115"/>
        <v>1353.731</v>
      </c>
      <c r="CZ98">
        <f t="shared" si="116"/>
        <v>926.23699999999997</v>
      </c>
      <c r="DC98" t="s">
        <v>3</v>
      </c>
      <c r="DD98" t="s">
        <v>3</v>
      </c>
      <c r="DE98" t="s">
        <v>3</v>
      </c>
      <c r="DF98" t="s">
        <v>3</v>
      </c>
      <c r="DG98" t="s">
        <v>3</v>
      </c>
      <c r="DH98" t="s">
        <v>3</v>
      </c>
      <c r="DI98" t="s">
        <v>3</v>
      </c>
      <c r="DJ98" t="s">
        <v>3</v>
      </c>
      <c r="DK98" t="s">
        <v>3</v>
      </c>
      <c r="DL98" t="s">
        <v>3</v>
      </c>
      <c r="DM98" t="s">
        <v>3</v>
      </c>
      <c r="DN98">
        <v>0</v>
      </c>
      <c r="DO98">
        <v>0</v>
      </c>
      <c r="DP98">
        <v>1</v>
      </c>
      <c r="DQ98">
        <v>1</v>
      </c>
      <c r="DU98">
        <v>1003</v>
      </c>
      <c r="DV98" t="s">
        <v>44</v>
      </c>
      <c r="DW98" t="s">
        <v>44</v>
      </c>
      <c r="DX98">
        <v>100</v>
      </c>
      <c r="EE98">
        <v>39174386</v>
      </c>
      <c r="EF98">
        <v>3</v>
      </c>
      <c r="EG98" t="s">
        <v>293</v>
      </c>
      <c r="EH98">
        <v>0</v>
      </c>
      <c r="EI98" t="s">
        <v>3</v>
      </c>
      <c r="EJ98">
        <v>2</v>
      </c>
      <c r="EK98">
        <v>108001</v>
      </c>
      <c r="EL98" t="s">
        <v>294</v>
      </c>
      <c r="EM98" t="s">
        <v>295</v>
      </c>
      <c r="EO98" t="s">
        <v>3</v>
      </c>
      <c r="EQ98">
        <v>0</v>
      </c>
      <c r="ER98">
        <v>156.33000000000001</v>
      </c>
      <c r="ES98">
        <v>16.79</v>
      </c>
      <c r="ET98">
        <v>0</v>
      </c>
      <c r="EU98">
        <v>0</v>
      </c>
      <c r="EV98">
        <v>139.54</v>
      </c>
      <c r="EW98">
        <v>15.2</v>
      </c>
      <c r="EX98">
        <v>0</v>
      </c>
      <c r="EY98">
        <v>0</v>
      </c>
      <c r="FQ98">
        <v>0</v>
      </c>
      <c r="FR98">
        <f t="shared" si="117"/>
        <v>0</v>
      </c>
      <c r="FS98">
        <v>0</v>
      </c>
      <c r="FX98">
        <v>95</v>
      </c>
      <c r="FY98">
        <v>65</v>
      </c>
      <c r="GA98" t="s">
        <v>3</v>
      </c>
      <c r="GD98">
        <v>0</v>
      </c>
      <c r="GF98">
        <v>-596386547</v>
      </c>
      <c r="GG98">
        <v>1</v>
      </c>
      <c r="GH98">
        <v>1</v>
      </c>
      <c r="GI98">
        <v>4</v>
      </c>
      <c r="GJ98">
        <v>0</v>
      </c>
      <c r="GK98">
        <f>ROUND(R98*(R12)/100,2)</f>
        <v>0</v>
      </c>
      <c r="GL98">
        <f t="shared" si="118"/>
        <v>0</v>
      </c>
      <c r="GM98">
        <f t="shared" si="119"/>
        <v>3876.41</v>
      </c>
      <c r="GN98">
        <f t="shared" si="120"/>
        <v>0</v>
      </c>
      <c r="GO98">
        <f t="shared" si="121"/>
        <v>3876.41</v>
      </c>
      <c r="GP98">
        <f t="shared" si="122"/>
        <v>0</v>
      </c>
      <c r="GR98">
        <v>0</v>
      </c>
      <c r="GS98">
        <v>3</v>
      </c>
      <c r="GT98">
        <v>0</v>
      </c>
      <c r="GU98" t="s">
        <v>3</v>
      </c>
      <c r="GV98">
        <f t="shared" si="123"/>
        <v>0</v>
      </c>
      <c r="GW98">
        <v>1</v>
      </c>
      <c r="GX98">
        <f t="shared" si="124"/>
        <v>0</v>
      </c>
      <c r="HA98">
        <v>0</v>
      </c>
      <c r="HB98">
        <v>0</v>
      </c>
      <c r="IK98">
        <v>0</v>
      </c>
    </row>
    <row r="99" spans="1:245" x14ac:dyDescent="0.2">
      <c r="A99">
        <v>18</v>
      </c>
      <c r="B99">
        <v>1</v>
      </c>
      <c r="C99">
        <v>215</v>
      </c>
      <c r="E99" t="s">
        <v>304</v>
      </c>
      <c r="F99" t="s">
        <v>305</v>
      </c>
      <c r="G99" t="s">
        <v>306</v>
      </c>
      <c r="H99" t="s">
        <v>307</v>
      </c>
      <c r="I99">
        <f>I98*J99</f>
        <v>14.8</v>
      </c>
      <c r="J99">
        <v>10</v>
      </c>
      <c r="O99">
        <f t="shared" si="92"/>
        <v>2164.94</v>
      </c>
      <c r="P99">
        <f t="shared" si="93"/>
        <v>2164.94</v>
      </c>
      <c r="Q99">
        <f t="shared" si="94"/>
        <v>0</v>
      </c>
      <c r="R99">
        <f t="shared" si="95"/>
        <v>0</v>
      </c>
      <c r="S99">
        <f t="shared" si="96"/>
        <v>0</v>
      </c>
      <c r="T99">
        <f t="shared" si="97"/>
        <v>0</v>
      </c>
      <c r="U99">
        <f t="shared" si="98"/>
        <v>0</v>
      </c>
      <c r="V99">
        <f t="shared" si="99"/>
        <v>0</v>
      </c>
      <c r="W99">
        <f t="shared" si="100"/>
        <v>0</v>
      </c>
      <c r="X99">
        <f t="shared" si="101"/>
        <v>0</v>
      </c>
      <c r="Y99">
        <f t="shared" si="102"/>
        <v>0</v>
      </c>
      <c r="AA99">
        <v>39579451</v>
      </c>
      <c r="AB99">
        <f t="shared" si="103"/>
        <v>21.2</v>
      </c>
      <c r="AC99">
        <f t="shared" si="86"/>
        <v>21.2</v>
      </c>
      <c r="AD99">
        <f t="shared" si="125"/>
        <v>0</v>
      </c>
      <c r="AE99">
        <f t="shared" si="126"/>
        <v>0</v>
      </c>
      <c r="AF99">
        <f t="shared" si="127"/>
        <v>0</v>
      </c>
      <c r="AG99">
        <f t="shared" si="104"/>
        <v>0</v>
      </c>
      <c r="AH99">
        <f t="shared" si="128"/>
        <v>0</v>
      </c>
      <c r="AI99">
        <f t="shared" si="129"/>
        <v>0</v>
      </c>
      <c r="AJ99">
        <f t="shared" si="105"/>
        <v>0</v>
      </c>
      <c r="AK99">
        <v>21.2</v>
      </c>
      <c r="AL99">
        <v>21.2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95</v>
      </c>
      <c r="AU99">
        <v>65</v>
      </c>
      <c r="AV99">
        <v>1</v>
      </c>
      <c r="AW99">
        <v>1</v>
      </c>
      <c r="AZ99">
        <v>6.9</v>
      </c>
      <c r="BA99">
        <v>1</v>
      </c>
      <c r="BB99">
        <v>1</v>
      </c>
      <c r="BC99">
        <v>6.9</v>
      </c>
      <c r="BD99" t="s">
        <v>3</v>
      </c>
      <c r="BE99" t="s">
        <v>3</v>
      </c>
      <c r="BF99" t="s">
        <v>3</v>
      </c>
      <c r="BG99" t="s">
        <v>3</v>
      </c>
      <c r="BH99">
        <v>3</v>
      </c>
      <c r="BI99">
        <v>2</v>
      </c>
      <c r="BJ99" t="s">
        <v>308</v>
      </c>
      <c r="BM99">
        <v>108001</v>
      </c>
      <c r="BN99">
        <v>0</v>
      </c>
      <c r="BO99" t="s">
        <v>3</v>
      </c>
      <c r="BP99">
        <v>0</v>
      </c>
      <c r="BQ99">
        <v>3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3</v>
      </c>
      <c r="BZ99">
        <v>95</v>
      </c>
      <c r="CA99">
        <v>65</v>
      </c>
      <c r="CF99">
        <v>0</v>
      </c>
      <c r="CG99">
        <v>0</v>
      </c>
      <c r="CM99">
        <v>0</v>
      </c>
      <c r="CN99" t="s">
        <v>3</v>
      </c>
      <c r="CO99">
        <v>0</v>
      </c>
      <c r="CP99">
        <f t="shared" si="106"/>
        <v>2164.94</v>
      </c>
      <c r="CQ99">
        <f t="shared" si="107"/>
        <v>146.28</v>
      </c>
      <c r="CR99">
        <f t="shared" si="108"/>
        <v>0</v>
      </c>
      <c r="CS99">
        <f t="shared" si="109"/>
        <v>0</v>
      </c>
      <c r="CT99">
        <f t="shared" si="110"/>
        <v>0</v>
      </c>
      <c r="CU99">
        <f t="shared" si="111"/>
        <v>0</v>
      </c>
      <c r="CV99">
        <f t="shared" si="112"/>
        <v>0</v>
      </c>
      <c r="CW99">
        <f t="shared" si="113"/>
        <v>0</v>
      </c>
      <c r="CX99">
        <f t="shared" si="114"/>
        <v>0</v>
      </c>
      <c r="CY99">
        <f t="shared" si="115"/>
        <v>0</v>
      </c>
      <c r="CZ99">
        <f t="shared" si="116"/>
        <v>0</v>
      </c>
      <c r="DC99" t="s">
        <v>3</v>
      </c>
      <c r="DD99" t="s">
        <v>3</v>
      </c>
      <c r="DE99" t="s">
        <v>3</v>
      </c>
      <c r="DF99" t="s">
        <v>3</v>
      </c>
      <c r="DG99" t="s">
        <v>3</v>
      </c>
      <c r="DH99" t="s">
        <v>3</v>
      </c>
      <c r="DI99" t="s">
        <v>3</v>
      </c>
      <c r="DJ99" t="s">
        <v>3</v>
      </c>
      <c r="DK99" t="s">
        <v>3</v>
      </c>
      <c r="DL99" t="s">
        <v>3</v>
      </c>
      <c r="DM99" t="s">
        <v>3</v>
      </c>
      <c r="DN99">
        <v>0</v>
      </c>
      <c r="DO99">
        <v>0</v>
      </c>
      <c r="DP99">
        <v>1</v>
      </c>
      <c r="DQ99">
        <v>1</v>
      </c>
      <c r="DU99">
        <v>1003</v>
      </c>
      <c r="DV99" t="s">
        <v>307</v>
      </c>
      <c r="DW99" t="s">
        <v>307</v>
      </c>
      <c r="DX99">
        <v>10</v>
      </c>
      <c r="EE99">
        <v>39174386</v>
      </c>
      <c r="EF99">
        <v>3</v>
      </c>
      <c r="EG99" t="s">
        <v>293</v>
      </c>
      <c r="EH99">
        <v>0</v>
      </c>
      <c r="EI99" t="s">
        <v>3</v>
      </c>
      <c r="EJ99">
        <v>2</v>
      </c>
      <c r="EK99">
        <v>108001</v>
      </c>
      <c r="EL99" t="s">
        <v>294</v>
      </c>
      <c r="EM99" t="s">
        <v>295</v>
      </c>
      <c r="EO99" t="s">
        <v>3</v>
      </c>
      <c r="EQ99">
        <v>0</v>
      </c>
      <c r="ER99">
        <v>21.2</v>
      </c>
      <c r="ES99">
        <v>21.2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17"/>
        <v>0</v>
      </c>
      <c r="FS99">
        <v>0</v>
      </c>
      <c r="FX99">
        <v>95</v>
      </c>
      <c r="FY99">
        <v>65</v>
      </c>
      <c r="GA99" t="s">
        <v>3</v>
      </c>
      <c r="GD99">
        <v>0</v>
      </c>
      <c r="GF99">
        <v>-595881781</v>
      </c>
      <c r="GG99">
        <v>1</v>
      </c>
      <c r="GH99">
        <v>1</v>
      </c>
      <c r="GI99">
        <v>4</v>
      </c>
      <c r="GJ99">
        <v>0</v>
      </c>
      <c r="GK99">
        <f>ROUND(R99*(R12)/100,2)</f>
        <v>0</v>
      </c>
      <c r="GL99">
        <f t="shared" si="118"/>
        <v>0</v>
      </c>
      <c r="GM99">
        <f t="shared" si="119"/>
        <v>2164.94</v>
      </c>
      <c r="GN99">
        <f t="shared" si="120"/>
        <v>0</v>
      </c>
      <c r="GO99">
        <f t="shared" si="121"/>
        <v>2164.94</v>
      </c>
      <c r="GP99">
        <f t="shared" si="122"/>
        <v>0</v>
      </c>
      <c r="GR99">
        <v>0</v>
      </c>
      <c r="GS99">
        <v>3</v>
      </c>
      <c r="GT99">
        <v>0</v>
      </c>
      <c r="GU99" t="s">
        <v>3</v>
      </c>
      <c r="GV99">
        <f t="shared" si="123"/>
        <v>0</v>
      </c>
      <c r="GW99">
        <v>1</v>
      </c>
      <c r="GX99">
        <f t="shared" si="124"/>
        <v>0</v>
      </c>
      <c r="HA99">
        <v>0</v>
      </c>
      <c r="HB99">
        <v>0</v>
      </c>
      <c r="IK99">
        <v>0</v>
      </c>
    </row>
    <row r="100" spans="1:245" x14ac:dyDescent="0.2">
      <c r="A100">
        <v>17</v>
      </c>
      <c r="B100">
        <v>1</v>
      </c>
      <c r="C100">
        <f>ROW(SmtRes!A227)</f>
        <v>227</v>
      </c>
      <c r="D100">
        <f>ROW(EtalonRes!A214)</f>
        <v>214</v>
      </c>
      <c r="E100" t="s">
        <v>309</v>
      </c>
      <c r="F100" t="s">
        <v>310</v>
      </c>
      <c r="G100" t="s">
        <v>311</v>
      </c>
      <c r="H100" t="s">
        <v>44</v>
      </c>
      <c r="I100">
        <f>ROUND(128/100,9)</f>
        <v>1.28</v>
      </c>
      <c r="J100">
        <v>0</v>
      </c>
      <c r="O100">
        <f t="shared" si="92"/>
        <v>769.71</v>
      </c>
      <c r="P100">
        <f t="shared" si="93"/>
        <v>200.4</v>
      </c>
      <c r="Q100">
        <f t="shared" si="94"/>
        <v>47.07</v>
      </c>
      <c r="R100">
        <f t="shared" si="95"/>
        <v>6.71</v>
      </c>
      <c r="S100">
        <f t="shared" si="96"/>
        <v>522.24</v>
      </c>
      <c r="T100">
        <f t="shared" si="97"/>
        <v>0</v>
      </c>
      <c r="U100">
        <f t="shared" si="98"/>
        <v>8.0511999999999997</v>
      </c>
      <c r="V100">
        <f t="shared" si="99"/>
        <v>7.6799999999999993E-2</v>
      </c>
      <c r="W100">
        <f t="shared" si="100"/>
        <v>0</v>
      </c>
      <c r="X100">
        <f t="shared" si="101"/>
        <v>502.5</v>
      </c>
      <c r="Y100">
        <f t="shared" si="102"/>
        <v>343.82</v>
      </c>
      <c r="AA100">
        <v>39579451</v>
      </c>
      <c r="AB100">
        <f t="shared" si="103"/>
        <v>87.15</v>
      </c>
      <c r="AC100">
        <f t="shared" si="86"/>
        <v>22.69</v>
      </c>
      <c r="AD100">
        <f t="shared" si="125"/>
        <v>5.33</v>
      </c>
      <c r="AE100">
        <f t="shared" si="126"/>
        <v>0.76</v>
      </c>
      <c r="AF100">
        <f t="shared" si="127"/>
        <v>59.13</v>
      </c>
      <c r="AG100">
        <f t="shared" si="104"/>
        <v>0</v>
      </c>
      <c r="AH100">
        <f t="shared" si="128"/>
        <v>6.29</v>
      </c>
      <c r="AI100">
        <f t="shared" si="129"/>
        <v>0.06</v>
      </c>
      <c r="AJ100">
        <f t="shared" si="105"/>
        <v>0</v>
      </c>
      <c r="AK100">
        <v>87.15</v>
      </c>
      <c r="AL100">
        <v>22.69</v>
      </c>
      <c r="AM100">
        <v>5.33</v>
      </c>
      <c r="AN100">
        <v>0.76</v>
      </c>
      <c r="AO100">
        <v>59.13</v>
      </c>
      <c r="AP100">
        <v>0</v>
      </c>
      <c r="AQ100">
        <v>6.29</v>
      </c>
      <c r="AR100">
        <v>0.06</v>
      </c>
      <c r="AS100">
        <v>0</v>
      </c>
      <c r="AT100">
        <v>95</v>
      </c>
      <c r="AU100">
        <v>65</v>
      </c>
      <c r="AV100">
        <v>1</v>
      </c>
      <c r="AW100">
        <v>1</v>
      </c>
      <c r="AZ100">
        <v>6.9</v>
      </c>
      <c r="BA100">
        <v>6.9</v>
      </c>
      <c r="BB100">
        <v>6.9</v>
      </c>
      <c r="BC100">
        <v>6.9</v>
      </c>
      <c r="BD100" t="s">
        <v>3</v>
      </c>
      <c r="BE100" t="s">
        <v>3</v>
      </c>
      <c r="BF100" t="s">
        <v>3</v>
      </c>
      <c r="BG100" t="s">
        <v>3</v>
      </c>
      <c r="BH100">
        <v>0</v>
      </c>
      <c r="BI100">
        <v>2</v>
      </c>
      <c r="BJ100" t="s">
        <v>312</v>
      </c>
      <c r="BM100">
        <v>108001</v>
      </c>
      <c r="BN100">
        <v>0</v>
      </c>
      <c r="BO100" t="s">
        <v>3</v>
      </c>
      <c r="BP100">
        <v>0</v>
      </c>
      <c r="BQ100">
        <v>3</v>
      </c>
      <c r="BR100">
        <v>0</v>
      </c>
      <c r="BS100">
        <v>6.9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3</v>
      </c>
      <c r="BZ100">
        <v>95</v>
      </c>
      <c r="CA100">
        <v>65</v>
      </c>
      <c r="CF100">
        <v>0</v>
      </c>
      <c r="CG100">
        <v>0</v>
      </c>
      <c r="CM100">
        <v>0</v>
      </c>
      <c r="CN100" t="s">
        <v>3</v>
      </c>
      <c r="CO100">
        <v>0</v>
      </c>
      <c r="CP100">
        <f t="shared" si="106"/>
        <v>769.71</v>
      </c>
      <c r="CQ100">
        <f t="shared" si="107"/>
        <v>156.56100000000001</v>
      </c>
      <c r="CR100">
        <f t="shared" si="108"/>
        <v>36.777000000000001</v>
      </c>
      <c r="CS100">
        <f t="shared" si="109"/>
        <v>5.2440000000000007</v>
      </c>
      <c r="CT100">
        <f t="shared" si="110"/>
        <v>407.99700000000001</v>
      </c>
      <c r="CU100">
        <f t="shared" si="111"/>
        <v>0</v>
      </c>
      <c r="CV100">
        <f t="shared" si="112"/>
        <v>6.29</v>
      </c>
      <c r="CW100">
        <f t="shared" si="113"/>
        <v>0.06</v>
      </c>
      <c r="CX100">
        <f t="shared" si="114"/>
        <v>0</v>
      </c>
      <c r="CY100">
        <f t="shared" si="115"/>
        <v>502.50250000000005</v>
      </c>
      <c r="CZ100">
        <f t="shared" si="116"/>
        <v>343.8175</v>
      </c>
      <c r="DC100" t="s">
        <v>3</v>
      </c>
      <c r="DD100" t="s">
        <v>3</v>
      </c>
      <c r="DE100" t="s">
        <v>3</v>
      </c>
      <c r="DF100" t="s">
        <v>3</v>
      </c>
      <c r="DG100" t="s">
        <v>3</v>
      </c>
      <c r="DH100" t="s">
        <v>3</v>
      </c>
      <c r="DI100" t="s">
        <v>3</v>
      </c>
      <c r="DJ100" t="s">
        <v>3</v>
      </c>
      <c r="DK100" t="s">
        <v>3</v>
      </c>
      <c r="DL100" t="s">
        <v>3</v>
      </c>
      <c r="DM100" t="s">
        <v>3</v>
      </c>
      <c r="DN100">
        <v>0</v>
      </c>
      <c r="DO100">
        <v>0</v>
      </c>
      <c r="DP100">
        <v>1</v>
      </c>
      <c r="DQ100">
        <v>1</v>
      </c>
      <c r="DU100">
        <v>1003</v>
      </c>
      <c r="DV100" t="s">
        <v>44</v>
      </c>
      <c r="DW100" t="s">
        <v>44</v>
      </c>
      <c r="DX100">
        <v>100</v>
      </c>
      <c r="EE100">
        <v>39174386</v>
      </c>
      <c r="EF100">
        <v>3</v>
      </c>
      <c r="EG100" t="s">
        <v>293</v>
      </c>
      <c r="EH100">
        <v>0</v>
      </c>
      <c r="EI100" t="s">
        <v>3</v>
      </c>
      <c r="EJ100">
        <v>2</v>
      </c>
      <c r="EK100">
        <v>108001</v>
      </c>
      <c r="EL100" t="s">
        <v>294</v>
      </c>
      <c r="EM100" t="s">
        <v>295</v>
      </c>
      <c r="EO100" t="s">
        <v>3</v>
      </c>
      <c r="EQ100">
        <v>0</v>
      </c>
      <c r="ER100">
        <v>87.15</v>
      </c>
      <c r="ES100">
        <v>22.69</v>
      </c>
      <c r="ET100">
        <v>5.33</v>
      </c>
      <c r="EU100">
        <v>0.76</v>
      </c>
      <c r="EV100">
        <v>59.13</v>
      </c>
      <c r="EW100">
        <v>6.29</v>
      </c>
      <c r="EX100">
        <v>0.06</v>
      </c>
      <c r="EY100">
        <v>0</v>
      </c>
      <c r="FQ100">
        <v>0</v>
      </c>
      <c r="FR100">
        <f t="shared" si="117"/>
        <v>0</v>
      </c>
      <c r="FS100">
        <v>0</v>
      </c>
      <c r="FX100">
        <v>95</v>
      </c>
      <c r="FY100">
        <v>65</v>
      </c>
      <c r="GA100" t="s">
        <v>3</v>
      </c>
      <c r="GD100">
        <v>0</v>
      </c>
      <c r="GF100">
        <v>1667817228</v>
      </c>
      <c r="GG100">
        <v>1</v>
      </c>
      <c r="GH100">
        <v>1</v>
      </c>
      <c r="GI100">
        <v>4</v>
      </c>
      <c r="GJ100">
        <v>0</v>
      </c>
      <c r="GK100">
        <f>ROUND(R100*(R12)/100,2)</f>
        <v>0</v>
      </c>
      <c r="GL100">
        <f t="shared" si="118"/>
        <v>0</v>
      </c>
      <c r="GM100">
        <f t="shared" si="119"/>
        <v>1616.03</v>
      </c>
      <c r="GN100">
        <f t="shared" si="120"/>
        <v>0</v>
      </c>
      <c r="GO100">
        <f t="shared" si="121"/>
        <v>1616.03</v>
      </c>
      <c r="GP100">
        <f t="shared" si="122"/>
        <v>0</v>
      </c>
      <c r="GR100">
        <v>0</v>
      </c>
      <c r="GS100">
        <v>3</v>
      </c>
      <c r="GT100">
        <v>0</v>
      </c>
      <c r="GU100" t="s">
        <v>3</v>
      </c>
      <c r="GV100">
        <f t="shared" si="123"/>
        <v>0</v>
      </c>
      <c r="GW100">
        <v>1</v>
      </c>
      <c r="GX100">
        <f t="shared" si="124"/>
        <v>0</v>
      </c>
      <c r="HA100">
        <v>0</v>
      </c>
      <c r="HB100">
        <v>0</v>
      </c>
      <c r="IK100">
        <v>0</v>
      </c>
    </row>
    <row r="101" spans="1:245" x14ac:dyDescent="0.2">
      <c r="A101">
        <v>18</v>
      </c>
      <c r="B101">
        <v>1</v>
      </c>
      <c r="C101">
        <v>226</v>
      </c>
      <c r="E101" t="s">
        <v>313</v>
      </c>
      <c r="F101" t="s">
        <v>314</v>
      </c>
      <c r="G101" t="s">
        <v>315</v>
      </c>
      <c r="H101" t="s">
        <v>316</v>
      </c>
      <c r="I101">
        <f>I100*J101</f>
        <v>0.128</v>
      </c>
      <c r="J101">
        <v>0.1</v>
      </c>
      <c r="O101">
        <f t="shared" si="92"/>
        <v>4251.74</v>
      </c>
      <c r="P101">
        <f t="shared" si="93"/>
        <v>4251.74</v>
      </c>
      <c r="Q101">
        <f t="shared" si="94"/>
        <v>0</v>
      </c>
      <c r="R101">
        <f t="shared" si="95"/>
        <v>0</v>
      </c>
      <c r="S101">
        <f t="shared" si="96"/>
        <v>0</v>
      </c>
      <c r="T101">
        <f t="shared" si="97"/>
        <v>0</v>
      </c>
      <c r="U101">
        <f t="shared" si="98"/>
        <v>0</v>
      </c>
      <c r="V101">
        <f t="shared" si="99"/>
        <v>0</v>
      </c>
      <c r="W101">
        <f t="shared" si="100"/>
        <v>0</v>
      </c>
      <c r="X101">
        <f t="shared" si="101"/>
        <v>0</v>
      </c>
      <c r="Y101">
        <f t="shared" si="102"/>
        <v>0</v>
      </c>
      <c r="AA101">
        <v>39579451</v>
      </c>
      <c r="AB101">
        <f t="shared" si="103"/>
        <v>4814.0200000000004</v>
      </c>
      <c r="AC101">
        <f t="shared" si="86"/>
        <v>4814.0200000000004</v>
      </c>
      <c r="AD101">
        <f t="shared" si="125"/>
        <v>0</v>
      </c>
      <c r="AE101">
        <f t="shared" si="126"/>
        <v>0</v>
      </c>
      <c r="AF101">
        <f t="shared" si="127"/>
        <v>0</v>
      </c>
      <c r="AG101">
        <f t="shared" si="104"/>
        <v>0</v>
      </c>
      <c r="AH101">
        <f t="shared" si="128"/>
        <v>0</v>
      </c>
      <c r="AI101">
        <f t="shared" si="129"/>
        <v>0</v>
      </c>
      <c r="AJ101">
        <f t="shared" si="105"/>
        <v>0</v>
      </c>
      <c r="AK101">
        <v>4814.0200000000004</v>
      </c>
      <c r="AL101">
        <v>4814.0200000000004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95</v>
      </c>
      <c r="AU101">
        <v>65</v>
      </c>
      <c r="AV101">
        <v>1</v>
      </c>
      <c r="AW101">
        <v>1</v>
      </c>
      <c r="AZ101">
        <v>6.9</v>
      </c>
      <c r="BA101">
        <v>1</v>
      </c>
      <c r="BB101">
        <v>1</v>
      </c>
      <c r="BC101">
        <v>6.9</v>
      </c>
      <c r="BD101" t="s">
        <v>3</v>
      </c>
      <c r="BE101" t="s">
        <v>3</v>
      </c>
      <c r="BF101" t="s">
        <v>3</v>
      </c>
      <c r="BG101" t="s">
        <v>3</v>
      </c>
      <c r="BH101">
        <v>3</v>
      </c>
      <c r="BI101">
        <v>2</v>
      </c>
      <c r="BJ101" t="s">
        <v>317</v>
      </c>
      <c r="BM101">
        <v>108001</v>
      </c>
      <c r="BN101">
        <v>0</v>
      </c>
      <c r="BO101" t="s">
        <v>3</v>
      </c>
      <c r="BP101">
        <v>0</v>
      </c>
      <c r="BQ101">
        <v>3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95</v>
      </c>
      <c r="CA101">
        <v>65</v>
      </c>
      <c r="CF101">
        <v>0</v>
      </c>
      <c r="CG101">
        <v>0</v>
      </c>
      <c r="CM101">
        <v>0</v>
      </c>
      <c r="CN101" t="s">
        <v>3</v>
      </c>
      <c r="CO101">
        <v>0</v>
      </c>
      <c r="CP101">
        <f t="shared" si="106"/>
        <v>4251.74</v>
      </c>
      <c r="CQ101">
        <f t="shared" si="107"/>
        <v>33216.738000000005</v>
      </c>
      <c r="CR101">
        <f t="shared" si="108"/>
        <v>0</v>
      </c>
      <c r="CS101">
        <f t="shared" si="109"/>
        <v>0</v>
      </c>
      <c r="CT101">
        <f t="shared" si="110"/>
        <v>0</v>
      </c>
      <c r="CU101">
        <f t="shared" si="111"/>
        <v>0</v>
      </c>
      <c r="CV101">
        <f t="shared" si="112"/>
        <v>0</v>
      </c>
      <c r="CW101">
        <f t="shared" si="113"/>
        <v>0</v>
      </c>
      <c r="CX101">
        <f t="shared" si="114"/>
        <v>0</v>
      </c>
      <c r="CY101">
        <f t="shared" si="115"/>
        <v>0</v>
      </c>
      <c r="CZ101">
        <f t="shared" si="116"/>
        <v>0</v>
      </c>
      <c r="DC101" t="s">
        <v>3</v>
      </c>
      <c r="DD101" t="s">
        <v>3</v>
      </c>
      <c r="DE101" t="s">
        <v>3</v>
      </c>
      <c r="DF101" t="s">
        <v>3</v>
      </c>
      <c r="DG101" t="s">
        <v>3</v>
      </c>
      <c r="DH101" t="s">
        <v>3</v>
      </c>
      <c r="DI101" t="s">
        <v>3</v>
      </c>
      <c r="DJ101" t="s">
        <v>3</v>
      </c>
      <c r="DK101" t="s">
        <v>3</v>
      </c>
      <c r="DL101" t="s">
        <v>3</v>
      </c>
      <c r="DM101" t="s">
        <v>3</v>
      </c>
      <c r="DN101">
        <v>0</v>
      </c>
      <c r="DO101">
        <v>0</v>
      </c>
      <c r="DP101">
        <v>1</v>
      </c>
      <c r="DQ101">
        <v>1</v>
      </c>
      <c r="DU101">
        <v>1013</v>
      </c>
      <c r="DV101" t="s">
        <v>316</v>
      </c>
      <c r="DW101" t="s">
        <v>318</v>
      </c>
      <c r="DX101">
        <v>1</v>
      </c>
      <c r="EE101">
        <v>39174386</v>
      </c>
      <c r="EF101">
        <v>3</v>
      </c>
      <c r="EG101" t="s">
        <v>293</v>
      </c>
      <c r="EH101">
        <v>0</v>
      </c>
      <c r="EI101" t="s">
        <v>3</v>
      </c>
      <c r="EJ101">
        <v>2</v>
      </c>
      <c r="EK101">
        <v>108001</v>
      </c>
      <c r="EL101" t="s">
        <v>294</v>
      </c>
      <c r="EM101" t="s">
        <v>295</v>
      </c>
      <c r="EO101" t="s">
        <v>3</v>
      </c>
      <c r="EQ101">
        <v>0</v>
      </c>
      <c r="ER101">
        <v>4814.0200000000004</v>
      </c>
      <c r="ES101">
        <v>4814.0200000000004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17"/>
        <v>0</v>
      </c>
      <c r="FS101">
        <v>0</v>
      </c>
      <c r="FX101">
        <v>95</v>
      </c>
      <c r="FY101">
        <v>65</v>
      </c>
      <c r="GA101" t="s">
        <v>3</v>
      </c>
      <c r="GD101">
        <v>0</v>
      </c>
      <c r="GF101">
        <v>-329874626</v>
      </c>
      <c r="GG101">
        <v>1</v>
      </c>
      <c r="GH101">
        <v>1</v>
      </c>
      <c r="GI101">
        <v>4</v>
      </c>
      <c r="GJ101">
        <v>0</v>
      </c>
      <c r="GK101">
        <f>ROUND(R101*(R12)/100,2)</f>
        <v>0</v>
      </c>
      <c r="GL101">
        <f t="shared" si="118"/>
        <v>0</v>
      </c>
      <c r="GM101">
        <f t="shared" si="119"/>
        <v>4251.74</v>
      </c>
      <c r="GN101">
        <f t="shared" si="120"/>
        <v>0</v>
      </c>
      <c r="GO101">
        <f t="shared" si="121"/>
        <v>4251.74</v>
      </c>
      <c r="GP101">
        <f t="shared" si="122"/>
        <v>0</v>
      </c>
      <c r="GR101">
        <v>0</v>
      </c>
      <c r="GS101">
        <v>3</v>
      </c>
      <c r="GT101">
        <v>0</v>
      </c>
      <c r="GU101" t="s">
        <v>3</v>
      </c>
      <c r="GV101">
        <f t="shared" si="123"/>
        <v>0</v>
      </c>
      <c r="GW101">
        <v>1</v>
      </c>
      <c r="GX101">
        <f t="shared" si="124"/>
        <v>0</v>
      </c>
      <c r="HA101">
        <v>0</v>
      </c>
      <c r="HB101">
        <v>0</v>
      </c>
      <c r="IK101">
        <v>0</v>
      </c>
    </row>
    <row r="102" spans="1:245" x14ac:dyDescent="0.2">
      <c r="A102">
        <v>17</v>
      </c>
      <c r="B102">
        <v>1</v>
      </c>
      <c r="C102">
        <f>ROW(SmtRes!A238)</f>
        <v>238</v>
      </c>
      <c r="D102">
        <f>ROW(EtalonRes!A224)</f>
        <v>224</v>
      </c>
      <c r="E102" t="s">
        <v>319</v>
      </c>
      <c r="F102" t="s">
        <v>320</v>
      </c>
      <c r="G102" t="s">
        <v>321</v>
      </c>
      <c r="H102" t="s">
        <v>44</v>
      </c>
      <c r="I102">
        <f>ROUND(20/100,9)</f>
        <v>0.2</v>
      </c>
      <c r="J102">
        <v>0</v>
      </c>
      <c r="O102">
        <f t="shared" si="92"/>
        <v>94.8</v>
      </c>
      <c r="P102">
        <f t="shared" si="93"/>
        <v>19.98</v>
      </c>
      <c r="Q102">
        <f t="shared" si="94"/>
        <v>4.9000000000000004</v>
      </c>
      <c r="R102">
        <f t="shared" si="95"/>
        <v>0.69</v>
      </c>
      <c r="S102">
        <f t="shared" si="96"/>
        <v>69.92</v>
      </c>
      <c r="T102">
        <f t="shared" si="97"/>
        <v>0</v>
      </c>
      <c r="U102">
        <f t="shared" si="98"/>
        <v>1.0780000000000001</v>
      </c>
      <c r="V102">
        <f t="shared" si="99"/>
        <v>8.0000000000000002E-3</v>
      </c>
      <c r="W102">
        <f t="shared" si="100"/>
        <v>0</v>
      </c>
      <c r="X102">
        <f t="shared" si="101"/>
        <v>67.08</v>
      </c>
      <c r="Y102">
        <f t="shared" si="102"/>
        <v>45.9</v>
      </c>
      <c r="AA102">
        <v>39579451</v>
      </c>
      <c r="AB102">
        <f t="shared" si="103"/>
        <v>68.7</v>
      </c>
      <c r="AC102">
        <f t="shared" si="86"/>
        <v>14.48</v>
      </c>
      <c r="AD102">
        <f t="shared" si="125"/>
        <v>3.55</v>
      </c>
      <c r="AE102">
        <f t="shared" si="126"/>
        <v>0.5</v>
      </c>
      <c r="AF102">
        <f t="shared" si="127"/>
        <v>50.67</v>
      </c>
      <c r="AG102">
        <f t="shared" si="104"/>
        <v>0</v>
      </c>
      <c r="AH102">
        <f t="shared" si="128"/>
        <v>5.39</v>
      </c>
      <c r="AI102">
        <f t="shared" si="129"/>
        <v>0.04</v>
      </c>
      <c r="AJ102">
        <f t="shared" si="105"/>
        <v>0</v>
      </c>
      <c r="AK102">
        <v>68.7</v>
      </c>
      <c r="AL102">
        <v>14.48</v>
      </c>
      <c r="AM102">
        <v>3.55</v>
      </c>
      <c r="AN102">
        <v>0.5</v>
      </c>
      <c r="AO102">
        <v>50.67</v>
      </c>
      <c r="AP102">
        <v>0</v>
      </c>
      <c r="AQ102">
        <v>5.39</v>
      </c>
      <c r="AR102">
        <v>0.04</v>
      </c>
      <c r="AS102">
        <v>0</v>
      </c>
      <c r="AT102">
        <v>95</v>
      </c>
      <c r="AU102">
        <v>65</v>
      </c>
      <c r="AV102">
        <v>1</v>
      </c>
      <c r="AW102">
        <v>1</v>
      </c>
      <c r="AZ102">
        <v>6.9</v>
      </c>
      <c r="BA102">
        <v>6.9</v>
      </c>
      <c r="BB102">
        <v>6.9</v>
      </c>
      <c r="BC102">
        <v>6.9</v>
      </c>
      <c r="BD102" t="s">
        <v>3</v>
      </c>
      <c r="BE102" t="s">
        <v>3</v>
      </c>
      <c r="BF102" t="s">
        <v>3</v>
      </c>
      <c r="BG102" t="s">
        <v>3</v>
      </c>
      <c r="BH102">
        <v>0</v>
      </c>
      <c r="BI102">
        <v>2</v>
      </c>
      <c r="BJ102" t="s">
        <v>322</v>
      </c>
      <c r="BM102">
        <v>108001</v>
      </c>
      <c r="BN102">
        <v>0</v>
      </c>
      <c r="BO102" t="s">
        <v>3</v>
      </c>
      <c r="BP102">
        <v>0</v>
      </c>
      <c r="BQ102">
        <v>3</v>
      </c>
      <c r="BR102">
        <v>0</v>
      </c>
      <c r="BS102">
        <v>6.9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3</v>
      </c>
      <c r="BZ102">
        <v>95</v>
      </c>
      <c r="CA102">
        <v>65</v>
      </c>
      <c r="CF102">
        <v>0</v>
      </c>
      <c r="CG102">
        <v>0</v>
      </c>
      <c r="CM102">
        <v>0</v>
      </c>
      <c r="CN102" t="s">
        <v>3</v>
      </c>
      <c r="CO102">
        <v>0</v>
      </c>
      <c r="CP102">
        <f t="shared" si="106"/>
        <v>94.800000000000011</v>
      </c>
      <c r="CQ102">
        <f t="shared" si="107"/>
        <v>99.912000000000006</v>
      </c>
      <c r="CR102">
        <f t="shared" si="108"/>
        <v>24.495000000000001</v>
      </c>
      <c r="CS102">
        <f t="shared" si="109"/>
        <v>3.45</v>
      </c>
      <c r="CT102">
        <f t="shared" si="110"/>
        <v>349.62300000000005</v>
      </c>
      <c r="CU102">
        <f t="shared" si="111"/>
        <v>0</v>
      </c>
      <c r="CV102">
        <f t="shared" si="112"/>
        <v>5.39</v>
      </c>
      <c r="CW102">
        <f t="shared" si="113"/>
        <v>0.04</v>
      </c>
      <c r="CX102">
        <f t="shared" si="114"/>
        <v>0</v>
      </c>
      <c r="CY102">
        <f t="shared" si="115"/>
        <v>67.079499999999996</v>
      </c>
      <c r="CZ102">
        <f t="shared" si="116"/>
        <v>45.896499999999996</v>
      </c>
      <c r="DC102" t="s">
        <v>3</v>
      </c>
      <c r="DD102" t="s">
        <v>3</v>
      </c>
      <c r="DE102" t="s">
        <v>3</v>
      </c>
      <c r="DF102" t="s">
        <v>3</v>
      </c>
      <c r="DG102" t="s">
        <v>3</v>
      </c>
      <c r="DH102" t="s">
        <v>3</v>
      </c>
      <c r="DI102" t="s">
        <v>3</v>
      </c>
      <c r="DJ102" t="s">
        <v>3</v>
      </c>
      <c r="DK102" t="s">
        <v>3</v>
      </c>
      <c r="DL102" t="s">
        <v>3</v>
      </c>
      <c r="DM102" t="s">
        <v>3</v>
      </c>
      <c r="DN102">
        <v>0</v>
      </c>
      <c r="DO102">
        <v>0</v>
      </c>
      <c r="DP102">
        <v>1</v>
      </c>
      <c r="DQ102">
        <v>1</v>
      </c>
      <c r="DU102">
        <v>1003</v>
      </c>
      <c r="DV102" t="s">
        <v>44</v>
      </c>
      <c r="DW102" t="s">
        <v>44</v>
      </c>
      <c r="DX102">
        <v>100</v>
      </c>
      <c r="EE102">
        <v>39174386</v>
      </c>
      <c r="EF102">
        <v>3</v>
      </c>
      <c r="EG102" t="s">
        <v>293</v>
      </c>
      <c r="EH102">
        <v>0</v>
      </c>
      <c r="EI102" t="s">
        <v>3</v>
      </c>
      <c r="EJ102">
        <v>2</v>
      </c>
      <c r="EK102">
        <v>108001</v>
      </c>
      <c r="EL102" t="s">
        <v>294</v>
      </c>
      <c r="EM102" t="s">
        <v>295</v>
      </c>
      <c r="EO102" t="s">
        <v>3</v>
      </c>
      <c r="EQ102">
        <v>0</v>
      </c>
      <c r="ER102">
        <v>68.7</v>
      </c>
      <c r="ES102">
        <v>14.48</v>
      </c>
      <c r="ET102">
        <v>3.55</v>
      </c>
      <c r="EU102">
        <v>0.5</v>
      </c>
      <c r="EV102">
        <v>50.67</v>
      </c>
      <c r="EW102">
        <v>5.39</v>
      </c>
      <c r="EX102">
        <v>0.04</v>
      </c>
      <c r="EY102">
        <v>0</v>
      </c>
      <c r="FQ102">
        <v>0</v>
      </c>
      <c r="FR102">
        <f t="shared" si="117"/>
        <v>0</v>
      </c>
      <c r="FS102">
        <v>0</v>
      </c>
      <c r="FX102">
        <v>95</v>
      </c>
      <c r="FY102">
        <v>65</v>
      </c>
      <c r="GA102" t="s">
        <v>3</v>
      </c>
      <c r="GD102">
        <v>0</v>
      </c>
      <c r="GF102">
        <v>-1215790049</v>
      </c>
      <c r="GG102">
        <v>1</v>
      </c>
      <c r="GH102">
        <v>1</v>
      </c>
      <c r="GI102">
        <v>4</v>
      </c>
      <c r="GJ102">
        <v>0</v>
      </c>
      <c r="GK102">
        <f>ROUND(R102*(R12)/100,2)</f>
        <v>0</v>
      </c>
      <c r="GL102">
        <f t="shared" si="118"/>
        <v>0</v>
      </c>
      <c r="GM102">
        <f t="shared" si="119"/>
        <v>207.78</v>
      </c>
      <c r="GN102">
        <f t="shared" si="120"/>
        <v>0</v>
      </c>
      <c r="GO102">
        <f t="shared" si="121"/>
        <v>207.78</v>
      </c>
      <c r="GP102">
        <f t="shared" si="122"/>
        <v>0</v>
      </c>
      <c r="GR102">
        <v>0</v>
      </c>
      <c r="GS102">
        <v>3</v>
      </c>
      <c r="GT102">
        <v>0</v>
      </c>
      <c r="GU102" t="s">
        <v>3</v>
      </c>
      <c r="GV102">
        <f t="shared" si="123"/>
        <v>0</v>
      </c>
      <c r="GW102">
        <v>1</v>
      </c>
      <c r="GX102">
        <f t="shared" si="124"/>
        <v>0</v>
      </c>
      <c r="HA102">
        <v>0</v>
      </c>
      <c r="HB102">
        <v>0</v>
      </c>
      <c r="IK102">
        <v>0</v>
      </c>
    </row>
    <row r="103" spans="1:245" x14ac:dyDescent="0.2">
      <c r="A103">
        <v>18</v>
      </c>
      <c r="B103">
        <v>1</v>
      </c>
      <c r="C103">
        <v>237</v>
      </c>
      <c r="E103" t="s">
        <v>323</v>
      </c>
      <c r="F103" t="s">
        <v>324</v>
      </c>
      <c r="G103" t="s">
        <v>325</v>
      </c>
      <c r="H103" t="s">
        <v>316</v>
      </c>
      <c r="I103">
        <f>I102*J103</f>
        <v>0.02</v>
      </c>
      <c r="J103">
        <v>9.9999999999999992E-2</v>
      </c>
      <c r="O103">
        <f t="shared" si="92"/>
        <v>419.06</v>
      </c>
      <c r="P103">
        <f t="shared" si="93"/>
        <v>419.06</v>
      </c>
      <c r="Q103">
        <f t="shared" si="94"/>
        <v>0</v>
      </c>
      <c r="R103">
        <f t="shared" si="95"/>
        <v>0</v>
      </c>
      <c r="S103">
        <f t="shared" si="96"/>
        <v>0</v>
      </c>
      <c r="T103">
        <f t="shared" si="97"/>
        <v>0</v>
      </c>
      <c r="U103">
        <f t="shared" si="98"/>
        <v>0</v>
      </c>
      <c r="V103">
        <f t="shared" si="99"/>
        <v>0</v>
      </c>
      <c r="W103">
        <f t="shared" si="100"/>
        <v>0</v>
      </c>
      <c r="X103">
        <f t="shared" si="101"/>
        <v>0</v>
      </c>
      <c r="Y103">
        <f t="shared" si="102"/>
        <v>0</v>
      </c>
      <c r="AA103">
        <v>39579451</v>
      </c>
      <c r="AB103">
        <f t="shared" si="103"/>
        <v>3036.7</v>
      </c>
      <c r="AC103">
        <f t="shared" ref="AC103:AC116" si="130">ROUND((ES103),2)</f>
        <v>3036.7</v>
      </c>
      <c r="AD103">
        <f t="shared" si="125"/>
        <v>0</v>
      </c>
      <c r="AE103">
        <f t="shared" si="126"/>
        <v>0</v>
      </c>
      <c r="AF103">
        <f t="shared" si="127"/>
        <v>0</v>
      </c>
      <c r="AG103">
        <f t="shared" si="104"/>
        <v>0</v>
      </c>
      <c r="AH103">
        <f t="shared" si="128"/>
        <v>0</v>
      </c>
      <c r="AI103">
        <f t="shared" si="129"/>
        <v>0</v>
      </c>
      <c r="AJ103">
        <f t="shared" si="105"/>
        <v>0</v>
      </c>
      <c r="AK103">
        <v>3036.7</v>
      </c>
      <c r="AL103">
        <v>3036.7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95</v>
      </c>
      <c r="AU103">
        <v>65</v>
      </c>
      <c r="AV103">
        <v>1</v>
      </c>
      <c r="AW103">
        <v>1</v>
      </c>
      <c r="AZ103">
        <v>6.9</v>
      </c>
      <c r="BA103">
        <v>1</v>
      </c>
      <c r="BB103">
        <v>1</v>
      </c>
      <c r="BC103">
        <v>6.9</v>
      </c>
      <c r="BD103" t="s">
        <v>3</v>
      </c>
      <c r="BE103" t="s">
        <v>3</v>
      </c>
      <c r="BF103" t="s">
        <v>3</v>
      </c>
      <c r="BG103" t="s">
        <v>3</v>
      </c>
      <c r="BH103">
        <v>3</v>
      </c>
      <c r="BI103">
        <v>2</v>
      </c>
      <c r="BJ103" t="s">
        <v>326</v>
      </c>
      <c r="BM103">
        <v>108001</v>
      </c>
      <c r="BN103">
        <v>0</v>
      </c>
      <c r="BO103" t="s">
        <v>3</v>
      </c>
      <c r="BP103">
        <v>0</v>
      </c>
      <c r="BQ103">
        <v>3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95</v>
      </c>
      <c r="CA103">
        <v>65</v>
      </c>
      <c r="CF103">
        <v>0</v>
      </c>
      <c r="CG103">
        <v>0</v>
      </c>
      <c r="CM103">
        <v>0</v>
      </c>
      <c r="CN103" t="s">
        <v>3</v>
      </c>
      <c r="CO103">
        <v>0</v>
      </c>
      <c r="CP103">
        <f t="shared" si="106"/>
        <v>419.06</v>
      </c>
      <c r="CQ103">
        <f t="shared" si="107"/>
        <v>20953.23</v>
      </c>
      <c r="CR103">
        <f t="shared" si="108"/>
        <v>0</v>
      </c>
      <c r="CS103">
        <f t="shared" si="109"/>
        <v>0</v>
      </c>
      <c r="CT103">
        <f t="shared" si="110"/>
        <v>0</v>
      </c>
      <c r="CU103">
        <f t="shared" si="111"/>
        <v>0</v>
      </c>
      <c r="CV103">
        <f t="shared" si="112"/>
        <v>0</v>
      </c>
      <c r="CW103">
        <f t="shared" si="113"/>
        <v>0</v>
      </c>
      <c r="CX103">
        <f t="shared" si="114"/>
        <v>0</v>
      </c>
      <c r="CY103">
        <f t="shared" si="115"/>
        <v>0</v>
      </c>
      <c r="CZ103">
        <f t="shared" si="116"/>
        <v>0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0</v>
      </c>
      <c r="DO103">
        <v>0</v>
      </c>
      <c r="DP103">
        <v>1</v>
      </c>
      <c r="DQ103">
        <v>1</v>
      </c>
      <c r="DU103">
        <v>1013</v>
      </c>
      <c r="DV103" t="s">
        <v>316</v>
      </c>
      <c r="DW103" t="s">
        <v>318</v>
      </c>
      <c r="DX103">
        <v>1</v>
      </c>
      <c r="EE103">
        <v>39174386</v>
      </c>
      <c r="EF103">
        <v>3</v>
      </c>
      <c r="EG103" t="s">
        <v>293</v>
      </c>
      <c r="EH103">
        <v>0</v>
      </c>
      <c r="EI103" t="s">
        <v>3</v>
      </c>
      <c r="EJ103">
        <v>2</v>
      </c>
      <c r="EK103">
        <v>108001</v>
      </c>
      <c r="EL103" t="s">
        <v>294</v>
      </c>
      <c r="EM103" t="s">
        <v>295</v>
      </c>
      <c r="EO103" t="s">
        <v>3</v>
      </c>
      <c r="EQ103">
        <v>0</v>
      </c>
      <c r="ER103">
        <v>3036.7</v>
      </c>
      <c r="ES103">
        <v>3036.7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17"/>
        <v>0</v>
      </c>
      <c r="FS103">
        <v>0</v>
      </c>
      <c r="FX103">
        <v>95</v>
      </c>
      <c r="FY103">
        <v>65</v>
      </c>
      <c r="GA103" t="s">
        <v>3</v>
      </c>
      <c r="GD103">
        <v>0</v>
      </c>
      <c r="GF103">
        <v>194647264</v>
      </c>
      <c r="GG103">
        <v>1</v>
      </c>
      <c r="GH103">
        <v>1</v>
      </c>
      <c r="GI103">
        <v>4</v>
      </c>
      <c r="GJ103">
        <v>0</v>
      </c>
      <c r="GK103">
        <f>ROUND(R103*(R12)/100,2)</f>
        <v>0</v>
      </c>
      <c r="GL103">
        <f t="shared" si="118"/>
        <v>0</v>
      </c>
      <c r="GM103">
        <f t="shared" si="119"/>
        <v>419.06</v>
      </c>
      <c r="GN103">
        <f t="shared" si="120"/>
        <v>0</v>
      </c>
      <c r="GO103">
        <f t="shared" si="121"/>
        <v>419.06</v>
      </c>
      <c r="GP103">
        <f t="shared" si="122"/>
        <v>0</v>
      </c>
      <c r="GR103">
        <v>0</v>
      </c>
      <c r="GS103">
        <v>3</v>
      </c>
      <c r="GT103">
        <v>0</v>
      </c>
      <c r="GU103" t="s">
        <v>3</v>
      </c>
      <c r="GV103">
        <f t="shared" si="123"/>
        <v>0</v>
      </c>
      <c r="GW103">
        <v>1</v>
      </c>
      <c r="GX103">
        <f t="shared" si="124"/>
        <v>0</v>
      </c>
      <c r="HA103">
        <v>0</v>
      </c>
      <c r="HB103">
        <v>0</v>
      </c>
      <c r="IK103">
        <v>0</v>
      </c>
    </row>
    <row r="104" spans="1:245" x14ac:dyDescent="0.2">
      <c r="A104">
        <v>17</v>
      </c>
      <c r="B104">
        <v>1</v>
      </c>
      <c r="C104">
        <f>ROW(SmtRes!A241)</f>
        <v>241</v>
      </c>
      <c r="D104">
        <f>ROW(EtalonRes!A227)</f>
        <v>227</v>
      </c>
      <c r="E104" t="s">
        <v>327</v>
      </c>
      <c r="F104" t="s">
        <v>328</v>
      </c>
      <c r="G104" t="s">
        <v>329</v>
      </c>
      <c r="H104" t="s">
        <v>44</v>
      </c>
      <c r="I104">
        <f>ROUND(19/100,9)</f>
        <v>0.19</v>
      </c>
      <c r="J104">
        <v>0</v>
      </c>
      <c r="O104">
        <f t="shared" si="92"/>
        <v>377.5</v>
      </c>
      <c r="P104">
        <f t="shared" si="93"/>
        <v>0</v>
      </c>
      <c r="Q104">
        <f t="shared" si="94"/>
        <v>189.27</v>
      </c>
      <c r="R104">
        <f t="shared" si="95"/>
        <v>0</v>
      </c>
      <c r="S104">
        <f t="shared" si="96"/>
        <v>188.23</v>
      </c>
      <c r="T104">
        <f t="shared" si="97"/>
        <v>0</v>
      </c>
      <c r="U104">
        <f t="shared" si="98"/>
        <v>2.9716</v>
      </c>
      <c r="V104">
        <f t="shared" si="99"/>
        <v>0</v>
      </c>
      <c r="W104">
        <f t="shared" si="100"/>
        <v>0</v>
      </c>
      <c r="X104">
        <f t="shared" si="101"/>
        <v>186.35</v>
      </c>
      <c r="Y104">
        <f t="shared" si="102"/>
        <v>112.94</v>
      </c>
      <c r="AA104">
        <v>39579451</v>
      </c>
      <c r="AB104">
        <f t="shared" si="103"/>
        <v>287.95</v>
      </c>
      <c r="AC104">
        <f t="shared" si="130"/>
        <v>0</v>
      </c>
      <c r="AD104">
        <f t="shared" si="125"/>
        <v>144.37</v>
      </c>
      <c r="AE104">
        <f t="shared" si="126"/>
        <v>0</v>
      </c>
      <c r="AF104">
        <f t="shared" si="127"/>
        <v>143.58000000000001</v>
      </c>
      <c r="AG104">
        <f t="shared" si="104"/>
        <v>0</v>
      </c>
      <c r="AH104">
        <f t="shared" si="128"/>
        <v>15.64</v>
      </c>
      <c r="AI104">
        <f t="shared" si="129"/>
        <v>0</v>
      </c>
      <c r="AJ104">
        <f t="shared" si="105"/>
        <v>0</v>
      </c>
      <c r="AK104">
        <v>287.95</v>
      </c>
      <c r="AL104">
        <v>0</v>
      </c>
      <c r="AM104">
        <v>144.37</v>
      </c>
      <c r="AN104">
        <v>0</v>
      </c>
      <c r="AO104">
        <v>143.58000000000001</v>
      </c>
      <c r="AP104">
        <v>0</v>
      </c>
      <c r="AQ104">
        <v>15.64</v>
      </c>
      <c r="AR104">
        <v>0</v>
      </c>
      <c r="AS104">
        <v>0</v>
      </c>
      <c r="AT104">
        <v>99</v>
      </c>
      <c r="AU104">
        <v>60</v>
      </c>
      <c r="AV104">
        <v>1</v>
      </c>
      <c r="AW104">
        <v>1</v>
      </c>
      <c r="AZ104">
        <v>6.9</v>
      </c>
      <c r="BA104">
        <v>6.9</v>
      </c>
      <c r="BB104">
        <v>6.9</v>
      </c>
      <c r="BC104">
        <v>6.9</v>
      </c>
      <c r="BD104" t="s">
        <v>3</v>
      </c>
      <c r="BE104" t="s">
        <v>3</v>
      </c>
      <c r="BF104" t="s">
        <v>3</v>
      </c>
      <c r="BG104" t="s">
        <v>3</v>
      </c>
      <c r="BH104">
        <v>0</v>
      </c>
      <c r="BI104">
        <v>1</v>
      </c>
      <c r="BJ104" t="s">
        <v>330</v>
      </c>
      <c r="BM104">
        <v>46001</v>
      </c>
      <c r="BN104">
        <v>0</v>
      </c>
      <c r="BO104" t="s">
        <v>3</v>
      </c>
      <c r="BP104">
        <v>0</v>
      </c>
      <c r="BQ104">
        <v>2</v>
      </c>
      <c r="BR104">
        <v>0</v>
      </c>
      <c r="BS104">
        <v>6.9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3</v>
      </c>
      <c r="BZ104">
        <v>110</v>
      </c>
      <c r="CA104">
        <v>70</v>
      </c>
      <c r="CF104">
        <v>0</v>
      </c>
      <c r="CG104">
        <v>0</v>
      </c>
      <c r="CM104">
        <v>0</v>
      </c>
      <c r="CN104" t="s">
        <v>3</v>
      </c>
      <c r="CO104">
        <v>0</v>
      </c>
      <c r="CP104">
        <f t="shared" si="106"/>
        <v>377.5</v>
      </c>
      <c r="CQ104">
        <f t="shared" si="107"/>
        <v>0</v>
      </c>
      <c r="CR104">
        <f t="shared" si="108"/>
        <v>996.15300000000013</v>
      </c>
      <c r="CS104">
        <f t="shared" si="109"/>
        <v>0</v>
      </c>
      <c r="CT104">
        <f t="shared" si="110"/>
        <v>990.70200000000011</v>
      </c>
      <c r="CU104">
        <f t="shared" si="111"/>
        <v>0</v>
      </c>
      <c r="CV104">
        <f t="shared" si="112"/>
        <v>15.64</v>
      </c>
      <c r="CW104">
        <f t="shared" si="113"/>
        <v>0</v>
      </c>
      <c r="CX104">
        <f t="shared" si="114"/>
        <v>0</v>
      </c>
      <c r="CY104">
        <f t="shared" si="115"/>
        <v>186.3477</v>
      </c>
      <c r="CZ104">
        <f t="shared" si="116"/>
        <v>112.93799999999999</v>
      </c>
      <c r="DC104" t="s">
        <v>3</v>
      </c>
      <c r="DD104" t="s">
        <v>3</v>
      </c>
      <c r="DE104" t="s">
        <v>3</v>
      </c>
      <c r="DF104" t="s">
        <v>3</v>
      </c>
      <c r="DG104" t="s">
        <v>3</v>
      </c>
      <c r="DH104" t="s">
        <v>3</v>
      </c>
      <c r="DI104" t="s">
        <v>3</v>
      </c>
      <c r="DJ104" t="s">
        <v>3</v>
      </c>
      <c r="DK104" t="s">
        <v>3</v>
      </c>
      <c r="DL104" t="s">
        <v>3</v>
      </c>
      <c r="DM104" t="s">
        <v>3</v>
      </c>
      <c r="DN104">
        <v>0</v>
      </c>
      <c r="DO104">
        <v>0</v>
      </c>
      <c r="DP104">
        <v>1</v>
      </c>
      <c r="DQ104">
        <v>1</v>
      </c>
      <c r="DU104">
        <v>1003</v>
      </c>
      <c r="DV104" t="s">
        <v>44</v>
      </c>
      <c r="DW104" t="s">
        <v>44</v>
      </c>
      <c r="DX104">
        <v>100</v>
      </c>
      <c r="EE104">
        <v>39174571</v>
      </c>
      <c r="EF104">
        <v>2</v>
      </c>
      <c r="EG104" t="s">
        <v>20</v>
      </c>
      <c r="EH104">
        <v>0</v>
      </c>
      <c r="EI104" t="s">
        <v>3</v>
      </c>
      <c r="EJ104">
        <v>1</v>
      </c>
      <c r="EK104">
        <v>46001</v>
      </c>
      <c r="EL104" t="s">
        <v>72</v>
      </c>
      <c r="EM104" t="s">
        <v>73</v>
      </c>
      <c r="EO104" t="s">
        <v>3</v>
      </c>
      <c r="EQ104">
        <v>0</v>
      </c>
      <c r="ER104">
        <v>287.95</v>
      </c>
      <c r="ES104">
        <v>0</v>
      </c>
      <c r="ET104">
        <v>144.37</v>
      </c>
      <c r="EU104">
        <v>0</v>
      </c>
      <c r="EV104">
        <v>143.58000000000001</v>
      </c>
      <c r="EW104">
        <v>15.64</v>
      </c>
      <c r="EX104">
        <v>0</v>
      </c>
      <c r="EY104">
        <v>0</v>
      </c>
      <c r="FQ104">
        <v>0</v>
      </c>
      <c r="FR104">
        <f t="shared" si="117"/>
        <v>0</v>
      </c>
      <c r="FS104">
        <v>0</v>
      </c>
      <c r="FT104" t="s">
        <v>24</v>
      </c>
      <c r="FU104" t="s">
        <v>25</v>
      </c>
      <c r="FX104">
        <v>99</v>
      </c>
      <c r="FY104">
        <v>59.5</v>
      </c>
      <c r="GA104" t="s">
        <v>3</v>
      </c>
      <c r="GD104">
        <v>0</v>
      </c>
      <c r="GF104">
        <v>1483479153</v>
      </c>
      <c r="GG104">
        <v>1</v>
      </c>
      <c r="GH104">
        <v>1</v>
      </c>
      <c r="GI104">
        <v>4</v>
      </c>
      <c r="GJ104">
        <v>0</v>
      </c>
      <c r="GK104">
        <f>ROUND(R104*(R12)/100,2)</f>
        <v>0</v>
      </c>
      <c r="GL104">
        <f t="shared" si="118"/>
        <v>0</v>
      </c>
      <c r="GM104">
        <f t="shared" si="119"/>
        <v>676.79</v>
      </c>
      <c r="GN104">
        <f t="shared" si="120"/>
        <v>676.79</v>
      </c>
      <c r="GO104">
        <f t="shared" si="121"/>
        <v>0</v>
      </c>
      <c r="GP104">
        <f t="shared" si="122"/>
        <v>0</v>
      </c>
      <c r="GR104">
        <v>0</v>
      </c>
      <c r="GS104">
        <v>3</v>
      </c>
      <c r="GT104">
        <v>0</v>
      </c>
      <c r="GU104" t="s">
        <v>3</v>
      </c>
      <c r="GV104">
        <f t="shared" si="123"/>
        <v>0</v>
      </c>
      <c r="GW104">
        <v>1</v>
      </c>
      <c r="GX104">
        <f t="shared" si="124"/>
        <v>0</v>
      </c>
      <c r="HA104">
        <v>0</v>
      </c>
      <c r="HB104">
        <v>0</v>
      </c>
      <c r="IK104">
        <v>0</v>
      </c>
    </row>
    <row r="105" spans="1:245" x14ac:dyDescent="0.2">
      <c r="A105">
        <v>17</v>
      </c>
      <c r="B105">
        <v>1</v>
      </c>
      <c r="C105">
        <f>ROW(SmtRes!A246)</f>
        <v>246</v>
      </c>
      <c r="D105">
        <f>ROW(EtalonRes!A233)</f>
        <v>233</v>
      </c>
      <c r="E105" t="s">
        <v>331</v>
      </c>
      <c r="F105" t="s">
        <v>332</v>
      </c>
      <c r="G105" t="s">
        <v>333</v>
      </c>
      <c r="H105" t="s">
        <v>15</v>
      </c>
      <c r="I105">
        <f>ROUND(0.95/100,9)</f>
        <v>9.4999999999999998E-3</v>
      </c>
      <c r="J105">
        <v>0</v>
      </c>
      <c r="O105">
        <f t="shared" si="92"/>
        <v>208.73</v>
      </c>
      <c r="P105">
        <f t="shared" si="93"/>
        <v>74.739999999999995</v>
      </c>
      <c r="Q105">
        <f t="shared" si="94"/>
        <v>1.37</v>
      </c>
      <c r="R105">
        <f t="shared" si="95"/>
        <v>0.59</v>
      </c>
      <c r="S105">
        <f t="shared" si="96"/>
        <v>132.62</v>
      </c>
      <c r="T105">
        <f t="shared" si="97"/>
        <v>0</v>
      </c>
      <c r="U105">
        <f t="shared" si="98"/>
        <v>2.1693249999999997</v>
      </c>
      <c r="V105">
        <f t="shared" si="99"/>
        <v>6.365E-3</v>
      </c>
      <c r="W105">
        <f t="shared" si="100"/>
        <v>0</v>
      </c>
      <c r="X105">
        <f t="shared" si="101"/>
        <v>105.24</v>
      </c>
      <c r="Y105">
        <f t="shared" si="102"/>
        <v>66.61</v>
      </c>
      <c r="AA105">
        <v>39579451</v>
      </c>
      <c r="AB105">
        <f t="shared" si="103"/>
        <v>3184.37</v>
      </c>
      <c r="AC105">
        <f t="shared" si="130"/>
        <v>1140.25</v>
      </c>
      <c r="AD105">
        <f t="shared" si="125"/>
        <v>20.94</v>
      </c>
      <c r="AE105">
        <f t="shared" si="126"/>
        <v>9.0500000000000007</v>
      </c>
      <c r="AF105">
        <f t="shared" si="127"/>
        <v>2023.18</v>
      </c>
      <c r="AG105">
        <f t="shared" si="104"/>
        <v>0</v>
      </c>
      <c r="AH105">
        <f t="shared" si="128"/>
        <v>228.35</v>
      </c>
      <c r="AI105">
        <f t="shared" si="129"/>
        <v>0.67</v>
      </c>
      <c r="AJ105">
        <f t="shared" si="105"/>
        <v>0</v>
      </c>
      <c r="AK105">
        <v>3184.37</v>
      </c>
      <c r="AL105">
        <v>1140.25</v>
      </c>
      <c r="AM105">
        <v>20.94</v>
      </c>
      <c r="AN105">
        <v>9.0500000000000007</v>
      </c>
      <c r="AO105">
        <v>2023.18</v>
      </c>
      <c r="AP105">
        <v>0</v>
      </c>
      <c r="AQ105">
        <v>228.35</v>
      </c>
      <c r="AR105">
        <v>0.67</v>
      </c>
      <c r="AS105">
        <v>0</v>
      </c>
      <c r="AT105">
        <v>79</v>
      </c>
      <c r="AU105">
        <v>50</v>
      </c>
      <c r="AV105">
        <v>1</v>
      </c>
      <c r="AW105">
        <v>1</v>
      </c>
      <c r="AZ105">
        <v>6.9</v>
      </c>
      <c r="BA105">
        <v>6.9</v>
      </c>
      <c r="BB105">
        <v>6.9</v>
      </c>
      <c r="BC105">
        <v>6.9</v>
      </c>
      <c r="BD105" t="s">
        <v>3</v>
      </c>
      <c r="BE105" t="s">
        <v>3</v>
      </c>
      <c r="BF105" t="s">
        <v>3</v>
      </c>
      <c r="BG105" t="s">
        <v>3</v>
      </c>
      <c r="BH105">
        <v>0</v>
      </c>
      <c r="BI105">
        <v>1</v>
      </c>
      <c r="BJ105" t="s">
        <v>334</v>
      </c>
      <c r="BM105">
        <v>61001</v>
      </c>
      <c r="BN105">
        <v>0</v>
      </c>
      <c r="BO105" t="s">
        <v>3</v>
      </c>
      <c r="BP105">
        <v>0</v>
      </c>
      <c r="BQ105">
        <v>6</v>
      </c>
      <c r="BR105">
        <v>0</v>
      </c>
      <c r="BS105">
        <v>6.9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79</v>
      </c>
      <c r="CA105">
        <v>50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si="106"/>
        <v>208.73000000000002</v>
      </c>
      <c r="CQ105">
        <f t="shared" si="107"/>
        <v>7867.7250000000004</v>
      </c>
      <c r="CR105">
        <f t="shared" si="108"/>
        <v>144.48600000000002</v>
      </c>
      <c r="CS105">
        <f t="shared" si="109"/>
        <v>62.445000000000007</v>
      </c>
      <c r="CT105">
        <f t="shared" si="110"/>
        <v>13959.942000000001</v>
      </c>
      <c r="CU105">
        <f t="shared" si="111"/>
        <v>0</v>
      </c>
      <c r="CV105">
        <f t="shared" si="112"/>
        <v>228.35</v>
      </c>
      <c r="CW105">
        <f t="shared" si="113"/>
        <v>0.67</v>
      </c>
      <c r="CX105">
        <f t="shared" si="114"/>
        <v>0</v>
      </c>
      <c r="CY105">
        <f t="shared" si="115"/>
        <v>105.2359</v>
      </c>
      <c r="CZ105">
        <f t="shared" si="116"/>
        <v>66.605000000000004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1005</v>
      </c>
      <c r="DV105" t="s">
        <v>15</v>
      </c>
      <c r="DW105" t="s">
        <v>15</v>
      </c>
      <c r="DX105">
        <v>100</v>
      </c>
      <c r="EE105">
        <v>39174586</v>
      </c>
      <c r="EF105">
        <v>6</v>
      </c>
      <c r="EG105" t="s">
        <v>30</v>
      </c>
      <c r="EH105">
        <v>0</v>
      </c>
      <c r="EI105" t="s">
        <v>3</v>
      </c>
      <c r="EJ105">
        <v>1</v>
      </c>
      <c r="EK105">
        <v>61001</v>
      </c>
      <c r="EL105" t="s">
        <v>335</v>
      </c>
      <c r="EM105" t="s">
        <v>336</v>
      </c>
      <c r="EO105" t="s">
        <v>3</v>
      </c>
      <c r="EQ105">
        <v>0</v>
      </c>
      <c r="ER105">
        <v>3184.37</v>
      </c>
      <c r="ES105">
        <v>1140.25</v>
      </c>
      <c r="ET105">
        <v>20.94</v>
      </c>
      <c r="EU105">
        <v>9.0500000000000007</v>
      </c>
      <c r="EV105">
        <v>2023.18</v>
      </c>
      <c r="EW105">
        <v>228.35</v>
      </c>
      <c r="EX105">
        <v>0.67</v>
      </c>
      <c r="EY105">
        <v>0</v>
      </c>
      <c r="FQ105">
        <v>0</v>
      </c>
      <c r="FR105">
        <f t="shared" si="117"/>
        <v>0</v>
      </c>
      <c r="FS105">
        <v>0</v>
      </c>
      <c r="FX105">
        <v>79</v>
      </c>
      <c r="FY105">
        <v>50</v>
      </c>
      <c r="GA105" t="s">
        <v>3</v>
      </c>
      <c r="GD105">
        <v>0</v>
      </c>
      <c r="GF105">
        <v>-1050670095</v>
      </c>
      <c r="GG105">
        <v>1</v>
      </c>
      <c r="GH105">
        <v>1</v>
      </c>
      <c r="GI105">
        <v>4</v>
      </c>
      <c r="GJ105">
        <v>0</v>
      </c>
      <c r="GK105">
        <f>ROUND(R105*(R12)/100,2)</f>
        <v>0</v>
      </c>
      <c r="GL105">
        <f t="shared" si="118"/>
        <v>0</v>
      </c>
      <c r="GM105">
        <f t="shared" si="119"/>
        <v>380.58</v>
      </c>
      <c r="GN105">
        <f t="shared" si="120"/>
        <v>380.58</v>
      </c>
      <c r="GO105">
        <f t="shared" si="121"/>
        <v>0</v>
      </c>
      <c r="GP105">
        <f t="shared" si="122"/>
        <v>0</v>
      </c>
      <c r="GR105">
        <v>0</v>
      </c>
      <c r="GS105">
        <v>3</v>
      </c>
      <c r="GT105">
        <v>0</v>
      </c>
      <c r="GU105" t="s">
        <v>3</v>
      </c>
      <c r="GV105">
        <f t="shared" si="123"/>
        <v>0</v>
      </c>
      <c r="GW105">
        <v>1</v>
      </c>
      <c r="GX105">
        <f t="shared" si="124"/>
        <v>0</v>
      </c>
      <c r="HA105">
        <v>0</v>
      </c>
      <c r="HB105">
        <v>0</v>
      </c>
      <c r="IK105">
        <v>0</v>
      </c>
    </row>
    <row r="106" spans="1:245" x14ac:dyDescent="0.2">
      <c r="A106">
        <v>17</v>
      </c>
      <c r="B106">
        <v>1</v>
      </c>
      <c r="C106">
        <f>ROW(SmtRes!A255)</f>
        <v>255</v>
      </c>
      <c r="D106">
        <f>ROW(EtalonRes!A241)</f>
        <v>241</v>
      </c>
      <c r="E106" t="s">
        <v>337</v>
      </c>
      <c r="F106" t="s">
        <v>338</v>
      </c>
      <c r="G106" t="s">
        <v>339</v>
      </c>
      <c r="H106" t="s">
        <v>44</v>
      </c>
      <c r="I106">
        <f>ROUND(38/100,9)</f>
        <v>0.38</v>
      </c>
      <c r="J106">
        <v>0</v>
      </c>
      <c r="O106">
        <f t="shared" si="92"/>
        <v>523.69000000000005</v>
      </c>
      <c r="P106">
        <f t="shared" si="93"/>
        <v>107.71</v>
      </c>
      <c r="Q106">
        <f t="shared" si="94"/>
        <v>9.31</v>
      </c>
      <c r="R106">
        <f t="shared" si="95"/>
        <v>1.31</v>
      </c>
      <c r="S106">
        <f t="shared" si="96"/>
        <v>406.67</v>
      </c>
      <c r="T106">
        <f t="shared" si="97"/>
        <v>0</v>
      </c>
      <c r="U106">
        <f t="shared" si="98"/>
        <v>6.2700000000000005</v>
      </c>
      <c r="V106">
        <f t="shared" si="99"/>
        <v>1.52E-2</v>
      </c>
      <c r="W106">
        <f t="shared" si="100"/>
        <v>0</v>
      </c>
      <c r="X106">
        <f t="shared" si="101"/>
        <v>387.58</v>
      </c>
      <c r="Y106">
        <f t="shared" si="102"/>
        <v>265.19</v>
      </c>
      <c r="AA106">
        <v>39579451</v>
      </c>
      <c r="AB106">
        <f t="shared" si="103"/>
        <v>199.73</v>
      </c>
      <c r="AC106">
        <f t="shared" si="130"/>
        <v>41.08</v>
      </c>
      <c r="AD106">
        <f t="shared" si="125"/>
        <v>3.55</v>
      </c>
      <c r="AE106">
        <f t="shared" si="126"/>
        <v>0.5</v>
      </c>
      <c r="AF106">
        <f t="shared" si="127"/>
        <v>155.1</v>
      </c>
      <c r="AG106">
        <f t="shared" si="104"/>
        <v>0</v>
      </c>
      <c r="AH106">
        <f t="shared" si="128"/>
        <v>16.5</v>
      </c>
      <c r="AI106">
        <f t="shared" si="129"/>
        <v>0.04</v>
      </c>
      <c r="AJ106">
        <f t="shared" si="105"/>
        <v>0</v>
      </c>
      <c r="AK106">
        <v>199.73</v>
      </c>
      <c r="AL106">
        <v>41.08</v>
      </c>
      <c r="AM106">
        <v>3.55</v>
      </c>
      <c r="AN106">
        <v>0.5</v>
      </c>
      <c r="AO106">
        <v>155.1</v>
      </c>
      <c r="AP106">
        <v>0</v>
      </c>
      <c r="AQ106">
        <v>16.5</v>
      </c>
      <c r="AR106">
        <v>0.04</v>
      </c>
      <c r="AS106">
        <v>0</v>
      </c>
      <c r="AT106">
        <v>95</v>
      </c>
      <c r="AU106">
        <v>65</v>
      </c>
      <c r="AV106">
        <v>1</v>
      </c>
      <c r="AW106">
        <v>1</v>
      </c>
      <c r="AZ106">
        <v>6.9</v>
      </c>
      <c r="BA106">
        <v>6.9</v>
      </c>
      <c r="BB106">
        <v>6.9</v>
      </c>
      <c r="BC106">
        <v>6.9</v>
      </c>
      <c r="BD106" t="s">
        <v>3</v>
      </c>
      <c r="BE106" t="s">
        <v>3</v>
      </c>
      <c r="BF106" t="s">
        <v>3</v>
      </c>
      <c r="BG106" t="s">
        <v>3</v>
      </c>
      <c r="BH106">
        <v>0</v>
      </c>
      <c r="BI106">
        <v>2</v>
      </c>
      <c r="BJ106" t="s">
        <v>340</v>
      </c>
      <c r="BM106">
        <v>108001</v>
      </c>
      <c r="BN106">
        <v>0</v>
      </c>
      <c r="BO106" t="s">
        <v>3</v>
      </c>
      <c r="BP106">
        <v>0</v>
      </c>
      <c r="BQ106">
        <v>3</v>
      </c>
      <c r="BR106">
        <v>0</v>
      </c>
      <c r="BS106">
        <v>6.9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3</v>
      </c>
      <c r="BZ106">
        <v>95</v>
      </c>
      <c r="CA106">
        <v>65</v>
      </c>
      <c r="CF106">
        <v>0</v>
      </c>
      <c r="CG106">
        <v>0</v>
      </c>
      <c r="CM106">
        <v>0</v>
      </c>
      <c r="CN106" t="s">
        <v>3</v>
      </c>
      <c r="CO106">
        <v>0</v>
      </c>
      <c r="CP106">
        <f t="shared" si="106"/>
        <v>523.69000000000005</v>
      </c>
      <c r="CQ106">
        <f t="shared" si="107"/>
        <v>283.452</v>
      </c>
      <c r="CR106">
        <f t="shared" si="108"/>
        <v>24.495000000000001</v>
      </c>
      <c r="CS106">
        <f t="shared" si="109"/>
        <v>3.45</v>
      </c>
      <c r="CT106">
        <f t="shared" si="110"/>
        <v>1070.19</v>
      </c>
      <c r="CU106">
        <f t="shared" si="111"/>
        <v>0</v>
      </c>
      <c r="CV106">
        <f t="shared" si="112"/>
        <v>16.5</v>
      </c>
      <c r="CW106">
        <f t="shared" si="113"/>
        <v>0.04</v>
      </c>
      <c r="CX106">
        <f t="shared" si="114"/>
        <v>0</v>
      </c>
      <c r="CY106">
        <f t="shared" si="115"/>
        <v>387.58099999999996</v>
      </c>
      <c r="CZ106">
        <f t="shared" si="116"/>
        <v>265.18700000000001</v>
      </c>
      <c r="DC106" t="s">
        <v>3</v>
      </c>
      <c r="DD106" t="s">
        <v>3</v>
      </c>
      <c r="DE106" t="s">
        <v>3</v>
      </c>
      <c r="DF106" t="s">
        <v>3</v>
      </c>
      <c r="DG106" t="s">
        <v>3</v>
      </c>
      <c r="DH106" t="s">
        <v>3</v>
      </c>
      <c r="DI106" t="s">
        <v>3</v>
      </c>
      <c r="DJ106" t="s">
        <v>3</v>
      </c>
      <c r="DK106" t="s">
        <v>3</v>
      </c>
      <c r="DL106" t="s">
        <v>3</v>
      </c>
      <c r="DM106" t="s">
        <v>3</v>
      </c>
      <c r="DN106">
        <v>0</v>
      </c>
      <c r="DO106">
        <v>0</v>
      </c>
      <c r="DP106">
        <v>1</v>
      </c>
      <c r="DQ106">
        <v>1</v>
      </c>
      <c r="DU106">
        <v>1003</v>
      </c>
      <c r="DV106" t="s">
        <v>44</v>
      </c>
      <c r="DW106" t="s">
        <v>44</v>
      </c>
      <c r="DX106">
        <v>100</v>
      </c>
      <c r="EE106">
        <v>39174386</v>
      </c>
      <c r="EF106">
        <v>3</v>
      </c>
      <c r="EG106" t="s">
        <v>293</v>
      </c>
      <c r="EH106">
        <v>0</v>
      </c>
      <c r="EI106" t="s">
        <v>3</v>
      </c>
      <c r="EJ106">
        <v>2</v>
      </c>
      <c r="EK106">
        <v>108001</v>
      </c>
      <c r="EL106" t="s">
        <v>294</v>
      </c>
      <c r="EM106" t="s">
        <v>295</v>
      </c>
      <c r="EO106" t="s">
        <v>3</v>
      </c>
      <c r="EQ106">
        <v>0</v>
      </c>
      <c r="ER106">
        <v>199.73</v>
      </c>
      <c r="ES106">
        <v>41.08</v>
      </c>
      <c r="ET106">
        <v>3.55</v>
      </c>
      <c r="EU106">
        <v>0.5</v>
      </c>
      <c r="EV106">
        <v>155.1</v>
      </c>
      <c r="EW106">
        <v>16.5</v>
      </c>
      <c r="EX106">
        <v>0.04</v>
      </c>
      <c r="EY106">
        <v>0</v>
      </c>
      <c r="FQ106">
        <v>0</v>
      </c>
      <c r="FR106">
        <f t="shared" si="117"/>
        <v>0</v>
      </c>
      <c r="FS106">
        <v>0</v>
      </c>
      <c r="FX106">
        <v>95</v>
      </c>
      <c r="FY106">
        <v>65</v>
      </c>
      <c r="GA106" t="s">
        <v>3</v>
      </c>
      <c r="GD106">
        <v>0</v>
      </c>
      <c r="GF106">
        <v>-1689853832</v>
      </c>
      <c r="GG106">
        <v>1</v>
      </c>
      <c r="GH106">
        <v>1</v>
      </c>
      <c r="GI106">
        <v>4</v>
      </c>
      <c r="GJ106">
        <v>0</v>
      </c>
      <c r="GK106">
        <f>ROUND(R106*(R12)/100,2)</f>
        <v>0</v>
      </c>
      <c r="GL106">
        <f t="shared" si="118"/>
        <v>0</v>
      </c>
      <c r="GM106">
        <f t="shared" si="119"/>
        <v>1176.46</v>
      </c>
      <c r="GN106">
        <f t="shared" si="120"/>
        <v>0</v>
      </c>
      <c r="GO106">
        <f t="shared" si="121"/>
        <v>1176.46</v>
      </c>
      <c r="GP106">
        <f t="shared" si="122"/>
        <v>0</v>
      </c>
      <c r="GR106">
        <v>0</v>
      </c>
      <c r="GS106">
        <v>3</v>
      </c>
      <c r="GT106">
        <v>0</v>
      </c>
      <c r="GU106" t="s">
        <v>3</v>
      </c>
      <c r="GV106">
        <f t="shared" si="123"/>
        <v>0</v>
      </c>
      <c r="GW106">
        <v>1</v>
      </c>
      <c r="GX106">
        <f t="shared" si="124"/>
        <v>0</v>
      </c>
      <c r="HA106">
        <v>0</v>
      </c>
      <c r="HB106">
        <v>0</v>
      </c>
      <c r="IK106">
        <v>0</v>
      </c>
    </row>
    <row r="107" spans="1:245" x14ac:dyDescent="0.2">
      <c r="A107">
        <v>18</v>
      </c>
      <c r="B107">
        <v>1</v>
      </c>
      <c r="C107">
        <v>253</v>
      </c>
      <c r="E107" t="s">
        <v>341</v>
      </c>
      <c r="F107" t="s">
        <v>324</v>
      </c>
      <c r="G107" t="s">
        <v>325</v>
      </c>
      <c r="H107" t="s">
        <v>316</v>
      </c>
      <c r="I107">
        <f>I106*J107</f>
        <v>3.7999999999999999E-2</v>
      </c>
      <c r="J107">
        <v>9.9999999999999992E-2</v>
      </c>
      <c r="O107">
        <f t="shared" si="92"/>
        <v>796.22</v>
      </c>
      <c r="P107">
        <f t="shared" si="93"/>
        <v>796.22</v>
      </c>
      <c r="Q107">
        <f t="shared" si="94"/>
        <v>0</v>
      </c>
      <c r="R107">
        <f t="shared" si="95"/>
        <v>0</v>
      </c>
      <c r="S107">
        <f t="shared" si="96"/>
        <v>0</v>
      </c>
      <c r="T107">
        <f t="shared" si="97"/>
        <v>0</v>
      </c>
      <c r="U107">
        <f t="shared" si="98"/>
        <v>0</v>
      </c>
      <c r="V107">
        <f t="shared" si="99"/>
        <v>0</v>
      </c>
      <c r="W107">
        <f t="shared" si="100"/>
        <v>0</v>
      </c>
      <c r="X107">
        <f t="shared" si="101"/>
        <v>0</v>
      </c>
      <c r="Y107">
        <f t="shared" si="102"/>
        <v>0</v>
      </c>
      <c r="AA107">
        <v>39579451</v>
      </c>
      <c r="AB107">
        <f t="shared" si="103"/>
        <v>3036.7</v>
      </c>
      <c r="AC107">
        <f t="shared" si="130"/>
        <v>3036.7</v>
      </c>
      <c r="AD107">
        <f t="shared" si="125"/>
        <v>0</v>
      </c>
      <c r="AE107">
        <f t="shared" si="126"/>
        <v>0</v>
      </c>
      <c r="AF107">
        <f t="shared" si="127"/>
        <v>0</v>
      </c>
      <c r="AG107">
        <f t="shared" si="104"/>
        <v>0</v>
      </c>
      <c r="AH107">
        <f t="shared" si="128"/>
        <v>0</v>
      </c>
      <c r="AI107">
        <f t="shared" si="129"/>
        <v>0</v>
      </c>
      <c r="AJ107">
        <f t="shared" si="105"/>
        <v>0</v>
      </c>
      <c r="AK107">
        <v>3036.7</v>
      </c>
      <c r="AL107">
        <v>3036.7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95</v>
      </c>
      <c r="AU107">
        <v>65</v>
      </c>
      <c r="AV107">
        <v>1</v>
      </c>
      <c r="AW107">
        <v>1</v>
      </c>
      <c r="AZ107">
        <v>6.9</v>
      </c>
      <c r="BA107">
        <v>1</v>
      </c>
      <c r="BB107">
        <v>1</v>
      </c>
      <c r="BC107">
        <v>6.9</v>
      </c>
      <c r="BD107" t="s">
        <v>3</v>
      </c>
      <c r="BE107" t="s">
        <v>3</v>
      </c>
      <c r="BF107" t="s">
        <v>3</v>
      </c>
      <c r="BG107" t="s">
        <v>3</v>
      </c>
      <c r="BH107">
        <v>3</v>
      </c>
      <c r="BI107">
        <v>2</v>
      </c>
      <c r="BJ107" t="s">
        <v>326</v>
      </c>
      <c r="BM107">
        <v>108001</v>
      </c>
      <c r="BN107">
        <v>0</v>
      </c>
      <c r="BO107" t="s">
        <v>3</v>
      </c>
      <c r="BP107">
        <v>0</v>
      </c>
      <c r="BQ107">
        <v>3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95</v>
      </c>
      <c r="CA107">
        <v>65</v>
      </c>
      <c r="CF107">
        <v>0</v>
      </c>
      <c r="CG107">
        <v>0</v>
      </c>
      <c r="CM107">
        <v>0</v>
      </c>
      <c r="CN107" t="s">
        <v>3</v>
      </c>
      <c r="CO107">
        <v>0</v>
      </c>
      <c r="CP107">
        <f t="shared" si="106"/>
        <v>796.22</v>
      </c>
      <c r="CQ107">
        <f t="shared" si="107"/>
        <v>20953.23</v>
      </c>
      <c r="CR107">
        <f t="shared" si="108"/>
        <v>0</v>
      </c>
      <c r="CS107">
        <f t="shared" si="109"/>
        <v>0</v>
      </c>
      <c r="CT107">
        <f t="shared" si="110"/>
        <v>0</v>
      </c>
      <c r="CU107">
        <f t="shared" si="111"/>
        <v>0</v>
      </c>
      <c r="CV107">
        <f t="shared" si="112"/>
        <v>0</v>
      </c>
      <c r="CW107">
        <f t="shared" si="113"/>
        <v>0</v>
      </c>
      <c r="CX107">
        <f t="shared" si="114"/>
        <v>0</v>
      </c>
      <c r="CY107">
        <f t="shared" si="115"/>
        <v>0</v>
      </c>
      <c r="CZ107">
        <f t="shared" si="116"/>
        <v>0</v>
      </c>
      <c r="DC107" t="s">
        <v>3</v>
      </c>
      <c r="DD107" t="s">
        <v>3</v>
      </c>
      <c r="DE107" t="s">
        <v>3</v>
      </c>
      <c r="DF107" t="s">
        <v>3</v>
      </c>
      <c r="DG107" t="s">
        <v>3</v>
      </c>
      <c r="DH107" t="s">
        <v>3</v>
      </c>
      <c r="DI107" t="s">
        <v>3</v>
      </c>
      <c r="DJ107" t="s">
        <v>3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1013</v>
      </c>
      <c r="DV107" t="s">
        <v>316</v>
      </c>
      <c r="DW107" t="s">
        <v>318</v>
      </c>
      <c r="DX107">
        <v>1</v>
      </c>
      <c r="EE107">
        <v>39174386</v>
      </c>
      <c r="EF107">
        <v>3</v>
      </c>
      <c r="EG107" t="s">
        <v>293</v>
      </c>
      <c r="EH107">
        <v>0</v>
      </c>
      <c r="EI107" t="s">
        <v>3</v>
      </c>
      <c r="EJ107">
        <v>2</v>
      </c>
      <c r="EK107">
        <v>108001</v>
      </c>
      <c r="EL107" t="s">
        <v>294</v>
      </c>
      <c r="EM107" t="s">
        <v>295</v>
      </c>
      <c r="EO107" t="s">
        <v>3</v>
      </c>
      <c r="EQ107">
        <v>0</v>
      </c>
      <c r="ER107">
        <v>3036.7</v>
      </c>
      <c r="ES107">
        <v>3036.7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17"/>
        <v>0</v>
      </c>
      <c r="FS107">
        <v>0</v>
      </c>
      <c r="FX107">
        <v>95</v>
      </c>
      <c r="FY107">
        <v>65</v>
      </c>
      <c r="GA107" t="s">
        <v>3</v>
      </c>
      <c r="GD107">
        <v>0</v>
      </c>
      <c r="GF107">
        <v>194647264</v>
      </c>
      <c r="GG107">
        <v>1</v>
      </c>
      <c r="GH107">
        <v>1</v>
      </c>
      <c r="GI107">
        <v>4</v>
      </c>
      <c r="GJ107">
        <v>0</v>
      </c>
      <c r="GK107">
        <f>ROUND(R107*(R12)/100,2)</f>
        <v>0</v>
      </c>
      <c r="GL107">
        <f t="shared" si="118"/>
        <v>0</v>
      </c>
      <c r="GM107">
        <f t="shared" si="119"/>
        <v>796.22</v>
      </c>
      <c r="GN107">
        <f t="shared" si="120"/>
        <v>0</v>
      </c>
      <c r="GO107">
        <f t="shared" si="121"/>
        <v>796.22</v>
      </c>
      <c r="GP107">
        <f t="shared" si="122"/>
        <v>0</v>
      </c>
      <c r="GR107">
        <v>0</v>
      </c>
      <c r="GS107">
        <v>3</v>
      </c>
      <c r="GT107">
        <v>0</v>
      </c>
      <c r="GU107" t="s">
        <v>3</v>
      </c>
      <c r="GV107">
        <f t="shared" si="123"/>
        <v>0</v>
      </c>
      <c r="GW107">
        <v>1</v>
      </c>
      <c r="GX107">
        <f t="shared" si="124"/>
        <v>0</v>
      </c>
      <c r="HA107">
        <v>0</v>
      </c>
      <c r="HB107">
        <v>0</v>
      </c>
      <c r="IK107">
        <v>0</v>
      </c>
    </row>
    <row r="108" spans="1:245" x14ac:dyDescent="0.2">
      <c r="A108">
        <v>17</v>
      </c>
      <c r="B108">
        <v>1</v>
      </c>
      <c r="C108">
        <f>ROW(SmtRes!A261)</f>
        <v>261</v>
      </c>
      <c r="D108">
        <f>ROW(EtalonRes!A246)</f>
        <v>246</v>
      </c>
      <c r="E108" t="s">
        <v>342</v>
      </c>
      <c r="F108" t="s">
        <v>343</v>
      </c>
      <c r="G108" t="s">
        <v>344</v>
      </c>
      <c r="H108" t="s">
        <v>178</v>
      </c>
      <c r="I108">
        <v>10</v>
      </c>
      <c r="J108">
        <v>0</v>
      </c>
      <c r="O108">
        <f t="shared" si="92"/>
        <v>365.01</v>
      </c>
      <c r="P108">
        <f t="shared" si="93"/>
        <v>28.29</v>
      </c>
      <c r="Q108">
        <f t="shared" si="94"/>
        <v>0</v>
      </c>
      <c r="R108">
        <f t="shared" si="95"/>
        <v>0</v>
      </c>
      <c r="S108">
        <f t="shared" si="96"/>
        <v>336.72</v>
      </c>
      <c r="T108">
        <f t="shared" si="97"/>
        <v>0</v>
      </c>
      <c r="U108">
        <f t="shared" si="98"/>
        <v>5</v>
      </c>
      <c r="V108">
        <f t="shared" si="99"/>
        <v>0</v>
      </c>
      <c r="W108">
        <f t="shared" si="100"/>
        <v>0</v>
      </c>
      <c r="X108">
        <f t="shared" si="101"/>
        <v>269.38</v>
      </c>
      <c r="Y108">
        <f t="shared" si="102"/>
        <v>202.03</v>
      </c>
      <c r="AA108">
        <v>39579451</v>
      </c>
      <c r="AB108">
        <f t="shared" si="103"/>
        <v>5.29</v>
      </c>
      <c r="AC108">
        <f t="shared" si="130"/>
        <v>0.41</v>
      </c>
      <c r="AD108">
        <f t="shared" si="125"/>
        <v>0</v>
      </c>
      <c r="AE108">
        <f t="shared" si="126"/>
        <v>0</v>
      </c>
      <c r="AF108">
        <f t="shared" si="127"/>
        <v>4.88</v>
      </c>
      <c r="AG108">
        <f t="shared" si="104"/>
        <v>0</v>
      </c>
      <c r="AH108">
        <f t="shared" si="128"/>
        <v>0.5</v>
      </c>
      <c r="AI108">
        <f t="shared" si="129"/>
        <v>0</v>
      </c>
      <c r="AJ108">
        <f t="shared" si="105"/>
        <v>0</v>
      </c>
      <c r="AK108">
        <v>5.29</v>
      </c>
      <c r="AL108">
        <v>0.41</v>
      </c>
      <c r="AM108">
        <v>0</v>
      </c>
      <c r="AN108">
        <v>0</v>
      </c>
      <c r="AO108">
        <v>4.88</v>
      </c>
      <c r="AP108">
        <v>0</v>
      </c>
      <c r="AQ108">
        <v>0.5</v>
      </c>
      <c r="AR108">
        <v>0</v>
      </c>
      <c r="AS108">
        <v>0</v>
      </c>
      <c r="AT108">
        <v>80</v>
      </c>
      <c r="AU108">
        <v>60</v>
      </c>
      <c r="AV108">
        <v>1</v>
      </c>
      <c r="AW108">
        <v>1</v>
      </c>
      <c r="AZ108">
        <v>6.9</v>
      </c>
      <c r="BA108">
        <v>6.9</v>
      </c>
      <c r="BB108">
        <v>6.9</v>
      </c>
      <c r="BC108">
        <v>6.9</v>
      </c>
      <c r="BD108" t="s">
        <v>3</v>
      </c>
      <c r="BE108" t="s">
        <v>3</v>
      </c>
      <c r="BF108" t="s">
        <v>3</v>
      </c>
      <c r="BG108" t="s">
        <v>3</v>
      </c>
      <c r="BH108">
        <v>0</v>
      </c>
      <c r="BI108">
        <v>2</v>
      </c>
      <c r="BJ108" t="s">
        <v>345</v>
      </c>
      <c r="BM108">
        <v>110011</v>
      </c>
      <c r="BN108">
        <v>0</v>
      </c>
      <c r="BO108" t="s">
        <v>3</v>
      </c>
      <c r="BP108">
        <v>0</v>
      </c>
      <c r="BQ108">
        <v>3</v>
      </c>
      <c r="BR108">
        <v>0</v>
      </c>
      <c r="BS108">
        <v>6.9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3</v>
      </c>
      <c r="BZ108">
        <v>80</v>
      </c>
      <c r="CA108">
        <v>60</v>
      </c>
      <c r="CF108">
        <v>0</v>
      </c>
      <c r="CG108">
        <v>0</v>
      </c>
      <c r="CM108">
        <v>0</v>
      </c>
      <c r="CN108" t="s">
        <v>3</v>
      </c>
      <c r="CO108">
        <v>0</v>
      </c>
      <c r="CP108">
        <f t="shared" si="106"/>
        <v>365.01000000000005</v>
      </c>
      <c r="CQ108">
        <f t="shared" si="107"/>
        <v>2.8290000000000002</v>
      </c>
      <c r="CR108">
        <f t="shared" si="108"/>
        <v>0</v>
      </c>
      <c r="CS108">
        <f t="shared" si="109"/>
        <v>0</v>
      </c>
      <c r="CT108">
        <f t="shared" si="110"/>
        <v>33.672000000000004</v>
      </c>
      <c r="CU108">
        <f t="shared" si="111"/>
        <v>0</v>
      </c>
      <c r="CV108">
        <f t="shared" si="112"/>
        <v>0.5</v>
      </c>
      <c r="CW108">
        <f t="shared" si="113"/>
        <v>0</v>
      </c>
      <c r="CX108">
        <f t="shared" si="114"/>
        <v>0</v>
      </c>
      <c r="CY108">
        <f t="shared" si="115"/>
        <v>269.37600000000003</v>
      </c>
      <c r="CZ108">
        <f t="shared" si="116"/>
        <v>202.03200000000001</v>
      </c>
      <c r="DC108" t="s">
        <v>3</v>
      </c>
      <c r="DD108" t="s">
        <v>3</v>
      </c>
      <c r="DE108" t="s">
        <v>3</v>
      </c>
      <c r="DF108" t="s">
        <v>3</v>
      </c>
      <c r="DG108" t="s">
        <v>3</v>
      </c>
      <c r="DH108" t="s">
        <v>3</v>
      </c>
      <c r="DI108" t="s">
        <v>3</v>
      </c>
      <c r="DJ108" t="s">
        <v>3</v>
      </c>
      <c r="DK108" t="s">
        <v>3</v>
      </c>
      <c r="DL108" t="s">
        <v>3</v>
      </c>
      <c r="DM108" t="s">
        <v>3</v>
      </c>
      <c r="DN108">
        <v>0</v>
      </c>
      <c r="DO108">
        <v>0</v>
      </c>
      <c r="DP108">
        <v>1</v>
      </c>
      <c r="DQ108">
        <v>1</v>
      </c>
      <c r="DU108">
        <v>1013</v>
      </c>
      <c r="DV108" t="s">
        <v>178</v>
      </c>
      <c r="DW108" t="s">
        <v>178</v>
      </c>
      <c r="DX108">
        <v>1</v>
      </c>
      <c r="EE108">
        <v>39174433</v>
      </c>
      <c r="EF108">
        <v>3</v>
      </c>
      <c r="EG108" t="s">
        <v>293</v>
      </c>
      <c r="EH108">
        <v>0</v>
      </c>
      <c r="EI108" t="s">
        <v>3</v>
      </c>
      <c r="EJ108">
        <v>2</v>
      </c>
      <c r="EK108">
        <v>110011</v>
      </c>
      <c r="EL108" t="s">
        <v>346</v>
      </c>
      <c r="EM108" t="s">
        <v>347</v>
      </c>
      <c r="EO108" t="s">
        <v>3</v>
      </c>
      <c r="EQ108">
        <v>0</v>
      </c>
      <c r="ER108">
        <v>5.29</v>
      </c>
      <c r="ES108">
        <v>0.41</v>
      </c>
      <c r="ET108">
        <v>0</v>
      </c>
      <c r="EU108">
        <v>0</v>
      </c>
      <c r="EV108">
        <v>4.88</v>
      </c>
      <c r="EW108">
        <v>0.5</v>
      </c>
      <c r="EX108">
        <v>0</v>
      </c>
      <c r="EY108">
        <v>0</v>
      </c>
      <c r="FQ108">
        <v>0</v>
      </c>
      <c r="FR108">
        <f t="shared" si="117"/>
        <v>0</v>
      </c>
      <c r="FS108">
        <v>0</v>
      </c>
      <c r="FX108">
        <v>80</v>
      </c>
      <c r="FY108">
        <v>60</v>
      </c>
      <c r="GA108" t="s">
        <v>3</v>
      </c>
      <c r="GD108">
        <v>0</v>
      </c>
      <c r="GF108">
        <v>287023441</v>
      </c>
      <c r="GG108">
        <v>1</v>
      </c>
      <c r="GH108">
        <v>1</v>
      </c>
      <c r="GI108">
        <v>4</v>
      </c>
      <c r="GJ108">
        <v>0</v>
      </c>
      <c r="GK108">
        <f>ROUND(R108*(R12)/100,2)</f>
        <v>0</v>
      </c>
      <c r="GL108">
        <f t="shared" si="118"/>
        <v>0</v>
      </c>
      <c r="GM108">
        <f t="shared" si="119"/>
        <v>836.42</v>
      </c>
      <c r="GN108">
        <f t="shared" si="120"/>
        <v>0</v>
      </c>
      <c r="GO108">
        <f t="shared" si="121"/>
        <v>836.42</v>
      </c>
      <c r="GP108">
        <f t="shared" si="122"/>
        <v>0</v>
      </c>
      <c r="GR108">
        <v>0</v>
      </c>
      <c r="GS108">
        <v>3</v>
      </c>
      <c r="GT108">
        <v>0</v>
      </c>
      <c r="GU108" t="s">
        <v>3</v>
      </c>
      <c r="GV108">
        <f t="shared" si="123"/>
        <v>0</v>
      </c>
      <c r="GW108">
        <v>1</v>
      </c>
      <c r="GX108">
        <f t="shared" si="124"/>
        <v>0</v>
      </c>
      <c r="HA108">
        <v>0</v>
      </c>
      <c r="HB108">
        <v>0</v>
      </c>
      <c r="IK108">
        <v>0</v>
      </c>
    </row>
    <row r="109" spans="1:245" x14ac:dyDescent="0.2">
      <c r="A109">
        <v>18</v>
      </c>
      <c r="B109">
        <v>1</v>
      </c>
      <c r="C109">
        <v>260</v>
      </c>
      <c r="E109" t="s">
        <v>348</v>
      </c>
      <c r="F109" t="s">
        <v>349</v>
      </c>
      <c r="G109" t="s">
        <v>350</v>
      </c>
      <c r="H109" t="s">
        <v>351</v>
      </c>
      <c r="I109">
        <f>I108*J109</f>
        <v>1</v>
      </c>
      <c r="J109">
        <v>0.1</v>
      </c>
      <c r="O109">
        <f t="shared" si="92"/>
        <v>196.65</v>
      </c>
      <c r="P109">
        <f t="shared" si="93"/>
        <v>196.65</v>
      </c>
      <c r="Q109">
        <f t="shared" si="94"/>
        <v>0</v>
      </c>
      <c r="R109">
        <f t="shared" si="95"/>
        <v>0</v>
      </c>
      <c r="S109">
        <f t="shared" si="96"/>
        <v>0</v>
      </c>
      <c r="T109">
        <f t="shared" si="97"/>
        <v>0</v>
      </c>
      <c r="U109">
        <f t="shared" si="98"/>
        <v>0</v>
      </c>
      <c r="V109">
        <f t="shared" si="99"/>
        <v>0</v>
      </c>
      <c r="W109">
        <f t="shared" si="100"/>
        <v>0</v>
      </c>
      <c r="X109">
        <f t="shared" si="101"/>
        <v>0</v>
      </c>
      <c r="Y109">
        <f t="shared" si="102"/>
        <v>0</v>
      </c>
      <c r="AA109">
        <v>39579451</v>
      </c>
      <c r="AB109">
        <f t="shared" si="103"/>
        <v>28.5</v>
      </c>
      <c r="AC109">
        <f t="shared" si="130"/>
        <v>28.5</v>
      </c>
      <c r="AD109">
        <f t="shared" si="125"/>
        <v>0</v>
      </c>
      <c r="AE109">
        <f t="shared" si="126"/>
        <v>0</v>
      </c>
      <c r="AF109">
        <f t="shared" si="127"/>
        <v>0</v>
      </c>
      <c r="AG109">
        <f t="shared" si="104"/>
        <v>0</v>
      </c>
      <c r="AH109">
        <f t="shared" si="128"/>
        <v>0</v>
      </c>
      <c r="AI109">
        <f t="shared" si="129"/>
        <v>0</v>
      </c>
      <c r="AJ109">
        <f t="shared" si="105"/>
        <v>0</v>
      </c>
      <c r="AK109">
        <v>28.5</v>
      </c>
      <c r="AL109">
        <v>28.5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80</v>
      </c>
      <c r="AU109">
        <v>60</v>
      </c>
      <c r="AV109">
        <v>1</v>
      </c>
      <c r="AW109">
        <v>1</v>
      </c>
      <c r="AZ109">
        <v>6.9</v>
      </c>
      <c r="BA109">
        <v>1</v>
      </c>
      <c r="BB109">
        <v>1</v>
      </c>
      <c r="BC109">
        <v>6.9</v>
      </c>
      <c r="BD109" t="s">
        <v>3</v>
      </c>
      <c r="BE109" t="s">
        <v>3</v>
      </c>
      <c r="BF109" t="s">
        <v>3</v>
      </c>
      <c r="BG109" t="s">
        <v>3</v>
      </c>
      <c r="BH109">
        <v>3</v>
      </c>
      <c r="BI109">
        <v>2</v>
      </c>
      <c r="BJ109" t="s">
        <v>352</v>
      </c>
      <c r="BM109">
        <v>110011</v>
      </c>
      <c r="BN109">
        <v>0</v>
      </c>
      <c r="BO109" t="s">
        <v>3</v>
      </c>
      <c r="BP109">
        <v>0</v>
      </c>
      <c r="BQ109">
        <v>3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80</v>
      </c>
      <c r="CA109">
        <v>60</v>
      </c>
      <c r="CF109">
        <v>0</v>
      </c>
      <c r="CG109">
        <v>0</v>
      </c>
      <c r="CM109">
        <v>0</v>
      </c>
      <c r="CN109" t="s">
        <v>3</v>
      </c>
      <c r="CO109">
        <v>0</v>
      </c>
      <c r="CP109">
        <f t="shared" si="106"/>
        <v>196.65</v>
      </c>
      <c r="CQ109">
        <f t="shared" si="107"/>
        <v>196.65</v>
      </c>
      <c r="CR109">
        <f t="shared" si="108"/>
        <v>0</v>
      </c>
      <c r="CS109">
        <f t="shared" si="109"/>
        <v>0</v>
      </c>
      <c r="CT109">
        <f t="shared" si="110"/>
        <v>0</v>
      </c>
      <c r="CU109">
        <f t="shared" si="111"/>
        <v>0</v>
      </c>
      <c r="CV109">
        <f t="shared" si="112"/>
        <v>0</v>
      </c>
      <c r="CW109">
        <f t="shared" si="113"/>
        <v>0</v>
      </c>
      <c r="CX109">
        <f t="shared" si="114"/>
        <v>0</v>
      </c>
      <c r="CY109">
        <f t="shared" si="115"/>
        <v>0</v>
      </c>
      <c r="CZ109">
        <f t="shared" si="116"/>
        <v>0</v>
      </c>
      <c r="DC109" t="s">
        <v>3</v>
      </c>
      <c r="DD109" t="s">
        <v>3</v>
      </c>
      <c r="DE109" t="s">
        <v>3</v>
      </c>
      <c r="DF109" t="s">
        <v>3</v>
      </c>
      <c r="DG109" t="s">
        <v>3</v>
      </c>
      <c r="DH109" t="s">
        <v>3</v>
      </c>
      <c r="DI109" t="s">
        <v>3</v>
      </c>
      <c r="DJ109" t="s">
        <v>3</v>
      </c>
      <c r="DK109" t="s">
        <v>3</v>
      </c>
      <c r="DL109" t="s">
        <v>3</v>
      </c>
      <c r="DM109" t="s">
        <v>3</v>
      </c>
      <c r="DN109">
        <v>0</v>
      </c>
      <c r="DO109">
        <v>0</v>
      </c>
      <c r="DP109">
        <v>1</v>
      </c>
      <c r="DQ109">
        <v>1</v>
      </c>
      <c r="DU109">
        <v>1010</v>
      </c>
      <c r="DV109" t="s">
        <v>351</v>
      </c>
      <c r="DW109" t="s">
        <v>351</v>
      </c>
      <c r="DX109">
        <v>10</v>
      </c>
      <c r="EE109">
        <v>39174433</v>
      </c>
      <c r="EF109">
        <v>3</v>
      </c>
      <c r="EG109" t="s">
        <v>293</v>
      </c>
      <c r="EH109">
        <v>0</v>
      </c>
      <c r="EI109" t="s">
        <v>3</v>
      </c>
      <c r="EJ109">
        <v>2</v>
      </c>
      <c r="EK109">
        <v>110011</v>
      </c>
      <c r="EL109" t="s">
        <v>346</v>
      </c>
      <c r="EM109" t="s">
        <v>347</v>
      </c>
      <c r="EO109" t="s">
        <v>3</v>
      </c>
      <c r="EQ109">
        <v>0</v>
      </c>
      <c r="ER109">
        <v>28.5</v>
      </c>
      <c r="ES109">
        <v>28.5</v>
      </c>
      <c r="ET109">
        <v>0</v>
      </c>
      <c r="EU109">
        <v>0</v>
      </c>
      <c r="EV109">
        <v>0</v>
      </c>
      <c r="EW109">
        <v>0</v>
      </c>
      <c r="EX109">
        <v>0</v>
      </c>
      <c r="FQ109">
        <v>0</v>
      </c>
      <c r="FR109">
        <f t="shared" si="117"/>
        <v>0</v>
      </c>
      <c r="FS109">
        <v>0</v>
      </c>
      <c r="FX109">
        <v>80</v>
      </c>
      <c r="FY109">
        <v>60</v>
      </c>
      <c r="GA109" t="s">
        <v>3</v>
      </c>
      <c r="GD109">
        <v>0</v>
      </c>
      <c r="GF109">
        <v>990506408</v>
      </c>
      <c r="GG109">
        <v>1</v>
      </c>
      <c r="GH109">
        <v>1</v>
      </c>
      <c r="GI109">
        <v>4</v>
      </c>
      <c r="GJ109">
        <v>0</v>
      </c>
      <c r="GK109">
        <f>ROUND(R109*(R12)/100,2)</f>
        <v>0</v>
      </c>
      <c r="GL109">
        <f t="shared" si="118"/>
        <v>0</v>
      </c>
      <c r="GM109">
        <f t="shared" si="119"/>
        <v>196.65</v>
      </c>
      <c r="GN109">
        <f t="shared" si="120"/>
        <v>0</v>
      </c>
      <c r="GO109">
        <f t="shared" si="121"/>
        <v>196.65</v>
      </c>
      <c r="GP109">
        <f t="shared" si="122"/>
        <v>0</v>
      </c>
      <c r="GR109">
        <v>0</v>
      </c>
      <c r="GS109">
        <v>3</v>
      </c>
      <c r="GT109">
        <v>0</v>
      </c>
      <c r="GU109" t="s">
        <v>3</v>
      </c>
      <c r="GV109">
        <f t="shared" si="123"/>
        <v>0</v>
      </c>
      <c r="GW109">
        <v>1</v>
      </c>
      <c r="GX109">
        <f t="shared" si="124"/>
        <v>0</v>
      </c>
      <c r="HA109">
        <v>0</v>
      </c>
      <c r="HB109">
        <v>0</v>
      </c>
      <c r="IK109">
        <v>0</v>
      </c>
    </row>
    <row r="110" spans="1:245" x14ac:dyDescent="0.2">
      <c r="A110">
        <v>17</v>
      </c>
      <c r="B110">
        <v>1</v>
      </c>
      <c r="C110">
        <f>ROW(SmtRes!A271)</f>
        <v>271</v>
      </c>
      <c r="D110">
        <f>ROW(EtalonRes!A255)</f>
        <v>255</v>
      </c>
      <c r="E110" t="s">
        <v>353</v>
      </c>
      <c r="F110" t="s">
        <v>354</v>
      </c>
      <c r="G110" t="s">
        <v>355</v>
      </c>
      <c r="H110" t="s">
        <v>285</v>
      </c>
      <c r="I110">
        <f>ROUND(36/100,9)</f>
        <v>0.36</v>
      </c>
      <c r="J110">
        <v>0</v>
      </c>
      <c r="O110">
        <f t="shared" si="92"/>
        <v>917.21</v>
      </c>
      <c r="P110">
        <f t="shared" si="93"/>
        <v>154.55000000000001</v>
      </c>
      <c r="Q110">
        <f t="shared" si="94"/>
        <v>11.6</v>
      </c>
      <c r="R110">
        <f t="shared" si="95"/>
        <v>1.59</v>
      </c>
      <c r="S110">
        <f t="shared" si="96"/>
        <v>751.06</v>
      </c>
      <c r="T110">
        <f t="shared" si="97"/>
        <v>0</v>
      </c>
      <c r="U110">
        <f t="shared" si="98"/>
        <v>10.972799999999999</v>
      </c>
      <c r="V110">
        <f t="shared" si="99"/>
        <v>1.7999999999999999E-2</v>
      </c>
      <c r="W110">
        <f t="shared" si="100"/>
        <v>0</v>
      </c>
      <c r="X110">
        <f t="shared" si="101"/>
        <v>715.02</v>
      </c>
      <c r="Y110">
        <f t="shared" si="102"/>
        <v>489.22</v>
      </c>
      <c r="AA110">
        <v>39579451</v>
      </c>
      <c r="AB110">
        <f t="shared" si="103"/>
        <v>369.25</v>
      </c>
      <c r="AC110">
        <f t="shared" si="130"/>
        <v>62.22</v>
      </c>
      <c r="AD110">
        <f t="shared" si="125"/>
        <v>4.67</v>
      </c>
      <c r="AE110">
        <f t="shared" si="126"/>
        <v>0.64</v>
      </c>
      <c r="AF110">
        <f t="shared" si="127"/>
        <v>302.36</v>
      </c>
      <c r="AG110">
        <f t="shared" si="104"/>
        <v>0</v>
      </c>
      <c r="AH110">
        <f t="shared" si="128"/>
        <v>30.48</v>
      </c>
      <c r="AI110">
        <f t="shared" si="129"/>
        <v>0.05</v>
      </c>
      <c r="AJ110">
        <f t="shared" si="105"/>
        <v>0</v>
      </c>
      <c r="AK110">
        <v>369.25</v>
      </c>
      <c r="AL110">
        <v>62.22</v>
      </c>
      <c r="AM110">
        <v>4.67</v>
      </c>
      <c r="AN110">
        <v>0.64</v>
      </c>
      <c r="AO110">
        <v>302.36</v>
      </c>
      <c r="AP110">
        <v>0</v>
      </c>
      <c r="AQ110">
        <v>30.48</v>
      </c>
      <c r="AR110">
        <v>0.05</v>
      </c>
      <c r="AS110">
        <v>0</v>
      </c>
      <c r="AT110">
        <v>95</v>
      </c>
      <c r="AU110">
        <v>65</v>
      </c>
      <c r="AV110">
        <v>1</v>
      </c>
      <c r="AW110">
        <v>1</v>
      </c>
      <c r="AZ110">
        <v>6.9</v>
      </c>
      <c r="BA110">
        <v>6.9</v>
      </c>
      <c r="BB110">
        <v>6.9</v>
      </c>
      <c r="BC110">
        <v>6.9</v>
      </c>
      <c r="BD110" t="s">
        <v>3</v>
      </c>
      <c r="BE110" t="s">
        <v>3</v>
      </c>
      <c r="BF110" t="s">
        <v>3</v>
      </c>
      <c r="BG110" t="s">
        <v>3</v>
      </c>
      <c r="BH110">
        <v>0</v>
      </c>
      <c r="BI110">
        <v>2</v>
      </c>
      <c r="BJ110" t="s">
        <v>356</v>
      </c>
      <c r="BM110">
        <v>108001</v>
      </c>
      <c r="BN110">
        <v>0</v>
      </c>
      <c r="BO110" t="s">
        <v>3</v>
      </c>
      <c r="BP110">
        <v>0</v>
      </c>
      <c r="BQ110">
        <v>3</v>
      </c>
      <c r="BR110">
        <v>0</v>
      </c>
      <c r="BS110">
        <v>6.9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3</v>
      </c>
      <c r="BZ110">
        <v>95</v>
      </c>
      <c r="CA110">
        <v>65</v>
      </c>
      <c r="CF110">
        <v>0</v>
      </c>
      <c r="CG110">
        <v>0</v>
      </c>
      <c r="CM110">
        <v>0</v>
      </c>
      <c r="CN110" t="s">
        <v>3</v>
      </c>
      <c r="CO110">
        <v>0</v>
      </c>
      <c r="CP110">
        <f t="shared" si="106"/>
        <v>917.20999999999992</v>
      </c>
      <c r="CQ110">
        <f t="shared" si="107"/>
        <v>429.31800000000004</v>
      </c>
      <c r="CR110">
        <f t="shared" si="108"/>
        <v>32.222999999999999</v>
      </c>
      <c r="CS110">
        <f t="shared" si="109"/>
        <v>4.4160000000000004</v>
      </c>
      <c r="CT110">
        <f t="shared" si="110"/>
        <v>2086.2840000000001</v>
      </c>
      <c r="CU110">
        <f t="shared" si="111"/>
        <v>0</v>
      </c>
      <c r="CV110">
        <f t="shared" si="112"/>
        <v>30.48</v>
      </c>
      <c r="CW110">
        <f t="shared" si="113"/>
        <v>0.05</v>
      </c>
      <c r="CX110">
        <f t="shared" si="114"/>
        <v>0</v>
      </c>
      <c r="CY110">
        <f t="shared" si="115"/>
        <v>715.01750000000004</v>
      </c>
      <c r="CZ110">
        <f t="shared" si="116"/>
        <v>489.22250000000003</v>
      </c>
      <c r="DC110" t="s">
        <v>3</v>
      </c>
      <c r="DD110" t="s">
        <v>3</v>
      </c>
      <c r="DE110" t="s">
        <v>3</v>
      </c>
      <c r="DF110" t="s">
        <v>3</v>
      </c>
      <c r="DG110" t="s">
        <v>3</v>
      </c>
      <c r="DH110" t="s">
        <v>3</v>
      </c>
      <c r="DI110" t="s">
        <v>3</v>
      </c>
      <c r="DJ110" t="s">
        <v>3</v>
      </c>
      <c r="DK110" t="s">
        <v>3</v>
      </c>
      <c r="DL110" t="s">
        <v>3</v>
      </c>
      <c r="DM110" t="s">
        <v>3</v>
      </c>
      <c r="DN110">
        <v>0</v>
      </c>
      <c r="DO110">
        <v>0</v>
      </c>
      <c r="DP110">
        <v>1</v>
      </c>
      <c r="DQ110">
        <v>1</v>
      </c>
      <c r="DU110">
        <v>1013</v>
      </c>
      <c r="DV110" t="s">
        <v>285</v>
      </c>
      <c r="DW110" t="s">
        <v>285</v>
      </c>
      <c r="DX110">
        <v>1</v>
      </c>
      <c r="EE110">
        <v>39174386</v>
      </c>
      <c r="EF110">
        <v>3</v>
      </c>
      <c r="EG110" t="s">
        <v>293</v>
      </c>
      <c r="EH110">
        <v>0</v>
      </c>
      <c r="EI110" t="s">
        <v>3</v>
      </c>
      <c r="EJ110">
        <v>2</v>
      </c>
      <c r="EK110">
        <v>108001</v>
      </c>
      <c r="EL110" t="s">
        <v>294</v>
      </c>
      <c r="EM110" t="s">
        <v>295</v>
      </c>
      <c r="EO110" t="s">
        <v>3</v>
      </c>
      <c r="EQ110">
        <v>0</v>
      </c>
      <c r="ER110">
        <v>369.25</v>
      </c>
      <c r="ES110">
        <v>62.22</v>
      </c>
      <c r="ET110">
        <v>4.67</v>
      </c>
      <c r="EU110">
        <v>0.64</v>
      </c>
      <c r="EV110">
        <v>302.36</v>
      </c>
      <c r="EW110">
        <v>30.48</v>
      </c>
      <c r="EX110">
        <v>0.05</v>
      </c>
      <c r="EY110">
        <v>0</v>
      </c>
      <c r="FQ110">
        <v>0</v>
      </c>
      <c r="FR110">
        <f t="shared" si="117"/>
        <v>0</v>
      </c>
      <c r="FS110">
        <v>0</v>
      </c>
      <c r="FX110">
        <v>95</v>
      </c>
      <c r="FY110">
        <v>65</v>
      </c>
      <c r="GA110" t="s">
        <v>3</v>
      </c>
      <c r="GD110">
        <v>0</v>
      </c>
      <c r="GF110">
        <v>-1066145640</v>
      </c>
      <c r="GG110">
        <v>1</v>
      </c>
      <c r="GH110">
        <v>1</v>
      </c>
      <c r="GI110">
        <v>4</v>
      </c>
      <c r="GJ110">
        <v>0</v>
      </c>
      <c r="GK110">
        <f>ROUND(R110*(R12)/100,2)</f>
        <v>0</v>
      </c>
      <c r="GL110">
        <f t="shared" si="118"/>
        <v>0</v>
      </c>
      <c r="GM110">
        <f t="shared" si="119"/>
        <v>2121.4499999999998</v>
      </c>
      <c r="GN110">
        <f t="shared" si="120"/>
        <v>0</v>
      </c>
      <c r="GO110">
        <f t="shared" si="121"/>
        <v>2121.4499999999998</v>
      </c>
      <c r="GP110">
        <f t="shared" si="122"/>
        <v>0</v>
      </c>
      <c r="GR110">
        <v>0</v>
      </c>
      <c r="GS110">
        <v>3</v>
      </c>
      <c r="GT110">
        <v>0</v>
      </c>
      <c r="GU110" t="s">
        <v>3</v>
      </c>
      <c r="GV110">
        <f t="shared" si="123"/>
        <v>0</v>
      </c>
      <c r="GW110">
        <v>1</v>
      </c>
      <c r="GX110">
        <f t="shared" si="124"/>
        <v>0</v>
      </c>
      <c r="HA110">
        <v>0</v>
      </c>
      <c r="HB110">
        <v>0</v>
      </c>
      <c r="IK110">
        <v>0</v>
      </c>
    </row>
    <row r="111" spans="1:245" x14ac:dyDescent="0.2">
      <c r="A111">
        <v>18</v>
      </c>
      <c r="B111">
        <v>1</v>
      </c>
      <c r="C111">
        <v>270</v>
      </c>
      <c r="E111" t="s">
        <v>357</v>
      </c>
      <c r="F111" t="s">
        <v>358</v>
      </c>
      <c r="G111" t="s">
        <v>359</v>
      </c>
      <c r="H111" t="s">
        <v>360</v>
      </c>
      <c r="I111">
        <f>I110*J111</f>
        <v>0.36</v>
      </c>
      <c r="J111">
        <v>1</v>
      </c>
      <c r="O111">
        <f t="shared" si="92"/>
        <v>7992.05</v>
      </c>
      <c r="P111">
        <f t="shared" si="93"/>
        <v>7992.05</v>
      </c>
      <c r="Q111">
        <f t="shared" si="94"/>
        <v>0</v>
      </c>
      <c r="R111">
        <f t="shared" si="95"/>
        <v>0</v>
      </c>
      <c r="S111">
        <f t="shared" si="96"/>
        <v>0</v>
      </c>
      <c r="T111">
        <f t="shared" si="97"/>
        <v>0</v>
      </c>
      <c r="U111">
        <f t="shared" si="98"/>
        <v>0</v>
      </c>
      <c r="V111">
        <f t="shared" si="99"/>
        <v>0</v>
      </c>
      <c r="W111">
        <f t="shared" si="100"/>
        <v>0</v>
      </c>
      <c r="X111">
        <f t="shared" si="101"/>
        <v>0</v>
      </c>
      <c r="Y111">
        <f t="shared" si="102"/>
        <v>0</v>
      </c>
      <c r="AA111">
        <v>39579451</v>
      </c>
      <c r="AB111">
        <f t="shared" si="103"/>
        <v>3217.41</v>
      </c>
      <c r="AC111">
        <f t="shared" si="130"/>
        <v>3217.41</v>
      </c>
      <c r="AD111">
        <f t="shared" si="125"/>
        <v>0</v>
      </c>
      <c r="AE111">
        <f t="shared" si="126"/>
        <v>0</v>
      </c>
      <c r="AF111">
        <f t="shared" si="127"/>
        <v>0</v>
      </c>
      <c r="AG111">
        <f t="shared" si="104"/>
        <v>0</v>
      </c>
      <c r="AH111">
        <f t="shared" si="128"/>
        <v>0</v>
      </c>
      <c r="AI111">
        <f t="shared" si="129"/>
        <v>0</v>
      </c>
      <c r="AJ111">
        <f t="shared" si="105"/>
        <v>0</v>
      </c>
      <c r="AK111">
        <v>3217.41</v>
      </c>
      <c r="AL111">
        <v>3217.41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95</v>
      </c>
      <c r="AU111">
        <v>65</v>
      </c>
      <c r="AV111">
        <v>1</v>
      </c>
      <c r="AW111">
        <v>1</v>
      </c>
      <c r="AZ111">
        <v>6.9</v>
      </c>
      <c r="BA111">
        <v>1</v>
      </c>
      <c r="BB111">
        <v>1</v>
      </c>
      <c r="BC111">
        <v>6.9</v>
      </c>
      <c r="BD111" t="s">
        <v>3</v>
      </c>
      <c r="BE111" t="s">
        <v>3</v>
      </c>
      <c r="BF111" t="s">
        <v>3</v>
      </c>
      <c r="BG111" t="s">
        <v>3</v>
      </c>
      <c r="BH111">
        <v>3</v>
      </c>
      <c r="BI111">
        <v>2</v>
      </c>
      <c r="BJ111" t="s">
        <v>361</v>
      </c>
      <c r="BM111">
        <v>108001</v>
      </c>
      <c r="BN111">
        <v>0</v>
      </c>
      <c r="BO111" t="s">
        <v>3</v>
      </c>
      <c r="BP111">
        <v>0</v>
      </c>
      <c r="BQ111">
        <v>3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95</v>
      </c>
      <c r="CA111">
        <v>65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106"/>
        <v>7992.05</v>
      </c>
      <c r="CQ111">
        <f t="shared" si="107"/>
        <v>22200.129000000001</v>
      </c>
      <c r="CR111">
        <f t="shared" si="108"/>
        <v>0</v>
      </c>
      <c r="CS111">
        <f t="shared" si="109"/>
        <v>0</v>
      </c>
      <c r="CT111">
        <f t="shared" si="110"/>
        <v>0</v>
      </c>
      <c r="CU111">
        <f t="shared" si="111"/>
        <v>0</v>
      </c>
      <c r="CV111">
        <f t="shared" si="112"/>
        <v>0</v>
      </c>
      <c r="CW111">
        <f t="shared" si="113"/>
        <v>0</v>
      </c>
      <c r="CX111">
        <f t="shared" si="114"/>
        <v>0</v>
      </c>
      <c r="CY111">
        <f t="shared" si="115"/>
        <v>0</v>
      </c>
      <c r="CZ111">
        <f t="shared" si="116"/>
        <v>0</v>
      </c>
      <c r="DC111" t="s">
        <v>3</v>
      </c>
      <c r="DD111" t="s">
        <v>3</v>
      </c>
      <c r="DE111" t="s">
        <v>3</v>
      </c>
      <c r="DF111" t="s">
        <v>3</v>
      </c>
      <c r="DG111" t="s">
        <v>3</v>
      </c>
      <c r="DH111" t="s">
        <v>3</v>
      </c>
      <c r="DI111" t="s">
        <v>3</v>
      </c>
      <c r="DJ111" t="s">
        <v>3</v>
      </c>
      <c r="DK111" t="s">
        <v>3</v>
      </c>
      <c r="DL111" t="s">
        <v>3</v>
      </c>
      <c r="DM111" t="s">
        <v>3</v>
      </c>
      <c r="DN111">
        <v>0</v>
      </c>
      <c r="DO111">
        <v>0</v>
      </c>
      <c r="DP111">
        <v>1</v>
      </c>
      <c r="DQ111">
        <v>1</v>
      </c>
      <c r="DU111">
        <v>1010</v>
      </c>
      <c r="DV111" t="s">
        <v>360</v>
      </c>
      <c r="DW111" t="s">
        <v>360</v>
      </c>
      <c r="DX111">
        <v>100</v>
      </c>
      <c r="EE111">
        <v>39174386</v>
      </c>
      <c r="EF111">
        <v>3</v>
      </c>
      <c r="EG111" t="s">
        <v>293</v>
      </c>
      <c r="EH111">
        <v>0</v>
      </c>
      <c r="EI111" t="s">
        <v>3</v>
      </c>
      <c r="EJ111">
        <v>2</v>
      </c>
      <c r="EK111">
        <v>108001</v>
      </c>
      <c r="EL111" t="s">
        <v>294</v>
      </c>
      <c r="EM111" t="s">
        <v>295</v>
      </c>
      <c r="EO111" t="s">
        <v>3</v>
      </c>
      <c r="EQ111">
        <v>0</v>
      </c>
      <c r="ER111">
        <v>3217.41</v>
      </c>
      <c r="ES111">
        <v>3217.41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17"/>
        <v>0</v>
      </c>
      <c r="FS111">
        <v>0</v>
      </c>
      <c r="FX111">
        <v>95</v>
      </c>
      <c r="FY111">
        <v>65</v>
      </c>
      <c r="GA111" t="s">
        <v>3</v>
      </c>
      <c r="GD111">
        <v>0</v>
      </c>
      <c r="GF111">
        <v>2039165603</v>
      </c>
      <c r="GG111">
        <v>1</v>
      </c>
      <c r="GH111">
        <v>1</v>
      </c>
      <c r="GI111">
        <v>4</v>
      </c>
      <c r="GJ111">
        <v>0</v>
      </c>
      <c r="GK111">
        <f>ROUND(R111*(R12)/100,2)</f>
        <v>0</v>
      </c>
      <c r="GL111">
        <f t="shared" si="118"/>
        <v>0</v>
      </c>
      <c r="GM111">
        <f t="shared" si="119"/>
        <v>7992.05</v>
      </c>
      <c r="GN111">
        <f t="shared" si="120"/>
        <v>0</v>
      </c>
      <c r="GO111">
        <f t="shared" si="121"/>
        <v>7992.05</v>
      </c>
      <c r="GP111">
        <f t="shared" si="122"/>
        <v>0</v>
      </c>
      <c r="GR111">
        <v>0</v>
      </c>
      <c r="GS111">
        <v>3</v>
      </c>
      <c r="GT111">
        <v>0</v>
      </c>
      <c r="GU111" t="s">
        <v>3</v>
      </c>
      <c r="GV111">
        <f t="shared" si="123"/>
        <v>0</v>
      </c>
      <c r="GW111">
        <v>1</v>
      </c>
      <c r="GX111">
        <f t="shared" si="124"/>
        <v>0</v>
      </c>
      <c r="HA111">
        <v>0</v>
      </c>
      <c r="HB111">
        <v>0</v>
      </c>
      <c r="IK111">
        <v>0</v>
      </c>
    </row>
    <row r="112" spans="1:245" x14ac:dyDescent="0.2">
      <c r="A112">
        <v>17</v>
      </c>
      <c r="B112">
        <v>1</v>
      </c>
      <c r="C112">
        <f>ROW(SmtRes!A286)</f>
        <v>286</v>
      </c>
      <c r="D112">
        <f>ROW(EtalonRes!A269)</f>
        <v>269</v>
      </c>
      <c r="E112" t="s">
        <v>362</v>
      </c>
      <c r="F112" t="s">
        <v>363</v>
      </c>
      <c r="G112" t="s">
        <v>364</v>
      </c>
      <c r="H112" t="s">
        <v>178</v>
      </c>
      <c r="I112">
        <v>2</v>
      </c>
      <c r="J112">
        <v>0</v>
      </c>
      <c r="O112">
        <f t="shared" si="92"/>
        <v>496.52</v>
      </c>
      <c r="P112">
        <f t="shared" si="93"/>
        <v>277.24</v>
      </c>
      <c r="Q112">
        <f t="shared" si="94"/>
        <v>14.49</v>
      </c>
      <c r="R112">
        <f t="shared" si="95"/>
        <v>0</v>
      </c>
      <c r="S112">
        <f t="shared" si="96"/>
        <v>204.79</v>
      </c>
      <c r="T112">
        <f t="shared" si="97"/>
        <v>0</v>
      </c>
      <c r="U112">
        <f t="shared" si="98"/>
        <v>3.12</v>
      </c>
      <c r="V112">
        <f t="shared" si="99"/>
        <v>0</v>
      </c>
      <c r="W112">
        <f t="shared" si="100"/>
        <v>0</v>
      </c>
      <c r="X112">
        <f t="shared" si="101"/>
        <v>194.55</v>
      </c>
      <c r="Y112">
        <f t="shared" si="102"/>
        <v>133.11000000000001</v>
      </c>
      <c r="AA112">
        <v>39579451</v>
      </c>
      <c r="AB112">
        <f t="shared" si="103"/>
        <v>35.979999999999997</v>
      </c>
      <c r="AC112">
        <f t="shared" si="130"/>
        <v>20.09</v>
      </c>
      <c r="AD112">
        <f t="shared" si="125"/>
        <v>1.05</v>
      </c>
      <c r="AE112">
        <f t="shared" si="126"/>
        <v>0</v>
      </c>
      <c r="AF112">
        <f t="shared" si="127"/>
        <v>14.84</v>
      </c>
      <c r="AG112">
        <f t="shared" si="104"/>
        <v>0</v>
      </c>
      <c r="AH112">
        <f t="shared" si="128"/>
        <v>1.56</v>
      </c>
      <c r="AI112">
        <f t="shared" si="129"/>
        <v>0</v>
      </c>
      <c r="AJ112">
        <f t="shared" si="105"/>
        <v>0</v>
      </c>
      <c r="AK112">
        <v>35.979999999999997</v>
      </c>
      <c r="AL112">
        <v>20.09</v>
      </c>
      <c r="AM112">
        <v>1.05</v>
      </c>
      <c r="AN112">
        <v>0</v>
      </c>
      <c r="AO112">
        <v>14.84</v>
      </c>
      <c r="AP112">
        <v>0</v>
      </c>
      <c r="AQ112">
        <v>1.56</v>
      </c>
      <c r="AR112">
        <v>0</v>
      </c>
      <c r="AS112">
        <v>0</v>
      </c>
      <c r="AT112">
        <v>95</v>
      </c>
      <c r="AU112">
        <v>65</v>
      </c>
      <c r="AV112">
        <v>1</v>
      </c>
      <c r="AW112">
        <v>1</v>
      </c>
      <c r="AZ112">
        <v>6.9</v>
      </c>
      <c r="BA112">
        <v>6.9</v>
      </c>
      <c r="BB112">
        <v>6.9</v>
      </c>
      <c r="BC112">
        <v>6.9</v>
      </c>
      <c r="BD112" t="s">
        <v>3</v>
      </c>
      <c r="BE112" t="s">
        <v>3</v>
      </c>
      <c r="BF112" t="s">
        <v>3</v>
      </c>
      <c r="BG112" t="s">
        <v>3</v>
      </c>
      <c r="BH112">
        <v>0</v>
      </c>
      <c r="BI112">
        <v>2</v>
      </c>
      <c r="BJ112" t="s">
        <v>365</v>
      </c>
      <c r="BM112">
        <v>108001</v>
      </c>
      <c r="BN112">
        <v>0</v>
      </c>
      <c r="BO112" t="s">
        <v>3</v>
      </c>
      <c r="BP112">
        <v>0</v>
      </c>
      <c r="BQ112">
        <v>3</v>
      </c>
      <c r="BR112">
        <v>0</v>
      </c>
      <c r="BS112">
        <v>6.9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3</v>
      </c>
      <c r="BZ112">
        <v>95</v>
      </c>
      <c r="CA112">
        <v>65</v>
      </c>
      <c r="CF112">
        <v>0</v>
      </c>
      <c r="CG112">
        <v>0</v>
      </c>
      <c r="CM112">
        <v>0</v>
      </c>
      <c r="CN112" t="s">
        <v>3</v>
      </c>
      <c r="CO112">
        <v>0</v>
      </c>
      <c r="CP112">
        <f t="shared" si="106"/>
        <v>496.52</v>
      </c>
      <c r="CQ112">
        <f t="shared" si="107"/>
        <v>138.62100000000001</v>
      </c>
      <c r="CR112">
        <f t="shared" si="108"/>
        <v>7.245000000000001</v>
      </c>
      <c r="CS112">
        <f t="shared" si="109"/>
        <v>0</v>
      </c>
      <c r="CT112">
        <f t="shared" si="110"/>
        <v>102.396</v>
      </c>
      <c r="CU112">
        <f t="shared" si="111"/>
        <v>0</v>
      </c>
      <c r="CV112">
        <f t="shared" si="112"/>
        <v>1.56</v>
      </c>
      <c r="CW112">
        <f t="shared" si="113"/>
        <v>0</v>
      </c>
      <c r="CX112">
        <f t="shared" si="114"/>
        <v>0</v>
      </c>
      <c r="CY112">
        <f t="shared" si="115"/>
        <v>194.5505</v>
      </c>
      <c r="CZ112">
        <f t="shared" si="116"/>
        <v>133.11350000000002</v>
      </c>
      <c r="DC112" t="s">
        <v>3</v>
      </c>
      <c r="DD112" t="s">
        <v>3</v>
      </c>
      <c r="DE112" t="s">
        <v>3</v>
      </c>
      <c r="DF112" t="s">
        <v>3</v>
      </c>
      <c r="DG112" t="s">
        <v>3</v>
      </c>
      <c r="DH112" t="s">
        <v>3</v>
      </c>
      <c r="DI112" t="s">
        <v>3</v>
      </c>
      <c r="DJ112" t="s">
        <v>3</v>
      </c>
      <c r="DK112" t="s">
        <v>3</v>
      </c>
      <c r="DL112" t="s">
        <v>3</v>
      </c>
      <c r="DM112" t="s">
        <v>3</v>
      </c>
      <c r="DN112">
        <v>0</v>
      </c>
      <c r="DO112">
        <v>0</v>
      </c>
      <c r="DP112">
        <v>1</v>
      </c>
      <c r="DQ112">
        <v>1</v>
      </c>
      <c r="DU112">
        <v>1013</v>
      </c>
      <c r="DV112" t="s">
        <v>178</v>
      </c>
      <c r="DW112" t="s">
        <v>178</v>
      </c>
      <c r="DX112">
        <v>1</v>
      </c>
      <c r="EE112">
        <v>39174386</v>
      </c>
      <c r="EF112">
        <v>3</v>
      </c>
      <c r="EG112" t="s">
        <v>293</v>
      </c>
      <c r="EH112">
        <v>0</v>
      </c>
      <c r="EI112" t="s">
        <v>3</v>
      </c>
      <c r="EJ112">
        <v>2</v>
      </c>
      <c r="EK112">
        <v>108001</v>
      </c>
      <c r="EL112" t="s">
        <v>294</v>
      </c>
      <c r="EM112" t="s">
        <v>295</v>
      </c>
      <c r="EO112" t="s">
        <v>3</v>
      </c>
      <c r="EQ112">
        <v>0</v>
      </c>
      <c r="ER112">
        <v>35.979999999999997</v>
      </c>
      <c r="ES112">
        <v>20.09</v>
      </c>
      <c r="ET112">
        <v>1.05</v>
      </c>
      <c r="EU112">
        <v>0</v>
      </c>
      <c r="EV112">
        <v>14.84</v>
      </c>
      <c r="EW112">
        <v>1.56</v>
      </c>
      <c r="EX112">
        <v>0</v>
      </c>
      <c r="EY112">
        <v>0</v>
      </c>
      <c r="FQ112">
        <v>0</v>
      </c>
      <c r="FR112">
        <f t="shared" si="117"/>
        <v>0</v>
      </c>
      <c r="FS112">
        <v>0</v>
      </c>
      <c r="FX112">
        <v>95</v>
      </c>
      <c r="FY112">
        <v>65</v>
      </c>
      <c r="GA112" t="s">
        <v>3</v>
      </c>
      <c r="GD112">
        <v>0</v>
      </c>
      <c r="GF112">
        <v>942868882</v>
      </c>
      <c r="GG112">
        <v>1</v>
      </c>
      <c r="GH112">
        <v>1</v>
      </c>
      <c r="GI112">
        <v>4</v>
      </c>
      <c r="GJ112">
        <v>0</v>
      </c>
      <c r="GK112">
        <f>ROUND(R112*(R12)/100,2)</f>
        <v>0</v>
      </c>
      <c r="GL112">
        <f t="shared" si="118"/>
        <v>0</v>
      </c>
      <c r="GM112">
        <f t="shared" si="119"/>
        <v>824.18</v>
      </c>
      <c r="GN112">
        <f t="shared" si="120"/>
        <v>0</v>
      </c>
      <c r="GO112">
        <f t="shared" si="121"/>
        <v>824.18</v>
      </c>
      <c r="GP112">
        <f t="shared" si="122"/>
        <v>0</v>
      </c>
      <c r="GR112">
        <v>0</v>
      </c>
      <c r="GS112">
        <v>3</v>
      </c>
      <c r="GT112">
        <v>0</v>
      </c>
      <c r="GU112" t="s">
        <v>3</v>
      </c>
      <c r="GV112">
        <f t="shared" si="123"/>
        <v>0</v>
      </c>
      <c r="GW112">
        <v>1</v>
      </c>
      <c r="GX112">
        <f t="shared" si="124"/>
        <v>0</v>
      </c>
      <c r="HA112">
        <v>0</v>
      </c>
      <c r="HB112">
        <v>0</v>
      </c>
      <c r="IK112">
        <v>0</v>
      </c>
    </row>
    <row r="113" spans="1:245" x14ac:dyDescent="0.2">
      <c r="A113">
        <v>18</v>
      </c>
      <c r="B113">
        <v>1</v>
      </c>
      <c r="C113">
        <v>285</v>
      </c>
      <c r="E113" t="s">
        <v>366</v>
      </c>
      <c r="F113" t="s">
        <v>367</v>
      </c>
      <c r="G113" t="s">
        <v>368</v>
      </c>
      <c r="H113" t="s">
        <v>189</v>
      </c>
      <c r="I113">
        <f>I112*J113</f>
        <v>2</v>
      </c>
      <c r="J113">
        <v>1</v>
      </c>
      <c r="O113">
        <f t="shared" si="92"/>
        <v>1313.21</v>
      </c>
      <c r="P113">
        <f t="shared" si="93"/>
        <v>1313.21</v>
      </c>
      <c r="Q113">
        <f t="shared" si="94"/>
        <v>0</v>
      </c>
      <c r="R113">
        <f t="shared" si="95"/>
        <v>0</v>
      </c>
      <c r="S113">
        <f t="shared" si="96"/>
        <v>0</v>
      </c>
      <c r="T113">
        <f t="shared" si="97"/>
        <v>0</v>
      </c>
      <c r="U113">
        <f t="shared" si="98"/>
        <v>0</v>
      </c>
      <c r="V113">
        <f t="shared" si="99"/>
        <v>0</v>
      </c>
      <c r="W113">
        <f t="shared" si="100"/>
        <v>0</v>
      </c>
      <c r="X113">
        <f t="shared" si="101"/>
        <v>0</v>
      </c>
      <c r="Y113">
        <f t="shared" si="102"/>
        <v>0</v>
      </c>
      <c r="AA113">
        <v>39579451</v>
      </c>
      <c r="AB113">
        <f t="shared" si="103"/>
        <v>95.16</v>
      </c>
      <c r="AC113">
        <f t="shared" si="130"/>
        <v>95.16</v>
      </c>
      <c r="AD113">
        <f t="shared" si="125"/>
        <v>0</v>
      </c>
      <c r="AE113">
        <f t="shared" si="126"/>
        <v>0</v>
      </c>
      <c r="AF113">
        <f t="shared" si="127"/>
        <v>0</v>
      </c>
      <c r="AG113">
        <f t="shared" si="104"/>
        <v>0</v>
      </c>
      <c r="AH113">
        <f t="shared" si="128"/>
        <v>0</v>
      </c>
      <c r="AI113">
        <f t="shared" si="129"/>
        <v>0</v>
      </c>
      <c r="AJ113">
        <f t="shared" si="105"/>
        <v>0</v>
      </c>
      <c r="AK113">
        <v>95.16</v>
      </c>
      <c r="AL113">
        <v>95.16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95</v>
      </c>
      <c r="AU113">
        <v>65</v>
      </c>
      <c r="AV113">
        <v>1</v>
      </c>
      <c r="AW113">
        <v>1</v>
      </c>
      <c r="AZ113">
        <v>6.9</v>
      </c>
      <c r="BA113">
        <v>1</v>
      </c>
      <c r="BB113">
        <v>1</v>
      </c>
      <c r="BC113">
        <v>6.9</v>
      </c>
      <c r="BD113" t="s">
        <v>3</v>
      </c>
      <c r="BE113" t="s">
        <v>3</v>
      </c>
      <c r="BF113" t="s">
        <v>3</v>
      </c>
      <c r="BG113" t="s">
        <v>3</v>
      </c>
      <c r="BH113">
        <v>3</v>
      </c>
      <c r="BI113">
        <v>2</v>
      </c>
      <c r="BJ113" t="s">
        <v>369</v>
      </c>
      <c r="BM113">
        <v>108001</v>
      </c>
      <c r="BN113">
        <v>0</v>
      </c>
      <c r="BO113" t="s">
        <v>3</v>
      </c>
      <c r="BP113">
        <v>0</v>
      </c>
      <c r="BQ113">
        <v>3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95</v>
      </c>
      <c r="CA113">
        <v>65</v>
      </c>
      <c r="CF113">
        <v>0</v>
      </c>
      <c r="CG113">
        <v>0</v>
      </c>
      <c r="CM113">
        <v>0</v>
      </c>
      <c r="CN113" t="s">
        <v>3</v>
      </c>
      <c r="CO113">
        <v>0</v>
      </c>
      <c r="CP113">
        <f t="shared" si="106"/>
        <v>1313.21</v>
      </c>
      <c r="CQ113">
        <f t="shared" si="107"/>
        <v>656.60400000000004</v>
      </c>
      <c r="CR113">
        <f t="shared" si="108"/>
        <v>0</v>
      </c>
      <c r="CS113">
        <f t="shared" si="109"/>
        <v>0</v>
      </c>
      <c r="CT113">
        <f t="shared" si="110"/>
        <v>0</v>
      </c>
      <c r="CU113">
        <f t="shared" si="111"/>
        <v>0</v>
      </c>
      <c r="CV113">
        <f t="shared" si="112"/>
        <v>0</v>
      </c>
      <c r="CW113">
        <f t="shared" si="113"/>
        <v>0</v>
      </c>
      <c r="CX113">
        <f t="shared" si="114"/>
        <v>0</v>
      </c>
      <c r="CY113">
        <f t="shared" si="115"/>
        <v>0</v>
      </c>
      <c r="CZ113">
        <f t="shared" si="116"/>
        <v>0</v>
      </c>
      <c r="DC113" t="s">
        <v>3</v>
      </c>
      <c r="DD113" t="s">
        <v>3</v>
      </c>
      <c r="DE113" t="s">
        <v>3</v>
      </c>
      <c r="DF113" t="s">
        <v>3</v>
      </c>
      <c r="DG113" t="s">
        <v>3</v>
      </c>
      <c r="DH113" t="s">
        <v>3</v>
      </c>
      <c r="DI113" t="s">
        <v>3</v>
      </c>
      <c r="DJ113" t="s">
        <v>3</v>
      </c>
      <c r="DK113" t="s">
        <v>3</v>
      </c>
      <c r="DL113" t="s">
        <v>3</v>
      </c>
      <c r="DM113" t="s">
        <v>3</v>
      </c>
      <c r="DN113">
        <v>0</v>
      </c>
      <c r="DO113">
        <v>0</v>
      </c>
      <c r="DP113">
        <v>1</v>
      </c>
      <c r="DQ113">
        <v>1</v>
      </c>
      <c r="DU113">
        <v>1010</v>
      </c>
      <c r="DV113" t="s">
        <v>189</v>
      </c>
      <c r="DW113" t="s">
        <v>189</v>
      </c>
      <c r="DX113">
        <v>1</v>
      </c>
      <c r="EE113">
        <v>39174386</v>
      </c>
      <c r="EF113">
        <v>3</v>
      </c>
      <c r="EG113" t="s">
        <v>293</v>
      </c>
      <c r="EH113">
        <v>0</v>
      </c>
      <c r="EI113" t="s">
        <v>3</v>
      </c>
      <c r="EJ113">
        <v>2</v>
      </c>
      <c r="EK113">
        <v>108001</v>
      </c>
      <c r="EL113" t="s">
        <v>294</v>
      </c>
      <c r="EM113" t="s">
        <v>295</v>
      </c>
      <c r="EO113" t="s">
        <v>3</v>
      </c>
      <c r="EQ113">
        <v>0</v>
      </c>
      <c r="ER113">
        <v>95.16</v>
      </c>
      <c r="ES113">
        <v>95.16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17"/>
        <v>0</v>
      </c>
      <c r="FS113">
        <v>0</v>
      </c>
      <c r="FX113">
        <v>95</v>
      </c>
      <c r="FY113">
        <v>65</v>
      </c>
      <c r="GA113" t="s">
        <v>3</v>
      </c>
      <c r="GD113">
        <v>0</v>
      </c>
      <c r="GF113">
        <v>-980876846</v>
      </c>
      <c r="GG113">
        <v>1</v>
      </c>
      <c r="GH113">
        <v>1</v>
      </c>
      <c r="GI113">
        <v>4</v>
      </c>
      <c r="GJ113">
        <v>0</v>
      </c>
      <c r="GK113">
        <f>ROUND(R113*(R12)/100,2)</f>
        <v>0</v>
      </c>
      <c r="GL113">
        <f t="shared" si="118"/>
        <v>0</v>
      </c>
      <c r="GM113">
        <f t="shared" si="119"/>
        <v>1313.21</v>
      </c>
      <c r="GN113">
        <f t="shared" si="120"/>
        <v>0</v>
      </c>
      <c r="GO113">
        <f t="shared" si="121"/>
        <v>1313.21</v>
      </c>
      <c r="GP113">
        <f t="shared" si="122"/>
        <v>0</v>
      </c>
      <c r="GR113">
        <v>0</v>
      </c>
      <c r="GS113">
        <v>3</v>
      </c>
      <c r="GT113">
        <v>0</v>
      </c>
      <c r="GU113" t="s">
        <v>3</v>
      </c>
      <c r="GV113">
        <f t="shared" si="123"/>
        <v>0</v>
      </c>
      <c r="GW113">
        <v>1</v>
      </c>
      <c r="GX113">
        <f t="shared" si="124"/>
        <v>0</v>
      </c>
      <c r="HA113">
        <v>0</v>
      </c>
      <c r="HB113">
        <v>0</v>
      </c>
      <c r="IK113">
        <v>0</v>
      </c>
    </row>
    <row r="114" spans="1:245" x14ac:dyDescent="0.2">
      <c r="A114">
        <v>17</v>
      </c>
      <c r="B114">
        <v>1</v>
      </c>
      <c r="C114">
        <f>ROW(SmtRes!A293)</f>
        <v>293</v>
      </c>
      <c r="D114">
        <f>ROW(EtalonRes!A276)</f>
        <v>276</v>
      </c>
      <c r="E114" t="s">
        <v>370</v>
      </c>
      <c r="F114" t="s">
        <v>371</v>
      </c>
      <c r="G114" t="s">
        <v>372</v>
      </c>
      <c r="H114" t="s">
        <v>285</v>
      </c>
      <c r="I114">
        <f>ROUND(6/100,9)</f>
        <v>0.06</v>
      </c>
      <c r="J114">
        <v>0</v>
      </c>
      <c r="O114">
        <f t="shared" si="92"/>
        <v>178.38</v>
      </c>
      <c r="P114">
        <f t="shared" si="93"/>
        <v>15.13</v>
      </c>
      <c r="Q114">
        <f t="shared" si="94"/>
        <v>0.13</v>
      </c>
      <c r="R114">
        <f t="shared" si="95"/>
        <v>0.06</v>
      </c>
      <c r="S114">
        <f t="shared" si="96"/>
        <v>163.12</v>
      </c>
      <c r="T114">
        <f t="shared" si="97"/>
        <v>0</v>
      </c>
      <c r="U114">
        <f t="shared" si="98"/>
        <v>2.7713999999999999</v>
      </c>
      <c r="V114">
        <f t="shared" si="99"/>
        <v>5.9999999999999995E-4</v>
      </c>
      <c r="W114">
        <f t="shared" si="100"/>
        <v>0</v>
      </c>
      <c r="X114">
        <f t="shared" si="101"/>
        <v>168.08</v>
      </c>
      <c r="Y114">
        <f t="shared" si="102"/>
        <v>97.91</v>
      </c>
      <c r="AA114">
        <v>39579451</v>
      </c>
      <c r="AB114">
        <f t="shared" si="103"/>
        <v>430.86</v>
      </c>
      <c r="AC114">
        <f t="shared" si="130"/>
        <v>36.549999999999997</v>
      </c>
      <c r="AD114">
        <f t="shared" si="125"/>
        <v>0.31</v>
      </c>
      <c r="AE114">
        <f t="shared" si="126"/>
        <v>0.14000000000000001</v>
      </c>
      <c r="AF114">
        <f t="shared" si="127"/>
        <v>394</v>
      </c>
      <c r="AG114">
        <f t="shared" si="104"/>
        <v>0</v>
      </c>
      <c r="AH114">
        <f t="shared" si="128"/>
        <v>46.19</v>
      </c>
      <c r="AI114">
        <f t="shared" si="129"/>
        <v>0.01</v>
      </c>
      <c r="AJ114">
        <f t="shared" si="105"/>
        <v>0</v>
      </c>
      <c r="AK114">
        <v>430.86</v>
      </c>
      <c r="AL114">
        <v>36.549999999999997</v>
      </c>
      <c r="AM114">
        <v>0.31</v>
      </c>
      <c r="AN114">
        <v>0.14000000000000001</v>
      </c>
      <c r="AO114">
        <v>394</v>
      </c>
      <c r="AP114">
        <v>0</v>
      </c>
      <c r="AQ114">
        <v>46.19</v>
      </c>
      <c r="AR114">
        <v>0.01</v>
      </c>
      <c r="AS114">
        <v>0</v>
      </c>
      <c r="AT114">
        <v>103</v>
      </c>
      <c r="AU114">
        <v>60</v>
      </c>
      <c r="AV114">
        <v>1</v>
      </c>
      <c r="AW114">
        <v>1</v>
      </c>
      <c r="AZ114">
        <v>6.9</v>
      </c>
      <c r="BA114">
        <v>6.9</v>
      </c>
      <c r="BB114">
        <v>6.9</v>
      </c>
      <c r="BC114">
        <v>6.9</v>
      </c>
      <c r="BD114" t="s">
        <v>3</v>
      </c>
      <c r="BE114" t="s">
        <v>3</v>
      </c>
      <c r="BF114" t="s">
        <v>3</v>
      </c>
      <c r="BG114" t="s">
        <v>3</v>
      </c>
      <c r="BH114">
        <v>0</v>
      </c>
      <c r="BI114">
        <v>1</v>
      </c>
      <c r="BJ114" t="s">
        <v>373</v>
      </c>
      <c r="BM114">
        <v>65010</v>
      </c>
      <c r="BN114">
        <v>0</v>
      </c>
      <c r="BO114" t="s">
        <v>3</v>
      </c>
      <c r="BP114">
        <v>0</v>
      </c>
      <c r="BQ114">
        <v>6</v>
      </c>
      <c r="BR114">
        <v>0</v>
      </c>
      <c r="BS114">
        <v>6.9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3</v>
      </c>
      <c r="BZ114">
        <v>103</v>
      </c>
      <c r="CA114">
        <v>60</v>
      </c>
      <c r="CF114">
        <v>0</v>
      </c>
      <c r="CG114">
        <v>0</v>
      </c>
      <c r="CM114">
        <v>0</v>
      </c>
      <c r="CN114" t="s">
        <v>3</v>
      </c>
      <c r="CO114">
        <v>0</v>
      </c>
      <c r="CP114">
        <f t="shared" si="106"/>
        <v>178.38</v>
      </c>
      <c r="CQ114">
        <f t="shared" si="107"/>
        <v>252.19499999999999</v>
      </c>
      <c r="CR114">
        <f t="shared" si="108"/>
        <v>2.1390000000000002</v>
      </c>
      <c r="CS114">
        <f t="shared" si="109"/>
        <v>0.96600000000000019</v>
      </c>
      <c r="CT114">
        <f t="shared" si="110"/>
        <v>2718.6000000000004</v>
      </c>
      <c r="CU114">
        <f t="shared" si="111"/>
        <v>0</v>
      </c>
      <c r="CV114">
        <f t="shared" si="112"/>
        <v>46.19</v>
      </c>
      <c r="CW114">
        <f t="shared" si="113"/>
        <v>0.01</v>
      </c>
      <c r="CX114">
        <f t="shared" si="114"/>
        <v>0</v>
      </c>
      <c r="CY114">
        <f t="shared" si="115"/>
        <v>168.0754</v>
      </c>
      <c r="CZ114">
        <f t="shared" si="116"/>
        <v>97.908000000000015</v>
      </c>
      <c r="DC114" t="s">
        <v>3</v>
      </c>
      <c r="DD114" t="s">
        <v>3</v>
      </c>
      <c r="DE114" t="s">
        <v>3</v>
      </c>
      <c r="DF114" t="s">
        <v>3</v>
      </c>
      <c r="DG114" t="s">
        <v>3</v>
      </c>
      <c r="DH114" t="s">
        <v>3</v>
      </c>
      <c r="DI114" t="s">
        <v>3</v>
      </c>
      <c r="DJ114" t="s">
        <v>3</v>
      </c>
      <c r="DK114" t="s">
        <v>3</v>
      </c>
      <c r="DL114" t="s">
        <v>3</v>
      </c>
      <c r="DM114" t="s">
        <v>3</v>
      </c>
      <c r="DN114">
        <v>0</v>
      </c>
      <c r="DO114">
        <v>0</v>
      </c>
      <c r="DP114">
        <v>1</v>
      </c>
      <c r="DQ114">
        <v>1</v>
      </c>
      <c r="DU114">
        <v>1013</v>
      </c>
      <c r="DV114" t="s">
        <v>285</v>
      </c>
      <c r="DW114" t="s">
        <v>285</v>
      </c>
      <c r="DX114">
        <v>1</v>
      </c>
      <c r="EE114">
        <v>39174605</v>
      </c>
      <c r="EF114">
        <v>6</v>
      </c>
      <c r="EG114" t="s">
        <v>30</v>
      </c>
      <c r="EH114">
        <v>0</v>
      </c>
      <c r="EI114" t="s">
        <v>3</v>
      </c>
      <c r="EJ114">
        <v>1</v>
      </c>
      <c r="EK114">
        <v>65010</v>
      </c>
      <c r="EL114" t="s">
        <v>374</v>
      </c>
      <c r="EM114" t="s">
        <v>375</v>
      </c>
      <c r="EO114" t="s">
        <v>3</v>
      </c>
      <c r="EQ114">
        <v>0</v>
      </c>
      <c r="ER114">
        <v>430.86</v>
      </c>
      <c r="ES114">
        <v>36.549999999999997</v>
      </c>
      <c r="ET114">
        <v>0.31</v>
      </c>
      <c r="EU114">
        <v>0.14000000000000001</v>
      </c>
      <c r="EV114">
        <v>394</v>
      </c>
      <c r="EW114">
        <v>46.19</v>
      </c>
      <c r="EX114">
        <v>0.01</v>
      </c>
      <c r="EY114">
        <v>0</v>
      </c>
      <c r="FQ114">
        <v>0</v>
      </c>
      <c r="FR114">
        <f t="shared" si="117"/>
        <v>0</v>
      </c>
      <c r="FS114">
        <v>0</v>
      </c>
      <c r="FX114">
        <v>103</v>
      </c>
      <c r="FY114">
        <v>60</v>
      </c>
      <c r="GA114" t="s">
        <v>3</v>
      </c>
      <c r="GD114">
        <v>0</v>
      </c>
      <c r="GF114">
        <v>1556017287</v>
      </c>
      <c r="GG114">
        <v>1</v>
      </c>
      <c r="GH114">
        <v>1</v>
      </c>
      <c r="GI114">
        <v>4</v>
      </c>
      <c r="GJ114">
        <v>0</v>
      </c>
      <c r="GK114">
        <f>ROUND(R114*(R12)/100,2)</f>
        <v>0</v>
      </c>
      <c r="GL114">
        <f t="shared" si="118"/>
        <v>0</v>
      </c>
      <c r="GM114">
        <f t="shared" si="119"/>
        <v>444.37</v>
      </c>
      <c r="GN114">
        <f t="shared" si="120"/>
        <v>444.37</v>
      </c>
      <c r="GO114">
        <f t="shared" si="121"/>
        <v>0</v>
      </c>
      <c r="GP114">
        <f t="shared" si="122"/>
        <v>0</v>
      </c>
      <c r="GR114">
        <v>0</v>
      </c>
      <c r="GS114">
        <v>3</v>
      </c>
      <c r="GT114">
        <v>0</v>
      </c>
      <c r="GU114" t="s">
        <v>3</v>
      </c>
      <c r="GV114">
        <f t="shared" si="123"/>
        <v>0</v>
      </c>
      <c r="GW114">
        <v>1</v>
      </c>
      <c r="GX114">
        <f t="shared" si="124"/>
        <v>0</v>
      </c>
      <c r="HA114">
        <v>0</v>
      </c>
      <c r="HB114">
        <v>0</v>
      </c>
      <c r="IK114">
        <v>0</v>
      </c>
    </row>
    <row r="115" spans="1:245" x14ac:dyDescent="0.2">
      <c r="A115">
        <v>18</v>
      </c>
      <c r="B115">
        <v>1</v>
      </c>
      <c r="C115">
        <v>292</v>
      </c>
      <c r="E115" t="s">
        <v>376</v>
      </c>
      <c r="F115" t="s">
        <v>377</v>
      </c>
      <c r="G115" t="s">
        <v>378</v>
      </c>
      <c r="H115" t="s">
        <v>189</v>
      </c>
      <c r="I115">
        <f>I114*J115</f>
        <v>6</v>
      </c>
      <c r="J115">
        <v>100</v>
      </c>
      <c r="O115">
        <f t="shared" si="92"/>
        <v>772.94</v>
      </c>
      <c r="P115">
        <f t="shared" si="93"/>
        <v>772.94</v>
      </c>
      <c r="Q115">
        <f t="shared" si="94"/>
        <v>0</v>
      </c>
      <c r="R115">
        <f t="shared" si="95"/>
        <v>0</v>
      </c>
      <c r="S115">
        <f t="shared" si="96"/>
        <v>0</v>
      </c>
      <c r="T115">
        <f t="shared" si="97"/>
        <v>0</v>
      </c>
      <c r="U115">
        <f t="shared" si="98"/>
        <v>0</v>
      </c>
      <c r="V115">
        <f t="shared" si="99"/>
        <v>0</v>
      </c>
      <c r="W115">
        <f t="shared" si="100"/>
        <v>0</v>
      </c>
      <c r="X115">
        <f t="shared" si="101"/>
        <v>0</v>
      </c>
      <c r="Y115">
        <f t="shared" si="102"/>
        <v>0</v>
      </c>
      <c r="AA115">
        <v>39579451</v>
      </c>
      <c r="AB115">
        <f t="shared" si="103"/>
        <v>18.670000000000002</v>
      </c>
      <c r="AC115">
        <f t="shared" si="130"/>
        <v>18.670000000000002</v>
      </c>
      <c r="AD115">
        <f t="shared" si="125"/>
        <v>0</v>
      </c>
      <c r="AE115">
        <f t="shared" si="126"/>
        <v>0</v>
      </c>
      <c r="AF115">
        <f t="shared" si="127"/>
        <v>0</v>
      </c>
      <c r="AG115">
        <f t="shared" si="104"/>
        <v>0</v>
      </c>
      <c r="AH115">
        <f t="shared" si="128"/>
        <v>0</v>
      </c>
      <c r="AI115">
        <f t="shared" si="129"/>
        <v>0</v>
      </c>
      <c r="AJ115">
        <f t="shared" si="105"/>
        <v>0</v>
      </c>
      <c r="AK115">
        <v>18.670000000000002</v>
      </c>
      <c r="AL115">
        <v>18.670000000000002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103</v>
      </c>
      <c r="AU115">
        <v>60</v>
      </c>
      <c r="AV115">
        <v>1</v>
      </c>
      <c r="AW115">
        <v>1</v>
      </c>
      <c r="AZ115">
        <v>6.9</v>
      </c>
      <c r="BA115">
        <v>1</v>
      </c>
      <c r="BB115">
        <v>1</v>
      </c>
      <c r="BC115">
        <v>6.9</v>
      </c>
      <c r="BD115" t="s">
        <v>3</v>
      </c>
      <c r="BE115" t="s">
        <v>3</v>
      </c>
      <c r="BF115" t="s">
        <v>3</v>
      </c>
      <c r="BG115" t="s">
        <v>3</v>
      </c>
      <c r="BH115">
        <v>3</v>
      </c>
      <c r="BI115">
        <v>1</v>
      </c>
      <c r="BJ115" t="s">
        <v>379</v>
      </c>
      <c r="BM115">
        <v>65010</v>
      </c>
      <c r="BN115">
        <v>0</v>
      </c>
      <c r="BO115" t="s">
        <v>3</v>
      </c>
      <c r="BP115">
        <v>0</v>
      </c>
      <c r="BQ115">
        <v>6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103</v>
      </c>
      <c r="CA115">
        <v>60</v>
      </c>
      <c r="CF115">
        <v>0</v>
      </c>
      <c r="CG115">
        <v>0</v>
      </c>
      <c r="CM115">
        <v>0</v>
      </c>
      <c r="CN115" t="s">
        <v>3</v>
      </c>
      <c r="CO115">
        <v>0</v>
      </c>
      <c r="CP115">
        <f t="shared" si="106"/>
        <v>772.94</v>
      </c>
      <c r="CQ115">
        <f t="shared" si="107"/>
        <v>128.82300000000001</v>
      </c>
      <c r="CR115">
        <f t="shared" si="108"/>
        <v>0</v>
      </c>
      <c r="CS115">
        <f t="shared" si="109"/>
        <v>0</v>
      </c>
      <c r="CT115">
        <f t="shared" si="110"/>
        <v>0</v>
      </c>
      <c r="CU115">
        <f t="shared" si="111"/>
        <v>0</v>
      </c>
      <c r="CV115">
        <f t="shared" si="112"/>
        <v>0</v>
      </c>
      <c r="CW115">
        <f t="shared" si="113"/>
        <v>0</v>
      </c>
      <c r="CX115">
        <f t="shared" si="114"/>
        <v>0</v>
      </c>
      <c r="CY115">
        <f t="shared" si="115"/>
        <v>0</v>
      </c>
      <c r="CZ115">
        <f t="shared" si="116"/>
        <v>0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0</v>
      </c>
      <c r="DO115">
        <v>0</v>
      </c>
      <c r="DP115">
        <v>1</v>
      </c>
      <c r="DQ115">
        <v>1</v>
      </c>
      <c r="DU115">
        <v>1010</v>
      </c>
      <c r="DV115" t="s">
        <v>189</v>
      </c>
      <c r="DW115" t="s">
        <v>189</v>
      </c>
      <c r="DX115">
        <v>1</v>
      </c>
      <c r="EE115">
        <v>39174605</v>
      </c>
      <c r="EF115">
        <v>6</v>
      </c>
      <c r="EG115" t="s">
        <v>30</v>
      </c>
      <c r="EH115">
        <v>0</v>
      </c>
      <c r="EI115" t="s">
        <v>3</v>
      </c>
      <c r="EJ115">
        <v>1</v>
      </c>
      <c r="EK115">
        <v>65010</v>
      </c>
      <c r="EL115" t="s">
        <v>374</v>
      </c>
      <c r="EM115" t="s">
        <v>375</v>
      </c>
      <c r="EO115" t="s">
        <v>3</v>
      </c>
      <c r="EQ115">
        <v>0</v>
      </c>
      <c r="ER115">
        <v>18.670000000000002</v>
      </c>
      <c r="ES115">
        <v>18.670000000000002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17"/>
        <v>0</v>
      </c>
      <c r="FS115">
        <v>0</v>
      </c>
      <c r="FX115">
        <v>103</v>
      </c>
      <c r="FY115">
        <v>60</v>
      </c>
      <c r="GA115" t="s">
        <v>3</v>
      </c>
      <c r="GD115">
        <v>0</v>
      </c>
      <c r="GF115">
        <v>1245683594</v>
      </c>
      <c r="GG115">
        <v>1</v>
      </c>
      <c r="GH115">
        <v>1</v>
      </c>
      <c r="GI115">
        <v>4</v>
      </c>
      <c r="GJ115">
        <v>0</v>
      </c>
      <c r="GK115">
        <f>ROUND(R115*(R12)/100,2)</f>
        <v>0</v>
      </c>
      <c r="GL115">
        <f t="shared" si="118"/>
        <v>0</v>
      </c>
      <c r="GM115">
        <f t="shared" si="119"/>
        <v>772.94</v>
      </c>
      <c r="GN115">
        <f t="shared" si="120"/>
        <v>772.94</v>
      </c>
      <c r="GO115">
        <f t="shared" si="121"/>
        <v>0</v>
      </c>
      <c r="GP115">
        <f t="shared" si="122"/>
        <v>0</v>
      </c>
      <c r="GR115">
        <v>0</v>
      </c>
      <c r="GS115">
        <v>3</v>
      </c>
      <c r="GT115">
        <v>0</v>
      </c>
      <c r="GU115" t="s">
        <v>3</v>
      </c>
      <c r="GV115">
        <f t="shared" si="123"/>
        <v>0</v>
      </c>
      <c r="GW115">
        <v>1</v>
      </c>
      <c r="GX115">
        <f t="shared" si="124"/>
        <v>0</v>
      </c>
      <c r="HA115">
        <v>0</v>
      </c>
      <c r="HB115">
        <v>0</v>
      </c>
      <c r="IK115">
        <v>0</v>
      </c>
    </row>
    <row r="116" spans="1:245" x14ac:dyDescent="0.2">
      <c r="A116">
        <v>18</v>
      </c>
      <c r="B116">
        <v>1</v>
      </c>
      <c r="C116">
        <v>293</v>
      </c>
      <c r="E116" t="s">
        <v>380</v>
      </c>
      <c r="F116" t="s">
        <v>187</v>
      </c>
      <c r="G116" t="s">
        <v>188</v>
      </c>
      <c r="H116" t="s">
        <v>189</v>
      </c>
      <c r="I116">
        <f>I114*J116</f>
        <v>6</v>
      </c>
      <c r="J116">
        <v>100</v>
      </c>
      <c r="O116">
        <f t="shared" si="92"/>
        <v>0</v>
      </c>
      <c r="P116">
        <f t="shared" si="93"/>
        <v>0</v>
      </c>
      <c r="Q116">
        <f t="shared" si="94"/>
        <v>0</v>
      </c>
      <c r="R116">
        <f t="shared" si="95"/>
        <v>0</v>
      </c>
      <c r="S116">
        <f t="shared" si="96"/>
        <v>0</v>
      </c>
      <c r="T116">
        <f t="shared" si="97"/>
        <v>0</v>
      </c>
      <c r="U116">
        <f t="shared" si="98"/>
        <v>0</v>
      </c>
      <c r="V116">
        <f t="shared" si="99"/>
        <v>0</v>
      </c>
      <c r="W116">
        <f t="shared" si="100"/>
        <v>0</v>
      </c>
      <c r="X116">
        <f t="shared" si="101"/>
        <v>0</v>
      </c>
      <c r="Y116">
        <f t="shared" si="102"/>
        <v>0</v>
      </c>
      <c r="AA116">
        <v>39579451</v>
      </c>
      <c r="AB116">
        <f t="shared" si="103"/>
        <v>0</v>
      </c>
      <c r="AC116">
        <f t="shared" si="130"/>
        <v>0</v>
      </c>
      <c r="AD116">
        <f t="shared" si="125"/>
        <v>0</v>
      </c>
      <c r="AE116">
        <f t="shared" si="126"/>
        <v>0</v>
      </c>
      <c r="AF116">
        <f t="shared" si="127"/>
        <v>0</v>
      </c>
      <c r="AG116">
        <f t="shared" si="104"/>
        <v>0</v>
      </c>
      <c r="AH116">
        <f t="shared" si="128"/>
        <v>0</v>
      </c>
      <c r="AI116">
        <f t="shared" si="129"/>
        <v>0</v>
      </c>
      <c r="AJ116">
        <f t="shared" si="105"/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103</v>
      </c>
      <c r="AU116">
        <v>60</v>
      </c>
      <c r="AV116">
        <v>1</v>
      </c>
      <c r="AW116">
        <v>1</v>
      </c>
      <c r="AZ116">
        <v>6.9</v>
      </c>
      <c r="BA116">
        <v>1</v>
      </c>
      <c r="BB116">
        <v>1</v>
      </c>
      <c r="BC116">
        <v>6.9</v>
      </c>
      <c r="BD116" t="s">
        <v>3</v>
      </c>
      <c r="BE116" t="s">
        <v>3</v>
      </c>
      <c r="BF116" t="s">
        <v>3</v>
      </c>
      <c r="BG116" t="s">
        <v>3</v>
      </c>
      <c r="BH116">
        <v>3</v>
      </c>
      <c r="BI116">
        <v>1</v>
      </c>
      <c r="BJ116" t="s">
        <v>3</v>
      </c>
      <c r="BM116">
        <v>65010</v>
      </c>
      <c r="BN116">
        <v>0</v>
      </c>
      <c r="BO116" t="s">
        <v>3</v>
      </c>
      <c r="BP116">
        <v>0</v>
      </c>
      <c r="BQ116">
        <v>6</v>
      </c>
      <c r="BR116">
        <v>0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3</v>
      </c>
      <c r="BZ116">
        <v>103</v>
      </c>
      <c r="CA116">
        <v>60</v>
      </c>
      <c r="CF116">
        <v>0</v>
      </c>
      <c r="CG116">
        <v>0</v>
      </c>
      <c r="CM116">
        <v>0</v>
      </c>
      <c r="CN116" t="s">
        <v>3</v>
      </c>
      <c r="CO116">
        <v>0</v>
      </c>
      <c r="CP116">
        <f t="shared" si="106"/>
        <v>0</v>
      </c>
      <c r="CQ116">
        <f t="shared" si="107"/>
        <v>0</v>
      </c>
      <c r="CR116">
        <f t="shared" si="108"/>
        <v>0</v>
      </c>
      <c r="CS116">
        <f t="shared" si="109"/>
        <v>0</v>
      </c>
      <c r="CT116">
        <f t="shared" si="110"/>
        <v>0</v>
      </c>
      <c r="CU116">
        <f t="shared" si="111"/>
        <v>0</v>
      </c>
      <c r="CV116">
        <f t="shared" si="112"/>
        <v>0</v>
      </c>
      <c r="CW116">
        <f t="shared" si="113"/>
        <v>0</v>
      </c>
      <c r="CX116">
        <f t="shared" si="114"/>
        <v>0</v>
      </c>
      <c r="CY116">
        <f t="shared" si="115"/>
        <v>0</v>
      </c>
      <c r="CZ116">
        <f t="shared" si="116"/>
        <v>0</v>
      </c>
      <c r="DC116" t="s">
        <v>3</v>
      </c>
      <c r="DD116" t="s">
        <v>3</v>
      </c>
      <c r="DE116" t="s">
        <v>3</v>
      </c>
      <c r="DF116" t="s">
        <v>3</v>
      </c>
      <c r="DG116" t="s">
        <v>3</v>
      </c>
      <c r="DH116" t="s">
        <v>3</v>
      </c>
      <c r="DI116" t="s">
        <v>3</v>
      </c>
      <c r="DJ116" t="s">
        <v>3</v>
      </c>
      <c r="DK116" t="s">
        <v>3</v>
      </c>
      <c r="DL116" t="s">
        <v>3</v>
      </c>
      <c r="DM116" t="s">
        <v>3</v>
      </c>
      <c r="DN116">
        <v>0</v>
      </c>
      <c r="DO116">
        <v>0</v>
      </c>
      <c r="DP116">
        <v>1</v>
      </c>
      <c r="DQ116">
        <v>1</v>
      </c>
      <c r="DU116">
        <v>1010</v>
      </c>
      <c r="DV116" t="s">
        <v>189</v>
      </c>
      <c r="DW116" t="s">
        <v>189</v>
      </c>
      <c r="DX116">
        <v>1</v>
      </c>
      <c r="EE116">
        <v>39174605</v>
      </c>
      <c r="EF116">
        <v>6</v>
      </c>
      <c r="EG116" t="s">
        <v>30</v>
      </c>
      <c r="EH116">
        <v>0</v>
      </c>
      <c r="EI116" t="s">
        <v>3</v>
      </c>
      <c r="EJ116">
        <v>1</v>
      </c>
      <c r="EK116">
        <v>65010</v>
      </c>
      <c r="EL116" t="s">
        <v>374</v>
      </c>
      <c r="EM116" t="s">
        <v>375</v>
      </c>
      <c r="EO116" t="s">
        <v>3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  <c r="FQ116">
        <v>0</v>
      </c>
      <c r="FR116">
        <f t="shared" si="117"/>
        <v>0</v>
      </c>
      <c r="FS116">
        <v>0</v>
      </c>
      <c r="FX116">
        <v>103</v>
      </c>
      <c r="FY116">
        <v>60</v>
      </c>
      <c r="GA116" t="s">
        <v>3</v>
      </c>
      <c r="GD116">
        <v>0</v>
      </c>
      <c r="GF116">
        <v>-698526538</v>
      </c>
      <c r="GG116">
        <v>1</v>
      </c>
      <c r="GH116">
        <v>1</v>
      </c>
      <c r="GI116">
        <v>4</v>
      </c>
      <c r="GJ116">
        <v>0</v>
      </c>
      <c r="GK116">
        <f>ROUND(R116*(R12)/100,2)</f>
        <v>0</v>
      </c>
      <c r="GL116">
        <f t="shared" si="118"/>
        <v>0</v>
      </c>
      <c r="GM116">
        <f t="shared" si="119"/>
        <v>0</v>
      </c>
      <c r="GN116">
        <f t="shared" si="120"/>
        <v>0</v>
      </c>
      <c r="GO116">
        <f t="shared" si="121"/>
        <v>0</v>
      </c>
      <c r="GP116">
        <f t="shared" si="122"/>
        <v>0</v>
      </c>
      <c r="GR116">
        <v>0</v>
      </c>
      <c r="GS116">
        <v>3</v>
      </c>
      <c r="GT116">
        <v>0</v>
      </c>
      <c r="GU116" t="s">
        <v>3</v>
      </c>
      <c r="GV116">
        <f t="shared" si="123"/>
        <v>0</v>
      </c>
      <c r="GW116">
        <v>1</v>
      </c>
      <c r="GX116">
        <f t="shared" si="124"/>
        <v>0</v>
      </c>
      <c r="HA116">
        <v>0</v>
      </c>
      <c r="HB116">
        <v>0</v>
      </c>
      <c r="IK116">
        <v>0</v>
      </c>
    </row>
    <row r="117" spans="1:245" x14ac:dyDescent="0.2">
      <c r="A117">
        <v>17</v>
      </c>
      <c r="B117">
        <v>1</v>
      </c>
      <c r="E117" t="s">
        <v>381</v>
      </c>
      <c r="F117" t="s">
        <v>382</v>
      </c>
      <c r="G117" t="s">
        <v>383</v>
      </c>
      <c r="H117" t="s">
        <v>384</v>
      </c>
      <c r="I117">
        <v>18</v>
      </c>
      <c r="J117">
        <v>0</v>
      </c>
      <c r="O117">
        <f>0</f>
        <v>0</v>
      </c>
      <c r="P117">
        <f>0</f>
        <v>0</v>
      </c>
      <c r="Q117">
        <f>0</f>
        <v>0</v>
      </c>
      <c r="R117">
        <f>0</f>
        <v>0</v>
      </c>
      <c r="S117">
        <f>0</f>
        <v>0</v>
      </c>
      <c r="T117">
        <f>0</f>
        <v>0</v>
      </c>
      <c r="U117">
        <f>0</f>
        <v>0</v>
      </c>
      <c r="V117">
        <f>0</f>
        <v>0</v>
      </c>
      <c r="W117">
        <f>0</f>
        <v>0</v>
      </c>
      <c r="X117">
        <f>0</f>
        <v>0</v>
      </c>
      <c r="Y117">
        <f>0</f>
        <v>0</v>
      </c>
      <c r="AA117">
        <v>39579451</v>
      </c>
      <c r="AB117">
        <f>ROUND((AK117),2)</f>
        <v>42.98</v>
      </c>
      <c r="AC117">
        <f>0</f>
        <v>0</v>
      </c>
      <c r="AD117">
        <f>0</f>
        <v>0</v>
      </c>
      <c r="AE117">
        <f>0</f>
        <v>0</v>
      </c>
      <c r="AF117">
        <f>0</f>
        <v>0</v>
      </c>
      <c r="AG117">
        <f>0</f>
        <v>0</v>
      </c>
      <c r="AH117">
        <f>0</f>
        <v>0</v>
      </c>
      <c r="AI117">
        <f>0</f>
        <v>0</v>
      </c>
      <c r="AJ117">
        <f>0</f>
        <v>0</v>
      </c>
      <c r="AK117">
        <v>42.98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1</v>
      </c>
      <c r="AW117">
        <v>1</v>
      </c>
      <c r="AZ117">
        <v>6.9</v>
      </c>
      <c r="BA117">
        <v>1</v>
      </c>
      <c r="BB117">
        <v>1</v>
      </c>
      <c r="BC117">
        <v>1</v>
      </c>
      <c r="BD117" t="s">
        <v>3</v>
      </c>
      <c r="BE117" t="s">
        <v>3</v>
      </c>
      <c r="BF117" t="s">
        <v>3</v>
      </c>
      <c r="BG117" t="s">
        <v>3</v>
      </c>
      <c r="BH117">
        <v>0</v>
      </c>
      <c r="BI117">
        <v>1</v>
      </c>
      <c r="BJ117" t="s">
        <v>385</v>
      </c>
      <c r="BM117">
        <v>700004</v>
      </c>
      <c r="BN117">
        <v>0</v>
      </c>
      <c r="BO117" t="s">
        <v>3</v>
      </c>
      <c r="BP117">
        <v>0</v>
      </c>
      <c r="BQ117">
        <v>19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0</v>
      </c>
      <c r="CA117">
        <v>0</v>
      </c>
      <c r="CF117">
        <v>0</v>
      </c>
      <c r="CG117">
        <v>0</v>
      </c>
      <c r="CM117">
        <v>0</v>
      </c>
      <c r="CN117" t="s">
        <v>3</v>
      </c>
      <c r="CO117">
        <v>0</v>
      </c>
      <c r="CP117">
        <f>AB117*AZ117</f>
        <v>296.56200000000001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0</v>
      </c>
      <c r="CZ117">
        <v>0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1013</v>
      </c>
      <c r="DV117" t="s">
        <v>384</v>
      </c>
      <c r="DW117" t="s">
        <v>384</v>
      </c>
      <c r="DX117">
        <v>1</v>
      </c>
      <c r="EE117">
        <v>39174691</v>
      </c>
      <c r="EF117">
        <v>19</v>
      </c>
      <c r="EG117" t="s">
        <v>386</v>
      </c>
      <c r="EH117">
        <v>0</v>
      </c>
      <c r="EI117" t="s">
        <v>3</v>
      </c>
      <c r="EJ117">
        <v>1</v>
      </c>
      <c r="EK117">
        <v>700004</v>
      </c>
      <c r="EL117" t="s">
        <v>387</v>
      </c>
      <c r="EM117" t="s">
        <v>388</v>
      </c>
      <c r="EO117" t="s">
        <v>3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  <c r="EY117">
        <v>0</v>
      </c>
      <c r="FQ117">
        <v>0</v>
      </c>
      <c r="FR117">
        <f t="shared" si="117"/>
        <v>0</v>
      </c>
      <c r="FS117">
        <v>0</v>
      </c>
      <c r="FX117">
        <v>0</v>
      </c>
      <c r="FY117">
        <v>0</v>
      </c>
      <c r="GA117" t="s">
        <v>3</v>
      </c>
      <c r="GD117">
        <v>0</v>
      </c>
      <c r="GF117">
        <v>68385352</v>
      </c>
      <c r="GG117">
        <v>1</v>
      </c>
      <c r="GH117">
        <v>1</v>
      </c>
      <c r="GI117">
        <v>4</v>
      </c>
      <c r="GJ117">
        <v>2</v>
      </c>
      <c r="GK117">
        <f>ROUND(R117*(R12)/100,2)</f>
        <v>0</v>
      </c>
      <c r="GL117">
        <f t="shared" si="118"/>
        <v>0</v>
      </c>
      <c r="GM117">
        <f>ROUND(CP117*I117,2)</f>
        <v>5338.12</v>
      </c>
      <c r="GN117">
        <f>IF(OR(BI117=0,BI117=1),ROUND(CP117*I117,2),0)</f>
        <v>5338.12</v>
      </c>
      <c r="GO117">
        <f>IF(BI117=2,ROUND(CP117*I117,2),0)</f>
        <v>0</v>
      </c>
      <c r="GP117">
        <f>IF(BI117=4,ROUND(CP117*I117,2)+GX117,0)</f>
        <v>0</v>
      </c>
      <c r="GR117">
        <v>0</v>
      </c>
      <c r="GS117">
        <v>3</v>
      </c>
      <c r="GU117" t="s">
        <v>3</v>
      </c>
      <c r="GV117">
        <f>0</f>
        <v>0</v>
      </c>
      <c r="GW117">
        <v>1</v>
      </c>
      <c r="GX117">
        <f t="shared" si="124"/>
        <v>0</v>
      </c>
      <c r="GY117">
        <v>0</v>
      </c>
      <c r="GZ117">
        <v>0</v>
      </c>
      <c r="HA117">
        <v>0</v>
      </c>
      <c r="HB117">
        <v>0</v>
      </c>
      <c r="IK117">
        <v>0</v>
      </c>
    </row>
    <row r="118" spans="1:245" x14ac:dyDescent="0.2">
      <c r="A118">
        <v>17</v>
      </c>
      <c r="B118">
        <v>1</v>
      </c>
      <c r="E118" t="s">
        <v>389</v>
      </c>
      <c r="F118" t="s">
        <v>390</v>
      </c>
      <c r="G118" t="s">
        <v>391</v>
      </c>
      <c r="H118" t="s">
        <v>384</v>
      </c>
      <c r="I118">
        <v>18</v>
      </c>
      <c r="J118">
        <v>0</v>
      </c>
      <c r="O118">
        <f>0</f>
        <v>0</v>
      </c>
      <c r="P118">
        <f>0</f>
        <v>0</v>
      </c>
      <c r="Q118">
        <f>0</f>
        <v>0</v>
      </c>
      <c r="R118">
        <f>0</f>
        <v>0</v>
      </c>
      <c r="S118">
        <f>0</f>
        <v>0</v>
      </c>
      <c r="T118">
        <f>0</f>
        <v>0</v>
      </c>
      <c r="U118">
        <f>0</f>
        <v>0</v>
      </c>
      <c r="V118">
        <f>0</f>
        <v>0</v>
      </c>
      <c r="W118">
        <f>0</f>
        <v>0</v>
      </c>
      <c r="X118">
        <f>0</f>
        <v>0</v>
      </c>
      <c r="Y118">
        <f>0</f>
        <v>0</v>
      </c>
      <c r="AA118">
        <v>39579451</v>
      </c>
      <c r="AB118">
        <f>ROUND((AK118),2)</f>
        <v>15.41</v>
      </c>
      <c r="AC118">
        <f>0</f>
        <v>0</v>
      </c>
      <c r="AD118">
        <f>0</f>
        <v>0</v>
      </c>
      <c r="AE118">
        <f>0</f>
        <v>0</v>
      </c>
      <c r="AF118">
        <f>0</f>
        <v>0</v>
      </c>
      <c r="AG118">
        <f>0</f>
        <v>0</v>
      </c>
      <c r="AH118">
        <f>0</f>
        <v>0</v>
      </c>
      <c r="AI118">
        <f>0</f>
        <v>0</v>
      </c>
      <c r="AJ118">
        <f>0</f>
        <v>0</v>
      </c>
      <c r="AK118">
        <v>15.41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1</v>
      </c>
      <c r="AW118">
        <v>1</v>
      </c>
      <c r="AZ118">
        <v>6.9</v>
      </c>
      <c r="BA118">
        <v>1</v>
      </c>
      <c r="BB118">
        <v>1</v>
      </c>
      <c r="BC118">
        <v>1</v>
      </c>
      <c r="BD118" t="s">
        <v>3</v>
      </c>
      <c r="BE118" t="s">
        <v>3</v>
      </c>
      <c r="BF118" t="s">
        <v>3</v>
      </c>
      <c r="BG118" t="s">
        <v>3</v>
      </c>
      <c r="BH118">
        <v>0</v>
      </c>
      <c r="BI118">
        <v>1</v>
      </c>
      <c r="BJ118" t="s">
        <v>392</v>
      </c>
      <c r="BM118">
        <v>700005</v>
      </c>
      <c r="BN118">
        <v>0</v>
      </c>
      <c r="BO118" t="s">
        <v>3</v>
      </c>
      <c r="BP118">
        <v>0</v>
      </c>
      <c r="BQ118">
        <v>10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3</v>
      </c>
      <c r="BZ118">
        <v>0</v>
      </c>
      <c r="CA118">
        <v>0</v>
      </c>
      <c r="CF118">
        <v>0</v>
      </c>
      <c r="CG118">
        <v>0</v>
      </c>
      <c r="CM118">
        <v>0</v>
      </c>
      <c r="CN118" t="s">
        <v>3</v>
      </c>
      <c r="CO118">
        <v>0</v>
      </c>
      <c r="CP118">
        <f>AB118*AZ118</f>
        <v>106.32900000000001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0</v>
      </c>
      <c r="CZ118">
        <v>0</v>
      </c>
      <c r="DC118" t="s">
        <v>3</v>
      </c>
      <c r="DD118" t="s">
        <v>3</v>
      </c>
      <c r="DE118" t="s">
        <v>3</v>
      </c>
      <c r="DF118" t="s">
        <v>3</v>
      </c>
      <c r="DG118" t="s">
        <v>3</v>
      </c>
      <c r="DH118" t="s">
        <v>3</v>
      </c>
      <c r="DI118" t="s">
        <v>3</v>
      </c>
      <c r="DJ118" t="s">
        <v>3</v>
      </c>
      <c r="DK118" t="s">
        <v>3</v>
      </c>
      <c r="DL118" t="s">
        <v>3</v>
      </c>
      <c r="DM118" t="s">
        <v>3</v>
      </c>
      <c r="DN118">
        <v>0</v>
      </c>
      <c r="DO118">
        <v>0</v>
      </c>
      <c r="DP118">
        <v>1</v>
      </c>
      <c r="DQ118">
        <v>1</v>
      </c>
      <c r="DU118">
        <v>1013</v>
      </c>
      <c r="DV118" t="s">
        <v>384</v>
      </c>
      <c r="DW118" t="s">
        <v>384</v>
      </c>
      <c r="DX118">
        <v>1</v>
      </c>
      <c r="EE118">
        <v>39174695</v>
      </c>
      <c r="EF118">
        <v>10</v>
      </c>
      <c r="EG118" t="s">
        <v>393</v>
      </c>
      <c r="EH118">
        <v>0</v>
      </c>
      <c r="EI118" t="s">
        <v>3</v>
      </c>
      <c r="EJ118">
        <v>1</v>
      </c>
      <c r="EK118">
        <v>700005</v>
      </c>
      <c r="EL118" t="s">
        <v>394</v>
      </c>
      <c r="EM118" t="s">
        <v>395</v>
      </c>
      <c r="EO118" t="s">
        <v>3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  <c r="EY118">
        <v>0</v>
      </c>
      <c r="FQ118">
        <v>0</v>
      </c>
      <c r="FR118">
        <f t="shared" si="117"/>
        <v>0</v>
      </c>
      <c r="FS118">
        <v>0</v>
      </c>
      <c r="FX118">
        <v>0</v>
      </c>
      <c r="FY118">
        <v>0</v>
      </c>
      <c r="GA118" t="s">
        <v>3</v>
      </c>
      <c r="GD118">
        <v>0</v>
      </c>
      <c r="GF118">
        <v>-738322613</v>
      </c>
      <c r="GG118">
        <v>1</v>
      </c>
      <c r="GH118">
        <v>1</v>
      </c>
      <c r="GI118">
        <v>4</v>
      </c>
      <c r="GJ118">
        <v>2</v>
      </c>
      <c r="GK118">
        <f>ROUND(R118*(R12)/100,2)</f>
        <v>0</v>
      </c>
      <c r="GL118">
        <f t="shared" si="118"/>
        <v>0</v>
      </c>
      <c r="GM118">
        <f>ROUND(CP118*I118,2)</f>
        <v>1913.92</v>
      </c>
      <c r="GN118">
        <f>IF(OR(BI118=0,BI118=1),ROUND(CP118*I118,2),0)</f>
        <v>1913.92</v>
      </c>
      <c r="GO118">
        <f>IF(BI118=2,ROUND(CP118*I118,2),0)</f>
        <v>0</v>
      </c>
      <c r="GP118">
        <f>IF(BI118=4,ROUND(CP118*I118,2)+GX118,0)</f>
        <v>0</v>
      </c>
      <c r="GR118">
        <v>0</v>
      </c>
      <c r="GS118">
        <v>3</v>
      </c>
      <c r="GU118" t="s">
        <v>3</v>
      </c>
      <c r="GV118">
        <f>0</f>
        <v>0</v>
      </c>
      <c r="GW118">
        <v>1</v>
      </c>
      <c r="GX118">
        <f t="shared" si="124"/>
        <v>0</v>
      </c>
      <c r="GY118">
        <v>0</v>
      </c>
      <c r="GZ118">
        <v>0</v>
      </c>
      <c r="HA118">
        <v>0</v>
      </c>
      <c r="HB118">
        <v>0</v>
      </c>
      <c r="IK118">
        <v>0</v>
      </c>
    </row>
    <row r="120" spans="1:245" x14ac:dyDescent="0.2">
      <c r="A120" s="2">
        <v>51</v>
      </c>
      <c r="B120" s="2">
        <f>B20</f>
        <v>1</v>
      </c>
      <c r="C120" s="2">
        <f>A20</f>
        <v>3</v>
      </c>
      <c r="D120" s="2">
        <f>ROW(A20)</f>
        <v>20</v>
      </c>
      <c r="E120" s="2"/>
      <c r="F120" s="2" t="str">
        <f>IF(F20&lt;&gt;"",F20,"")</f>
        <v>Новая локальная смета</v>
      </c>
      <c r="G120" s="2" t="str">
        <f>IF(G20&lt;&gt;"",G20,"")</f>
        <v>Новая локальная смета</v>
      </c>
      <c r="H120" s="2">
        <v>0</v>
      </c>
      <c r="I120" s="2"/>
      <c r="J120" s="2"/>
      <c r="K120" s="2"/>
      <c r="L120" s="2"/>
      <c r="M120" s="2"/>
      <c r="N120" s="2"/>
      <c r="O120" s="2">
        <f t="shared" ref="O120:T120" si="131">ROUND(AB120,2)</f>
        <v>840269.85</v>
      </c>
      <c r="P120" s="2">
        <f t="shared" si="131"/>
        <v>770811.46</v>
      </c>
      <c r="Q120" s="2">
        <f t="shared" si="131"/>
        <v>5669.13</v>
      </c>
      <c r="R120" s="2">
        <f t="shared" si="131"/>
        <v>1313.34</v>
      </c>
      <c r="S120" s="2">
        <f t="shared" si="131"/>
        <v>63789.26</v>
      </c>
      <c r="T120" s="2">
        <f t="shared" si="131"/>
        <v>0</v>
      </c>
      <c r="U120" s="2">
        <f>AH120</f>
        <v>1041.2791226499999</v>
      </c>
      <c r="V120" s="2">
        <f>AI120</f>
        <v>15.392633999999999</v>
      </c>
      <c r="W120" s="2">
        <f>ROUND(AJ120,2)</f>
        <v>0</v>
      </c>
      <c r="X120" s="2">
        <f>ROUND(AK120,2)</f>
        <v>65038.6</v>
      </c>
      <c r="Y120" s="2">
        <f>ROUND(AL120,2)</f>
        <v>40267.47</v>
      </c>
      <c r="Z120" s="2"/>
      <c r="AA120" s="2"/>
      <c r="AB120" s="2">
        <f>ROUND(SUMIF(AA24:AA118,"=39579451",O24:O118),2)</f>
        <v>840269.85</v>
      </c>
      <c r="AC120" s="2">
        <f>ROUND(SUMIF(AA24:AA118,"=39579451",P24:P118),2)</f>
        <v>770811.46</v>
      </c>
      <c r="AD120" s="2">
        <f>ROUND(SUMIF(AA24:AA118,"=39579451",Q24:Q118),2)</f>
        <v>5669.13</v>
      </c>
      <c r="AE120" s="2">
        <f>ROUND(SUMIF(AA24:AA118,"=39579451",R24:R118),2)</f>
        <v>1313.34</v>
      </c>
      <c r="AF120" s="2">
        <f>ROUND(SUMIF(AA24:AA118,"=39579451",S24:S118),2)</f>
        <v>63789.26</v>
      </c>
      <c r="AG120" s="2">
        <f>ROUND(SUMIF(AA24:AA118,"=39579451",T24:T118),2)</f>
        <v>0</v>
      </c>
      <c r="AH120" s="2">
        <f>SUMIF(AA24:AA118,"=39579451",U24:U118)</f>
        <v>1041.2791226499999</v>
      </c>
      <c r="AI120" s="2">
        <f>SUMIF(AA24:AA118,"=39579451",V24:V118)</f>
        <v>15.392633999999999</v>
      </c>
      <c r="AJ120" s="2">
        <f>ROUND(SUMIF(AA24:AA118,"=39579451",W24:W118),2)</f>
        <v>0</v>
      </c>
      <c r="AK120" s="2">
        <f>ROUND(SUMIF(AA24:AA118,"=39579451",X24:X118),2)</f>
        <v>65038.6</v>
      </c>
      <c r="AL120" s="2">
        <f>ROUND(SUMIF(AA24:AA118,"=39579451",Y24:Y118),2)</f>
        <v>40267.47</v>
      </c>
      <c r="AM120" s="2"/>
      <c r="AN120" s="2"/>
      <c r="AO120" s="2">
        <f t="shared" ref="AO120:BC120" si="132">ROUND(BX120,2)</f>
        <v>0</v>
      </c>
      <c r="AP120" s="2">
        <f t="shared" si="132"/>
        <v>0</v>
      </c>
      <c r="AQ120" s="2">
        <f t="shared" si="132"/>
        <v>0</v>
      </c>
      <c r="AR120" s="2">
        <f t="shared" si="132"/>
        <v>952827.96</v>
      </c>
      <c r="AS120" s="2">
        <f t="shared" si="132"/>
        <v>854254.48</v>
      </c>
      <c r="AT120" s="2">
        <f t="shared" si="132"/>
        <v>98573.48</v>
      </c>
      <c r="AU120" s="2">
        <f t="shared" si="132"/>
        <v>0</v>
      </c>
      <c r="AV120" s="2">
        <f t="shared" si="132"/>
        <v>770811.46</v>
      </c>
      <c r="AW120" s="2">
        <f t="shared" si="132"/>
        <v>770811.46</v>
      </c>
      <c r="AX120" s="2">
        <f t="shared" si="132"/>
        <v>0</v>
      </c>
      <c r="AY120" s="2">
        <f t="shared" si="132"/>
        <v>770811.46</v>
      </c>
      <c r="AZ120" s="2">
        <f t="shared" si="132"/>
        <v>0</v>
      </c>
      <c r="BA120" s="2">
        <f t="shared" si="132"/>
        <v>0</v>
      </c>
      <c r="BB120" s="2">
        <f t="shared" si="132"/>
        <v>0</v>
      </c>
      <c r="BC120" s="2">
        <f t="shared" si="132"/>
        <v>0</v>
      </c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>
        <f>ROUND(SUMIF(AA24:AA118,"=39579451",FQ24:FQ118),2)</f>
        <v>0</v>
      </c>
      <c r="BY120" s="2">
        <f>ROUND(SUMIF(AA24:AA118,"=39579451",FR24:FR118),2)</f>
        <v>0</v>
      </c>
      <c r="BZ120" s="2">
        <f>ROUND(SUMIF(AA24:AA118,"=39579451",GL24:GL118),2)</f>
        <v>0</v>
      </c>
      <c r="CA120" s="2">
        <f>ROUND(SUMIF(AA24:AA118,"=39579451",GM24:GM118),2)</f>
        <v>952827.96</v>
      </c>
      <c r="CB120" s="2">
        <f>ROUND(SUMIF(AA24:AA118,"=39579451",GN24:GN118),2)</f>
        <v>854254.48</v>
      </c>
      <c r="CC120" s="2">
        <f>ROUND(SUMIF(AA24:AA118,"=39579451",GO24:GO118),2)</f>
        <v>98573.48</v>
      </c>
      <c r="CD120" s="2">
        <f>ROUND(SUMIF(AA24:AA118,"=39579451",GP24:GP118),2)</f>
        <v>0</v>
      </c>
      <c r="CE120" s="2">
        <f>AC120-BX120</f>
        <v>770811.46</v>
      </c>
      <c r="CF120" s="2">
        <f>AC120-BY120</f>
        <v>770811.46</v>
      </c>
      <c r="CG120" s="2">
        <f>BX120-BZ120</f>
        <v>0</v>
      </c>
      <c r="CH120" s="2">
        <f>AC120-BX120-BY120+BZ120</f>
        <v>770811.46</v>
      </c>
      <c r="CI120" s="2">
        <f>BY120-BZ120</f>
        <v>0</v>
      </c>
      <c r="CJ120" s="2">
        <f>ROUND(SUMIF(AA24:AA118,"=39579451",GX24:GX118),2)</f>
        <v>0</v>
      </c>
      <c r="CK120" s="2">
        <f>ROUND(SUMIF(AA24:AA118,"=39579451",GY24:GY118),2)</f>
        <v>0</v>
      </c>
      <c r="CL120" s="2">
        <f>ROUND(SUMIF(AA24:AA118,"=39579451",GZ24:GZ118),2)</f>
        <v>0</v>
      </c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>
        <v>0</v>
      </c>
    </row>
    <row r="122" spans="1:245" x14ac:dyDescent="0.2">
      <c r="A122" s="4">
        <v>50</v>
      </c>
      <c r="B122" s="4">
        <v>0</v>
      </c>
      <c r="C122" s="4">
        <v>0</v>
      </c>
      <c r="D122" s="4">
        <v>1</v>
      </c>
      <c r="E122" s="4">
        <v>201</v>
      </c>
      <c r="F122" s="4">
        <f>ROUND(Source!O120,O122)</f>
        <v>840269.85</v>
      </c>
      <c r="G122" s="4" t="s">
        <v>396</v>
      </c>
      <c r="H122" s="4" t="s">
        <v>397</v>
      </c>
      <c r="I122" s="4"/>
      <c r="J122" s="4"/>
      <c r="K122" s="4">
        <v>201</v>
      </c>
      <c r="L122" s="4">
        <v>1</v>
      </c>
      <c r="M122" s="4">
        <v>3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3" spans="1:245" x14ac:dyDescent="0.2">
      <c r="A123" s="4">
        <v>50</v>
      </c>
      <c r="B123" s="4">
        <v>0</v>
      </c>
      <c r="C123" s="4">
        <v>0</v>
      </c>
      <c r="D123" s="4">
        <v>1</v>
      </c>
      <c r="E123" s="4">
        <v>202</v>
      </c>
      <c r="F123" s="4">
        <f>ROUND(Source!P120,O123)</f>
        <v>770811.46</v>
      </c>
      <c r="G123" s="4" t="s">
        <v>398</v>
      </c>
      <c r="H123" s="4" t="s">
        <v>399</v>
      </c>
      <c r="I123" s="4"/>
      <c r="J123" s="4"/>
      <c r="K123" s="4">
        <v>202</v>
      </c>
      <c r="L123" s="4">
        <v>2</v>
      </c>
      <c r="M123" s="4">
        <v>3</v>
      </c>
      <c r="N123" s="4" t="s">
        <v>3</v>
      </c>
      <c r="O123" s="4">
        <v>2</v>
      </c>
      <c r="P123" s="4"/>
      <c r="Q123" s="4"/>
      <c r="R123" s="4"/>
      <c r="S123" s="4"/>
      <c r="T123" s="4"/>
      <c r="U123" s="4"/>
      <c r="V123" s="4"/>
      <c r="W123" s="4"/>
    </row>
    <row r="124" spans="1:245" x14ac:dyDescent="0.2">
      <c r="A124" s="4">
        <v>50</v>
      </c>
      <c r="B124" s="4">
        <v>0</v>
      </c>
      <c r="C124" s="4">
        <v>0</v>
      </c>
      <c r="D124" s="4">
        <v>1</v>
      </c>
      <c r="E124" s="4">
        <v>222</v>
      </c>
      <c r="F124" s="4">
        <f>ROUND(Source!AO120,O124)</f>
        <v>0</v>
      </c>
      <c r="G124" s="4" t="s">
        <v>400</v>
      </c>
      <c r="H124" s="4" t="s">
        <v>401</v>
      </c>
      <c r="I124" s="4"/>
      <c r="J124" s="4"/>
      <c r="K124" s="4">
        <v>222</v>
      </c>
      <c r="L124" s="4">
        <v>3</v>
      </c>
      <c r="M124" s="4">
        <v>3</v>
      </c>
      <c r="N124" s="4" t="s">
        <v>3</v>
      </c>
      <c r="O124" s="4">
        <v>2</v>
      </c>
      <c r="P124" s="4"/>
      <c r="Q124" s="4"/>
      <c r="R124" s="4"/>
      <c r="S124" s="4"/>
      <c r="T124" s="4"/>
      <c r="U124" s="4"/>
      <c r="V124" s="4"/>
      <c r="W124" s="4"/>
    </row>
    <row r="125" spans="1:245" x14ac:dyDescent="0.2">
      <c r="A125" s="4">
        <v>50</v>
      </c>
      <c r="B125" s="4">
        <v>0</v>
      </c>
      <c r="C125" s="4">
        <v>0</v>
      </c>
      <c r="D125" s="4">
        <v>1</v>
      </c>
      <c r="E125" s="4">
        <v>225</v>
      </c>
      <c r="F125" s="4">
        <f>ROUND(Source!AV120,O125)</f>
        <v>770811.46</v>
      </c>
      <c r="G125" s="4" t="s">
        <v>402</v>
      </c>
      <c r="H125" s="4" t="s">
        <v>403</v>
      </c>
      <c r="I125" s="4"/>
      <c r="J125" s="4"/>
      <c r="K125" s="4">
        <v>225</v>
      </c>
      <c r="L125" s="4">
        <v>4</v>
      </c>
      <c r="M125" s="4">
        <v>3</v>
      </c>
      <c r="N125" s="4" t="s">
        <v>3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45" x14ac:dyDescent="0.2">
      <c r="A126" s="4">
        <v>50</v>
      </c>
      <c r="B126" s="4">
        <v>0</v>
      </c>
      <c r="C126" s="4">
        <v>0</v>
      </c>
      <c r="D126" s="4">
        <v>1</v>
      </c>
      <c r="E126" s="4">
        <v>226</v>
      </c>
      <c r="F126" s="4">
        <f>ROUND(Source!AW120,O126)</f>
        <v>770811.46</v>
      </c>
      <c r="G126" s="4" t="s">
        <v>404</v>
      </c>
      <c r="H126" s="4" t="s">
        <v>405</v>
      </c>
      <c r="I126" s="4"/>
      <c r="J126" s="4"/>
      <c r="K126" s="4">
        <v>226</v>
      </c>
      <c r="L126" s="4">
        <v>5</v>
      </c>
      <c r="M126" s="4">
        <v>3</v>
      </c>
      <c r="N126" s="4" t="s">
        <v>3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45" x14ac:dyDescent="0.2">
      <c r="A127" s="4">
        <v>50</v>
      </c>
      <c r="B127" s="4">
        <v>0</v>
      </c>
      <c r="C127" s="4">
        <v>0</v>
      </c>
      <c r="D127" s="4">
        <v>1</v>
      </c>
      <c r="E127" s="4">
        <v>227</v>
      </c>
      <c r="F127" s="4">
        <f>ROUND(Source!AX120,O127)</f>
        <v>0</v>
      </c>
      <c r="G127" s="4" t="s">
        <v>406</v>
      </c>
      <c r="H127" s="4" t="s">
        <v>407</v>
      </c>
      <c r="I127" s="4"/>
      <c r="J127" s="4"/>
      <c r="K127" s="4">
        <v>227</v>
      </c>
      <c r="L127" s="4">
        <v>6</v>
      </c>
      <c r="M127" s="4">
        <v>3</v>
      </c>
      <c r="N127" s="4" t="s">
        <v>3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45" x14ac:dyDescent="0.2">
      <c r="A128" s="4">
        <v>50</v>
      </c>
      <c r="B128" s="4">
        <v>0</v>
      </c>
      <c r="C128" s="4">
        <v>0</v>
      </c>
      <c r="D128" s="4">
        <v>1</v>
      </c>
      <c r="E128" s="4">
        <v>228</v>
      </c>
      <c r="F128" s="4">
        <f>ROUND(Source!AY120,O128)</f>
        <v>770811.46</v>
      </c>
      <c r="G128" s="4" t="s">
        <v>408</v>
      </c>
      <c r="H128" s="4" t="s">
        <v>409</v>
      </c>
      <c r="I128" s="4"/>
      <c r="J128" s="4"/>
      <c r="K128" s="4">
        <v>228</v>
      </c>
      <c r="L128" s="4">
        <v>7</v>
      </c>
      <c r="M128" s="4">
        <v>3</v>
      </c>
      <c r="N128" s="4" t="s">
        <v>3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29" spans="1:23" x14ac:dyDescent="0.2">
      <c r="A129" s="4">
        <v>50</v>
      </c>
      <c r="B129" s="4">
        <v>0</v>
      </c>
      <c r="C129" s="4">
        <v>0</v>
      </c>
      <c r="D129" s="4">
        <v>1</v>
      </c>
      <c r="E129" s="4">
        <v>216</v>
      </c>
      <c r="F129" s="4">
        <f>ROUND(Source!AP120,O129)</f>
        <v>0</v>
      </c>
      <c r="G129" s="4" t="s">
        <v>410</v>
      </c>
      <c r="H129" s="4" t="s">
        <v>411</v>
      </c>
      <c r="I129" s="4"/>
      <c r="J129" s="4"/>
      <c r="K129" s="4">
        <v>216</v>
      </c>
      <c r="L129" s="4">
        <v>8</v>
      </c>
      <c r="M129" s="4">
        <v>3</v>
      </c>
      <c r="N129" s="4" t="s">
        <v>3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0" spans="1:23" x14ac:dyDescent="0.2">
      <c r="A130" s="4">
        <v>50</v>
      </c>
      <c r="B130" s="4">
        <v>0</v>
      </c>
      <c r="C130" s="4">
        <v>0</v>
      </c>
      <c r="D130" s="4">
        <v>1</v>
      </c>
      <c r="E130" s="4">
        <v>223</v>
      </c>
      <c r="F130" s="4">
        <f>ROUND(Source!AQ120,O130)</f>
        <v>0</v>
      </c>
      <c r="G130" s="4" t="s">
        <v>412</v>
      </c>
      <c r="H130" s="4" t="s">
        <v>413</v>
      </c>
      <c r="I130" s="4"/>
      <c r="J130" s="4"/>
      <c r="K130" s="4">
        <v>223</v>
      </c>
      <c r="L130" s="4">
        <v>9</v>
      </c>
      <c r="M130" s="4">
        <v>3</v>
      </c>
      <c r="N130" s="4" t="s">
        <v>3</v>
      </c>
      <c r="O130" s="4">
        <v>2</v>
      </c>
      <c r="P130" s="4"/>
      <c r="Q130" s="4"/>
      <c r="R130" s="4"/>
      <c r="S130" s="4"/>
      <c r="T130" s="4"/>
      <c r="U130" s="4"/>
      <c r="V130" s="4"/>
      <c r="W130" s="4"/>
    </row>
    <row r="131" spans="1:23" x14ac:dyDescent="0.2">
      <c r="A131" s="4">
        <v>50</v>
      </c>
      <c r="B131" s="4">
        <v>0</v>
      </c>
      <c r="C131" s="4">
        <v>0</v>
      </c>
      <c r="D131" s="4">
        <v>1</v>
      </c>
      <c r="E131" s="4">
        <v>229</v>
      </c>
      <c r="F131" s="4">
        <f>ROUND(Source!AZ120,O131)</f>
        <v>0</v>
      </c>
      <c r="G131" s="4" t="s">
        <v>414</v>
      </c>
      <c r="H131" s="4" t="s">
        <v>415</v>
      </c>
      <c r="I131" s="4"/>
      <c r="J131" s="4"/>
      <c r="K131" s="4">
        <v>229</v>
      </c>
      <c r="L131" s="4">
        <v>10</v>
      </c>
      <c r="M131" s="4">
        <v>3</v>
      </c>
      <c r="N131" s="4" t="s">
        <v>3</v>
      </c>
      <c r="O131" s="4">
        <v>2</v>
      </c>
      <c r="P131" s="4"/>
      <c r="Q131" s="4"/>
      <c r="R131" s="4"/>
      <c r="S131" s="4"/>
      <c r="T131" s="4"/>
      <c r="U131" s="4"/>
      <c r="V131" s="4"/>
      <c r="W131" s="4"/>
    </row>
    <row r="132" spans="1:23" x14ac:dyDescent="0.2">
      <c r="A132" s="4">
        <v>50</v>
      </c>
      <c r="B132" s="4">
        <v>0</v>
      </c>
      <c r="C132" s="4">
        <v>0</v>
      </c>
      <c r="D132" s="4">
        <v>1</v>
      </c>
      <c r="E132" s="4">
        <v>203</v>
      </c>
      <c r="F132" s="4">
        <f>ROUND(Source!Q120,O132)</f>
        <v>5669.13</v>
      </c>
      <c r="G132" s="4" t="s">
        <v>416</v>
      </c>
      <c r="H132" s="4" t="s">
        <v>417</v>
      </c>
      <c r="I132" s="4"/>
      <c r="J132" s="4"/>
      <c r="K132" s="4">
        <v>203</v>
      </c>
      <c r="L132" s="4">
        <v>11</v>
      </c>
      <c r="M132" s="4">
        <v>3</v>
      </c>
      <c r="N132" s="4" t="s">
        <v>3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3" x14ac:dyDescent="0.2">
      <c r="A133" s="4">
        <v>50</v>
      </c>
      <c r="B133" s="4">
        <v>0</v>
      </c>
      <c r="C133" s="4">
        <v>0</v>
      </c>
      <c r="D133" s="4">
        <v>1</v>
      </c>
      <c r="E133" s="4">
        <v>231</v>
      </c>
      <c r="F133" s="4">
        <f>ROUND(Source!BB120,O133)</f>
        <v>0</v>
      </c>
      <c r="G133" s="4" t="s">
        <v>418</v>
      </c>
      <c r="H133" s="4" t="s">
        <v>419</v>
      </c>
      <c r="I133" s="4"/>
      <c r="J133" s="4"/>
      <c r="K133" s="4">
        <v>231</v>
      </c>
      <c r="L133" s="4">
        <v>12</v>
      </c>
      <c r="M133" s="4">
        <v>3</v>
      </c>
      <c r="N133" s="4" t="s">
        <v>3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3" x14ac:dyDescent="0.2">
      <c r="A134" s="4">
        <v>50</v>
      </c>
      <c r="B134" s="4">
        <v>0</v>
      </c>
      <c r="C134" s="4">
        <v>0</v>
      </c>
      <c r="D134" s="4">
        <v>1</v>
      </c>
      <c r="E134" s="4">
        <v>204</v>
      </c>
      <c r="F134" s="4">
        <f>ROUND(Source!R120,O134)</f>
        <v>1313.34</v>
      </c>
      <c r="G134" s="4" t="s">
        <v>420</v>
      </c>
      <c r="H134" s="4" t="s">
        <v>421</v>
      </c>
      <c r="I134" s="4"/>
      <c r="J134" s="4"/>
      <c r="K134" s="4">
        <v>204</v>
      </c>
      <c r="L134" s="4">
        <v>13</v>
      </c>
      <c r="M134" s="4">
        <v>3</v>
      </c>
      <c r="N134" s="4" t="s">
        <v>3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3" x14ac:dyDescent="0.2">
      <c r="A135" s="4">
        <v>50</v>
      </c>
      <c r="B135" s="4">
        <v>0</v>
      </c>
      <c r="C135" s="4">
        <v>0</v>
      </c>
      <c r="D135" s="4">
        <v>1</v>
      </c>
      <c r="E135" s="4">
        <v>205</v>
      </c>
      <c r="F135" s="4">
        <f>ROUND(Source!S120,O135)</f>
        <v>63789.26</v>
      </c>
      <c r="G135" s="4" t="s">
        <v>422</v>
      </c>
      <c r="H135" s="4" t="s">
        <v>423</v>
      </c>
      <c r="I135" s="4"/>
      <c r="J135" s="4"/>
      <c r="K135" s="4">
        <v>205</v>
      </c>
      <c r="L135" s="4">
        <v>14</v>
      </c>
      <c r="M135" s="4">
        <v>3</v>
      </c>
      <c r="N135" s="4" t="s">
        <v>3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3" x14ac:dyDescent="0.2">
      <c r="A136" s="4">
        <v>50</v>
      </c>
      <c r="B136" s="4">
        <v>0</v>
      </c>
      <c r="C136" s="4">
        <v>0</v>
      </c>
      <c r="D136" s="4">
        <v>1</v>
      </c>
      <c r="E136" s="4">
        <v>232</v>
      </c>
      <c r="F136" s="4">
        <f>ROUND(Source!BC120,O136)</f>
        <v>0</v>
      </c>
      <c r="G136" s="4" t="s">
        <v>424</v>
      </c>
      <c r="H136" s="4" t="s">
        <v>425</v>
      </c>
      <c r="I136" s="4"/>
      <c r="J136" s="4"/>
      <c r="K136" s="4">
        <v>232</v>
      </c>
      <c r="L136" s="4">
        <v>15</v>
      </c>
      <c r="M136" s="4">
        <v>3</v>
      </c>
      <c r="N136" s="4" t="s">
        <v>3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3" x14ac:dyDescent="0.2">
      <c r="A137" s="4">
        <v>50</v>
      </c>
      <c r="B137" s="4">
        <v>0</v>
      </c>
      <c r="C137" s="4">
        <v>0</v>
      </c>
      <c r="D137" s="4">
        <v>1</v>
      </c>
      <c r="E137" s="4">
        <v>214</v>
      </c>
      <c r="F137" s="4">
        <f>ROUND(Source!AS120,O137)</f>
        <v>854254.48</v>
      </c>
      <c r="G137" s="4" t="s">
        <v>426</v>
      </c>
      <c r="H137" s="4" t="s">
        <v>427</v>
      </c>
      <c r="I137" s="4"/>
      <c r="J137" s="4"/>
      <c r="K137" s="4">
        <v>214</v>
      </c>
      <c r="L137" s="4">
        <v>16</v>
      </c>
      <c r="M137" s="4">
        <v>3</v>
      </c>
      <c r="N137" s="4" t="s">
        <v>3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3" x14ac:dyDescent="0.2">
      <c r="A138" s="4">
        <v>50</v>
      </c>
      <c r="B138" s="4">
        <v>0</v>
      </c>
      <c r="C138" s="4">
        <v>0</v>
      </c>
      <c r="D138" s="4">
        <v>1</v>
      </c>
      <c r="E138" s="4">
        <v>215</v>
      </c>
      <c r="F138" s="4">
        <f>ROUND(Source!AT120,O138)</f>
        <v>98573.48</v>
      </c>
      <c r="G138" s="4" t="s">
        <v>428</v>
      </c>
      <c r="H138" s="4" t="s">
        <v>429</v>
      </c>
      <c r="I138" s="4"/>
      <c r="J138" s="4"/>
      <c r="K138" s="4">
        <v>215</v>
      </c>
      <c r="L138" s="4">
        <v>17</v>
      </c>
      <c r="M138" s="4">
        <v>3</v>
      </c>
      <c r="N138" s="4" t="s">
        <v>3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39" spans="1:23" x14ac:dyDescent="0.2">
      <c r="A139" s="4">
        <v>50</v>
      </c>
      <c r="B139" s="4">
        <v>0</v>
      </c>
      <c r="C139" s="4">
        <v>0</v>
      </c>
      <c r="D139" s="4">
        <v>1</v>
      </c>
      <c r="E139" s="4">
        <v>217</v>
      </c>
      <c r="F139" s="4">
        <f>ROUND(Source!AU120,O139)</f>
        <v>0</v>
      </c>
      <c r="G139" s="4" t="s">
        <v>430</v>
      </c>
      <c r="H139" s="4" t="s">
        <v>431</v>
      </c>
      <c r="I139" s="4"/>
      <c r="J139" s="4"/>
      <c r="K139" s="4">
        <v>217</v>
      </c>
      <c r="L139" s="4">
        <v>18</v>
      </c>
      <c r="M139" s="4">
        <v>3</v>
      </c>
      <c r="N139" s="4" t="s">
        <v>3</v>
      </c>
      <c r="O139" s="4">
        <v>2</v>
      </c>
      <c r="P139" s="4"/>
      <c r="Q139" s="4"/>
      <c r="R139" s="4"/>
      <c r="S139" s="4"/>
      <c r="T139" s="4"/>
      <c r="U139" s="4"/>
      <c r="V139" s="4"/>
      <c r="W139" s="4"/>
    </row>
    <row r="140" spans="1:23" x14ac:dyDescent="0.2">
      <c r="A140" s="4">
        <v>50</v>
      </c>
      <c r="B140" s="4">
        <v>0</v>
      </c>
      <c r="C140" s="4">
        <v>0</v>
      </c>
      <c r="D140" s="4">
        <v>1</v>
      </c>
      <c r="E140" s="4">
        <v>230</v>
      </c>
      <c r="F140" s="4">
        <f>ROUND(Source!BA120,O140)</f>
        <v>0</v>
      </c>
      <c r="G140" s="4" t="s">
        <v>432</v>
      </c>
      <c r="H140" s="4" t="s">
        <v>433</v>
      </c>
      <c r="I140" s="4"/>
      <c r="J140" s="4"/>
      <c r="K140" s="4">
        <v>230</v>
      </c>
      <c r="L140" s="4">
        <v>19</v>
      </c>
      <c r="M140" s="4">
        <v>3</v>
      </c>
      <c r="N140" s="4" t="s">
        <v>3</v>
      </c>
      <c r="O140" s="4">
        <v>2</v>
      </c>
      <c r="P140" s="4"/>
      <c r="Q140" s="4"/>
      <c r="R140" s="4"/>
      <c r="S140" s="4"/>
      <c r="T140" s="4"/>
      <c r="U140" s="4"/>
      <c r="V140" s="4"/>
      <c r="W140" s="4"/>
    </row>
    <row r="141" spans="1:23" x14ac:dyDescent="0.2">
      <c r="A141" s="4">
        <v>50</v>
      </c>
      <c r="B141" s="4">
        <v>0</v>
      </c>
      <c r="C141" s="4">
        <v>0</v>
      </c>
      <c r="D141" s="4">
        <v>1</v>
      </c>
      <c r="E141" s="4">
        <v>206</v>
      </c>
      <c r="F141" s="4">
        <f>ROUND(Source!T120,O141)</f>
        <v>0</v>
      </c>
      <c r="G141" s="4" t="s">
        <v>434</v>
      </c>
      <c r="H141" s="4" t="s">
        <v>435</v>
      </c>
      <c r="I141" s="4"/>
      <c r="J141" s="4"/>
      <c r="K141" s="4">
        <v>206</v>
      </c>
      <c r="L141" s="4">
        <v>20</v>
      </c>
      <c r="M141" s="4">
        <v>3</v>
      </c>
      <c r="N141" s="4" t="s">
        <v>3</v>
      </c>
      <c r="O141" s="4">
        <v>2</v>
      </c>
      <c r="P141" s="4"/>
      <c r="Q141" s="4"/>
      <c r="R141" s="4"/>
      <c r="S141" s="4"/>
      <c r="T141" s="4"/>
      <c r="U141" s="4"/>
      <c r="V141" s="4"/>
      <c r="W141" s="4"/>
    </row>
    <row r="142" spans="1:23" x14ac:dyDescent="0.2">
      <c r="A142" s="4">
        <v>50</v>
      </c>
      <c r="B142" s="4">
        <v>0</v>
      </c>
      <c r="C142" s="4">
        <v>0</v>
      </c>
      <c r="D142" s="4">
        <v>1</v>
      </c>
      <c r="E142" s="4">
        <v>207</v>
      </c>
      <c r="F142" s="4">
        <f>Source!U120</f>
        <v>1041.2791226499999</v>
      </c>
      <c r="G142" s="4" t="s">
        <v>436</v>
      </c>
      <c r="H142" s="4" t="s">
        <v>437</v>
      </c>
      <c r="I142" s="4"/>
      <c r="J142" s="4"/>
      <c r="K142" s="4">
        <v>207</v>
      </c>
      <c r="L142" s="4">
        <v>21</v>
      </c>
      <c r="M142" s="4">
        <v>3</v>
      </c>
      <c r="N142" s="4" t="s">
        <v>3</v>
      </c>
      <c r="O142" s="4">
        <v>-1</v>
      </c>
      <c r="P142" s="4"/>
      <c r="Q142" s="4"/>
      <c r="R142" s="4"/>
      <c r="S142" s="4"/>
      <c r="T142" s="4"/>
      <c r="U142" s="4"/>
      <c r="V142" s="4"/>
      <c r="W142" s="4"/>
    </row>
    <row r="143" spans="1:23" x14ac:dyDescent="0.2">
      <c r="A143" s="4">
        <v>50</v>
      </c>
      <c r="B143" s="4">
        <v>0</v>
      </c>
      <c r="C143" s="4">
        <v>0</v>
      </c>
      <c r="D143" s="4">
        <v>1</v>
      </c>
      <c r="E143" s="4">
        <v>208</v>
      </c>
      <c r="F143" s="4">
        <f>Source!V120</f>
        <v>15.392633999999999</v>
      </c>
      <c r="G143" s="4" t="s">
        <v>438</v>
      </c>
      <c r="H143" s="4" t="s">
        <v>439</v>
      </c>
      <c r="I143" s="4"/>
      <c r="J143" s="4"/>
      <c r="K143" s="4">
        <v>208</v>
      </c>
      <c r="L143" s="4">
        <v>22</v>
      </c>
      <c r="M143" s="4">
        <v>3</v>
      </c>
      <c r="N143" s="4" t="s">
        <v>3</v>
      </c>
      <c r="O143" s="4">
        <v>-1</v>
      </c>
      <c r="P143" s="4"/>
      <c r="Q143" s="4"/>
      <c r="R143" s="4"/>
      <c r="S143" s="4"/>
      <c r="T143" s="4"/>
      <c r="U143" s="4"/>
      <c r="V143" s="4"/>
      <c r="W143" s="4"/>
    </row>
    <row r="144" spans="1:23" x14ac:dyDescent="0.2">
      <c r="A144" s="4">
        <v>50</v>
      </c>
      <c r="B144" s="4">
        <v>0</v>
      </c>
      <c r="C144" s="4">
        <v>0</v>
      </c>
      <c r="D144" s="4">
        <v>1</v>
      </c>
      <c r="E144" s="4">
        <v>209</v>
      </c>
      <c r="F144" s="4">
        <f>ROUND(Source!W120,O144)</f>
        <v>0</v>
      </c>
      <c r="G144" s="4" t="s">
        <v>440</v>
      </c>
      <c r="H144" s="4" t="s">
        <v>441</v>
      </c>
      <c r="I144" s="4"/>
      <c r="J144" s="4"/>
      <c r="K144" s="4">
        <v>209</v>
      </c>
      <c r="L144" s="4">
        <v>23</v>
      </c>
      <c r="M144" s="4">
        <v>3</v>
      </c>
      <c r="N144" s="4" t="s">
        <v>3</v>
      </c>
      <c r="O144" s="4">
        <v>2</v>
      </c>
      <c r="P144" s="4"/>
      <c r="Q144" s="4"/>
      <c r="R144" s="4"/>
      <c r="S144" s="4"/>
      <c r="T144" s="4"/>
      <c r="U144" s="4"/>
      <c r="V144" s="4"/>
      <c r="W144" s="4"/>
    </row>
    <row r="145" spans="1:206" x14ac:dyDescent="0.2">
      <c r="A145" s="4">
        <v>50</v>
      </c>
      <c r="B145" s="4">
        <v>0</v>
      </c>
      <c r="C145" s="4">
        <v>0</v>
      </c>
      <c r="D145" s="4">
        <v>1</v>
      </c>
      <c r="E145" s="4">
        <v>210</v>
      </c>
      <c r="F145" s="4">
        <f>ROUND(Source!X120,O145)</f>
        <v>65038.6</v>
      </c>
      <c r="G145" s="4" t="s">
        <v>442</v>
      </c>
      <c r="H145" s="4" t="s">
        <v>443</v>
      </c>
      <c r="I145" s="4"/>
      <c r="J145" s="4"/>
      <c r="K145" s="4">
        <v>210</v>
      </c>
      <c r="L145" s="4">
        <v>24</v>
      </c>
      <c r="M145" s="4">
        <v>3</v>
      </c>
      <c r="N145" s="4" t="s">
        <v>3</v>
      </c>
      <c r="O145" s="4">
        <v>2</v>
      </c>
      <c r="P145" s="4"/>
      <c r="Q145" s="4"/>
      <c r="R145" s="4"/>
      <c r="S145" s="4"/>
      <c r="T145" s="4"/>
      <c r="U145" s="4"/>
      <c r="V145" s="4"/>
      <c r="W145" s="4"/>
    </row>
    <row r="146" spans="1:206" x14ac:dyDescent="0.2">
      <c r="A146" s="4">
        <v>50</v>
      </c>
      <c r="B146" s="4">
        <v>0</v>
      </c>
      <c r="C146" s="4">
        <v>0</v>
      </c>
      <c r="D146" s="4">
        <v>1</v>
      </c>
      <c r="E146" s="4">
        <v>211</v>
      </c>
      <c r="F146" s="4">
        <f>ROUND(Source!Y120,O146)</f>
        <v>40267.47</v>
      </c>
      <c r="G146" s="4" t="s">
        <v>444</v>
      </c>
      <c r="H146" s="4" t="s">
        <v>445</v>
      </c>
      <c r="I146" s="4"/>
      <c r="J146" s="4"/>
      <c r="K146" s="4">
        <v>211</v>
      </c>
      <c r="L146" s="4">
        <v>25</v>
      </c>
      <c r="M146" s="4">
        <v>3</v>
      </c>
      <c r="N146" s="4" t="s">
        <v>3</v>
      </c>
      <c r="O146" s="4">
        <v>2</v>
      </c>
      <c r="P146" s="4"/>
      <c r="Q146" s="4"/>
      <c r="R146" s="4"/>
      <c r="S146" s="4"/>
      <c r="T146" s="4"/>
      <c r="U146" s="4"/>
      <c r="V146" s="4"/>
      <c r="W146" s="4"/>
    </row>
    <row r="147" spans="1:206" x14ac:dyDescent="0.2">
      <c r="A147" s="4">
        <v>50</v>
      </c>
      <c r="B147" s="4">
        <v>0</v>
      </c>
      <c r="C147" s="4">
        <v>0</v>
      </c>
      <c r="D147" s="4">
        <v>1</v>
      </c>
      <c r="E147" s="4">
        <v>224</v>
      </c>
      <c r="F147" s="4">
        <f>ROUND(Source!AR120,O147)</f>
        <v>952827.96</v>
      </c>
      <c r="G147" s="4" t="s">
        <v>446</v>
      </c>
      <c r="H147" s="4" t="s">
        <v>447</v>
      </c>
      <c r="I147" s="4"/>
      <c r="J147" s="4"/>
      <c r="K147" s="4">
        <v>224</v>
      </c>
      <c r="L147" s="4">
        <v>26</v>
      </c>
      <c r="M147" s="4">
        <v>3</v>
      </c>
      <c r="N147" s="4" t="s">
        <v>3</v>
      </c>
      <c r="O147" s="4">
        <v>2</v>
      </c>
      <c r="P147" s="4"/>
      <c r="Q147" s="4"/>
      <c r="R147" s="4"/>
      <c r="S147" s="4"/>
      <c r="T147" s="4"/>
      <c r="U147" s="4"/>
      <c r="V147" s="4"/>
      <c r="W147" s="4"/>
    </row>
    <row r="148" spans="1:206" x14ac:dyDescent="0.2">
      <c r="A148" s="4">
        <v>50</v>
      </c>
      <c r="B148" s="4">
        <v>1</v>
      </c>
      <c r="C148" s="4">
        <v>0</v>
      </c>
      <c r="D148" s="4">
        <v>2</v>
      </c>
      <c r="E148" s="4">
        <v>0</v>
      </c>
      <c r="F148" s="4">
        <f>ROUND(F147,O148)</f>
        <v>952827.96</v>
      </c>
      <c r="G148" s="4" t="s">
        <v>448</v>
      </c>
      <c r="H148" s="4" t="s">
        <v>449</v>
      </c>
      <c r="I148" s="4"/>
      <c r="J148" s="4"/>
      <c r="K148" s="4">
        <v>212</v>
      </c>
      <c r="L148" s="4">
        <v>27</v>
      </c>
      <c r="M148" s="4">
        <v>0</v>
      </c>
      <c r="N148" s="4" t="s">
        <v>3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206" x14ac:dyDescent="0.2">
      <c r="A149" s="4">
        <v>50</v>
      </c>
      <c r="B149" s="4">
        <v>1</v>
      </c>
      <c r="C149" s="4">
        <v>0</v>
      </c>
      <c r="D149" s="4">
        <v>2</v>
      </c>
      <c r="E149" s="4">
        <v>0</v>
      </c>
      <c r="F149" s="4">
        <f>ROUND(F148*0.18,O149)</f>
        <v>171509.03</v>
      </c>
      <c r="G149" s="4" t="s">
        <v>450</v>
      </c>
      <c r="H149" s="4" t="s">
        <v>451</v>
      </c>
      <c r="I149" s="4"/>
      <c r="J149" s="4"/>
      <c r="K149" s="4">
        <v>212</v>
      </c>
      <c r="L149" s="4">
        <v>28</v>
      </c>
      <c r="M149" s="4">
        <v>0</v>
      </c>
      <c r="N149" s="4" t="s">
        <v>3</v>
      </c>
      <c r="O149" s="4">
        <v>2</v>
      </c>
      <c r="P149" s="4"/>
      <c r="Q149" s="4"/>
      <c r="R149" s="4"/>
      <c r="S149" s="4"/>
      <c r="T149" s="4"/>
      <c r="U149" s="4"/>
      <c r="V149" s="4"/>
      <c r="W149" s="4"/>
    </row>
    <row r="150" spans="1:206" x14ac:dyDescent="0.2">
      <c r="A150" s="4">
        <v>50</v>
      </c>
      <c r="B150" s="4">
        <v>1</v>
      </c>
      <c r="C150" s="4">
        <v>0</v>
      </c>
      <c r="D150" s="4">
        <v>2</v>
      </c>
      <c r="E150" s="4">
        <v>213</v>
      </c>
      <c r="F150" s="4">
        <f>ROUND(F148+F149,O150)</f>
        <v>1124336.99</v>
      </c>
      <c r="G150" s="4" t="s">
        <v>452</v>
      </c>
      <c r="H150" s="4" t="s">
        <v>446</v>
      </c>
      <c r="I150" s="4"/>
      <c r="J150" s="4"/>
      <c r="K150" s="4">
        <v>212</v>
      </c>
      <c r="L150" s="4">
        <v>29</v>
      </c>
      <c r="M150" s="4">
        <v>0</v>
      </c>
      <c r="N150" s="4" t="s">
        <v>3</v>
      </c>
      <c r="O150" s="4">
        <v>2</v>
      </c>
      <c r="P150" s="4"/>
      <c r="Q150" s="4"/>
      <c r="R150" s="4"/>
      <c r="S150" s="4"/>
      <c r="T150" s="4"/>
      <c r="U150" s="4"/>
      <c r="V150" s="4"/>
      <c r="W150" s="4"/>
    </row>
    <row r="152" spans="1:206" x14ac:dyDescent="0.2">
      <c r="A152" s="2">
        <v>51</v>
      </c>
      <c r="B152" s="2">
        <f>B12</f>
        <v>210</v>
      </c>
      <c r="C152" s="2">
        <f>A12</f>
        <v>1</v>
      </c>
      <c r="D152" s="2">
        <f>ROW(A12)</f>
        <v>12</v>
      </c>
      <c r="E152" s="2"/>
      <c r="F152" s="2" t="str">
        <f>IF(F12&lt;&gt;"",F12,"")</f>
        <v>Новый объект</v>
      </c>
      <c r="G152" s="2" t="str">
        <f>IF(G12&lt;&gt;"",G12,"")</f>
        <v>на капитальный ремонт помещения №23 в осях В-Д/5-8 цокольного этажа здания учебно-лабораторного корпуса№2 Саровского физико-технического  института -филиала НИЯУ МИФИ (СарФТИ НИЯУ МИФИ) по адресу: Нижегородская обл.г.Саров,ул.Духова,д.6А</v>
      </c>
      <c r="H152" s="2">
        <v>0</v>
      </c>
      <c r="I152" s="2"/>
      <c r="J152" s="2"/>
      <c r="K152" s="2"/>
      <c r="L152" s="2"/>
      <c r="M152" s="2"/>
      <c r="N152" s="2"/>
      <c r="O152" s="2">
        <f t="shared" ref="O152:T152" si="133">ROUND(O120,2)</f>
        <v>840269.85</v>
      </c>
      <c r="P152" s="2">
        <f t="shared" si="133"/>
        <v>770811.46</v>
      </c>
      <c r="Q152" s="2">
        <f t="shared" si="133"/>
        <v>5669.13</v>
      </c>
      <c r="R152" s="2">
        <f t="shared" si="133"/>
        <v>1313.34</v>
      </c>
      <c r="S152" s="2">
        <f t="shared" si="133"/>
        <v>63789.26</v>
      </c>
      <c r="T152" s="2">
        <f t="shared" si="133"/>
        <v>0</v>
      </c>
      <c r="U152" s="2">
        <f>U120</f>
        <v>1041.2791226499999</v>
      </c>
      <c r="V152" s="2">
        <f>V120</f>
        <v>15.392633999999999</v>
      </c>
      <c r="W152" s="2">
        <f>ROUND(W120,2)</f>
        <v>0</v>
      </c>
      <c r="X152" s="2">
        <f>ROUND(X120,2)</f>
        <v>65038.6</v>
      </c>
      <c r="Y152" s="2">
        <f>ROUND(Y120,2)</f>
        <v>40267.47</v>
      </c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>
        <f t="shared" ref="AO152:BC152" si="134">ROUND(AO120,2)</f>
        <v>0</v>
      </c>
      <c r="AP152" s="2">
        <f t="shared" si="134"/>
        <v>0</v>
      </c>
      <c r="AQ152" s="2">
        <f t="shared" si="134"/>
        <v>0</v>
      </c>
      <c r="AR152" s="2">
        <f t="shared" si="134"/>
        <v>952827.96</v>
      </c>
      <c r="AS152" s="2">
        <f t="shared" si="134"/>
        <v>854254.48</v>
      </c>
      <c r="AT152" s="2">
        <f t="shared" si="134"/>
        <v>98573.48</v>
      </c>
      <c r="AU152" s="2">
        <f t="shared" si="134"/>
        <v>0</v>
      </c>
      <c r="AV152" s="2">
        <f t="shared" si="134"/>
        <v>770811.46</v>
      </c>
      <c r="AW152" s="2">
        <f t="shared" si="134"/>
        <v>770811.46</v>
      </c>
      <c r="AX152" s="2">
        <f t="shared" si="134"/>
        <v>0</v>
      </c>
      <c r="AY152" s="2">
        <f t="shared" si="134"/>
        <v>770811.46</v>
      </c>
      <c r="AZ152" s="2">
        <f t="shared" si="134"/>
        <v>0</v>
      </c>
      <c r="BA152" s="2">
        <f t="shared" si="134"/>
        <v>0</v>
      </c>
      <c r="BB152" s="2">
        <f t="shared" si="134"/>
        <v>0</v>
      </c>
      <c r="BC152" s="2">
        <f t="shared" si="134"/>
        <v>0</v>
      </c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>
        <v>0</v>
      </c>
    </row>
    <row r="154" spans="1:206" x14ac:dyDescent="0.2">
      <c r="A154" s="4">
        <v>50</v>
      </c>
      <c r="B154" s="4">
        <v>0</v>
      </c>
      <c r="C154" s="4">
        <v>0</v>
      </c>
      <c r="D154" s="4">
        <v>1</v>
      </c>
      <c r="E154" s="4">
        <v>201</v>
      </c>
      <c r="F154" s="4">
        <f>ROUND(Source!O152,O154)</f>
        <v>840269.85</v>
      </c>
      <c r="G154" s="4" t="s">
        <v>396</v>
      </c>
      <c r="H154" s="4" t="s">
        <v>397</v>
      </c>
      <c r="I154" s="4"/>
      <c r="J154" s="4"/>
      <c r="K154" s="4">
        <v>201</v>
      </c>
      <c r="L154" s="4">
        <v>1</v>
      </c>
      <c r="M154" s="4">
        <v>3</v>
      </c>
      <c r="N154" s="4" t="s">
        <v>3</v>
      </c>
      <c r="O154" s="4">
        <v>2</v>
      </c>
      <c r="P154" s="4"/>
      <c r="Q154" s="4"/>
      <c r="R154" s="4"/>
      <c r="S154" s="4"/>
      <c r="T154" s="4"/>
      <c r="U154" s="4"/>
      <c r="V154" s="4"/>
      <c r="W154" s="4"/>
    </row>
    <row r="155" spans="1:206" x14ac:dyDescent="0.2">
      <c r="A155" s="4">
        <v>50</v>
      </c>
      <c r="B155" s="4">
        <v>0</v>
      </c>
      <c r="C155" s="4">
        <v>0</v>
      </c>
      <c r="D155" s="4">
        <v>1</v>
      </c>
      <c r="E155" s="4">
        <v>202</v>
      </c>
      <c r="F155" s="4">
        <f>ROUND(Source!P152,O155)</f>
        <v>770811.46</v>
      </c>
      <c r="G155" s="4" t="s">
        <v>398</v>
      </c>
      <c r="H155" s="4" t="s">
        <v>399</v>
      </c>
      <c r="I155" s="4"/>
      <c r="J155" s="4"/>
      <c r="K155" s="4">
        <v>202</v>
      </c>
      <c r="L155" s="4">
        <v>2</v>
      </c>
      <c r="M155" s="4">
        <v>3</v>
      </c>
      <c r="N155" s="4" t="s">
        <v>3</v>
      </c>
      <c r="O155" s="4">
        <v>2</v>
      </c>
      <c r="P155" s="4"/>
      <c r="Q155" s="4"/>
      <c r="R155" s="4"/>
      <c r="S155" s="4"/>
      <c r="T155" s="4"/>
      <c r="U155" s="4"/>
      <c r="V155" s="4"/>
      <c r="W155" s="4"/>
    </row>
    <row r="156" spans="1:206" x14ac:dyDescent="0.2">
      <c r="A156" s="4">
        <v>50</v>
      </c>
      <c r="B156" s="4">
        <v>0</v>
      </c>
      <c r="C156" s="4">
        <v>0</v>
      </c>
      <c r="D156" s="4">
        <v>1</v>
      </c>
      <c r="E156" s="4">
        <v>222</v>
      </c>
      <c r="F156" s="4">
        <f>ROUND(Source!AO152,O156)</f>
        <v>0</v>
      </c>
      <c r="G156" s="4" t="s">
        <v>400</v>
      </c>
      <c r="H156" s="4" t="s">
        <v>401</v>
      </c>
      <c r="I156" s="4"/>
      <c r="J156" s="4"/>
      <c r="K156" s="4">
        <v>222</v>
      </c>
      <c r="L156" s="4">
        <v>3</v>
      </c>
      <c r="M156" s="4">
        <v>3</v>
      </c>
      <c r="N156" s="4" t="s">
        <v>3</v>
      </c>
      <c r="O156" s="4">
        <v>2</v>
      </c>
      <c r="P156" s="4"/>
      <c r="Q156" s="4"/>
      <c r="R156" s="4"/>
      <c r="S156" s="4"/>
      <c r="T156" s="4"/>
      <c r="U156" s="4"/>
      <c r="V156" s="4"/>
      <c r="W156" s="4"/>
    </row>
    <row r="157" spans="1:206" x14ac:dyDescent="0.2">
      <c r="A157" s="4">
        <v>50</v>
      </c>
      <c r="B157" s="4">
        <v>0</v>
      </c>
      <c r="C157" s="4">
        <v>0</v>
      </c>
      <c r="D157" s="4">
        <v>1</v>
      </c>
      <c r="E157" s="4">
        <v>225</v>
      </c>
      <c r="F157" s="4">
        <f>ROUND(Source!AV152,O157)</f>
        <v>770811.46</v>
      </c>
      <c r="G157" s="4" t="s">
        <v>402</v>
      </c>
      <c r="H157" s="4" t="s">
        <v>403</v>
      </c>
      <c r="I157" s="4"/>
      <c r="J157" s="4"/>
      <c r="K157" s="4">
        <v>225</v>
      </c>
      <c r="L157" s="4">
        <v>4</v>
      </c>
      <c r="M157" s="4">
        <v>3</v>
      </c>
      <c r="N157" s="4" t="s">
        <v>3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58" spans="1:206" x14ac:dyDescent="0.2">
      <c r="A158" s="4">
        <v>50</v>
      </c>
      <c r="B158" s="4">
        <v>0</v>
      </c>
      <c r="C158" s="4">
        <v>0</v>
      </c>
      <c r="D158" s="4">
        <v>1</v>
      </c>
      <c r="E158" s="4">
        <v>226</v>
      </c>
      <c r="F158" s="4">
        <f>ROUND(Source!AW152,O158)</f>
        <v>770811.46</v>
      </c>
      <c r="G158" s="4" t="s">
        <v>404</v>
      </c>
      <c r="H158" s="4" t="s">
        <v>405</v>
      </c>
      <c r="I158" s="4"/>
      <c r="J158" s="4"/>
      <c r="K158" s="4">
        <v>226</v>
      </c>
      <c r="L158" s="4">
        <v>5</v>
      </c>
      <c r="M158" s="4">
        <v>3</v>
      </c>
      <c r="N158" s="4" t="s">
        <v>3</v>
      </c>
      <c r="O158" s="4">
        <v>2</v>
      </c>
      <c r="P158" s="4"/>
      <c r="Q158" s="4"/>
      <c r="R158" s="4"/>
      <c r="S158" s="4"/>
      <c r="T158" s="4"/>
      <c r="U158" s="4"/>
      <c r="V158" s="4"/>
      <c r="W158" s="4"/>
    </row>
    <row r="159" spans="1:206" x14ac:dyDescent="0.2">
      <c r="A159" s="4">
        <v>50</v>
      </c>
      <c r="B159" s="4">
        <v>0</v>
      </c>
      <c r="C159" s="4">
        <v>0</v>
      </c>
      <c r="D159" s="4">
        <v>1</v>
      </c>
      <c r="E159" s="4">
        <v>227</v>
      </c>
      <c r="F159" s="4">
        <f>ROUND(Source!AX152,O159)</f>
        <v>0</v>
      </c>
      <c r="G159" s="4" t="s">
        <v>406</v>
      </c>
      <c r="H159" s="4" t="s">
        <v>407</v>
      </c>
      <c r="I159" s="4"/>
      <c r="J159" s="4"/>
      <c r="K159" s="4">
        <v>227</v>
      </c>
      <c r="L159" s="4">
        <v>6</v>
      </c>
      <c r="M159" s="4">
        <v>3</v>
      </c>
      <c r="N159" s="4" t="s">
        <v>3</v>
      </c>
      <c r="O159" s="4">
        <v>2</v>
      </c>
      <c r="P159" s="4"/>
      <c r="Q159" s="4"/>
      <c r="R159" s="4"/>
      <c r="S159" s="4"/>
      <c r="T159" s="4"/>
      <c r="U159" s="4"/>
      <c r="V159" s="4"/>
      <c r="W159" s="4"/>
    </row>
    <row r="160" spans="1:206" x14ac:dyDescent="0.2">
      <c r="A160" s="4">
        <v>50</v>
      </c>
      <c r="B160" s="4">
        <v>0</v>
      </c>
      <c r="C160" s="4">
        <v>0</v>
      </c>
      <c r="D160" s="4">
        <v>1</v>
      </c>
      <c r="E160" s="4">
        <v>228</v>
      </c>
      <c r="F160" s="4">
        <f>ROUND(Source!AY152,O160)</f>
        <v>770811.46</v>
      </c>
      <c r="G160" s="4" t="s">
        <v>408</v>
      </c>
      <c r="H160" s="4" t="s">
        <v>409</v>
      </c>
      <c r="I160" s="4"/>
      <c r="J160" s="4"/>
      <c r="K160" s="4">
        <v>228</v>
      </c>
      <c r="L160" s="4">
        <v>7</v>
      </c>
      <c r="M160" s="4">
        <v>3</v>
      </c>
      <c r="N160" s="4" t="s">
        <v>3</v>
      </c>
      <c r="O160" s="4">
        <v>2</v>
      </c>
      <c r="P160" s="4"/>
      <c r="Q160" s="4"/>
      <c r="R160" s="4"/>
      <c r="S160" s="4"/>
      <c r="T160" s="4"/>
      <c r="U160" s="4"/>
      <c r="V160" s="4"/>
      <c r="W160" s="4"/>
    </row>
    <row r="161" spans="1:23" x14ac:dyDescent="0.2">
      <c r="A161" s="4">
        <v>50</v>
      </c>
      <c r="B161" s="4">
        <v>0</v>
      </c>
      <c r="C161" s="4">
        <v>0</v>
      </c>
      <c r="D161" s="4">
        <v>1</v>
      </c>
      <c r="E161" s="4">
        <v>216</v>
      </c>
      <c r="F161" s="4">
        <f>ROUND(Source!AP152,O161)</f>
        <v>0</v>
      </c>
      <c r="G161" s="4" t="s">
        <v>410</v>
      </c>
      <c r="H161" s="4" t="s">
        <v>411</v>
      </c>
      <c r="I161" s="4"/>
      <c r="J161" s="4"/>
      <c r="K161" s="4">
        <v>216</v>
      </c>
      <c r="L161" s="4">
        <v>8</v>
      </c>
      <c r="M161" s="4">
        <v>3</v>
      </c>
      <c r="N161" s="4" t="s">
        <v>3</v>
      </c>
      <c r="O161" s="4">
        <v>2</v>
      </c>
      <c r="P161" s="4"/>
      <c r="Q161" s="4"/>
      <c r="R161" s="4"/>
      <c r="S161" s="4"/>
      <c r="T161" s="4"/>
      <c r="U161" s="4"/>
      <c r="V161" s="4"/>
      <c r="W161" s="4"/>
    </row>
    <row r="162" spans="1:23" x14ac:dyDescent="0.2">
      <c r="A162" s="4">
        <v>50</v>
      </c>
      <c r="B162" s="4">
        <v>0</v>
      </c>
      <c r="C162" s="4">
        <v>0</v>
      </c>
      <c r="D162" s="4">
        <v>1</v>
      </c>
      <c r="E162" s="4">
        <v>223</v>
      </c>
      <c r="F162" s="4">
        <f>ROUND(Source!AQ152,O162)</f>
        <v>0</v>
      </c>
      <c r="G162" s="4" t="s">
        <v>412</v>
      </c>
      <c r="H162" s="4" t="s">
        <v>413</v>
      </c>
      <c r="I162" s="4"/>
      <c r="J162" s="4"/>
      <c r="K162" s="4">
        <v>223</v>
      </c>
      <c r="L162" s="4">
        <v>9</v>
      </c>
      <c r="M162" s="4">
        <v>3</v>
      </c>
      <c r="N162" s="4" t="s">
        <v>3</v>
      </c>
      <c r="O162" s="4">
        <v>2</v>
      </c>
      <c r="P162" s="4"/>
      <c r="Q162" s="4"/>
      <c r="R162" s="4"/>
      <c r="S162" s="4"/>
      <c r="T162" s="4"/>
      <c r="U162" s="4"/>
      <c r="V162" s="4"/>
      <c r="W162" s="4"/>
    </row>
    <row r="163" spans="1:23" x14ac:dyDescent="0.2">
      <c r="A163" s="4">
        <v>50</v>
      </c>
      <c r="B163" s="4">
        <v>0</v>
      </c>
      <c r="C163" s="4">
        <v>0</v>
      </c>
      <c r="D163" s="4">
        <v>1</v>
      </c>
      <c r="E163" s="4">
        <v>229</v>
      </c>
      <c r="F163" s="4">
        <f>ROUND(Source!AZ152,O163)</f>
        <v>0</v>
      </c>
      <c r="G163" s="4" t="s">
        <v>414</v>
      </c>
      <c r="H163" s="4" t="s">
        <v>415</v>
      </c>
      <c r="I163" s="4"/>
      <c r="J163" s="4"/>
      <c r="K163" s="4">
        <v>229</v>
      </c>
      <c r="L163" s="4">
        <v>10</v>
      </c>
      <c r="M163" s="4">
        <v>3</v>
      </c>
      <c r="N163" s="4" t="s">
        <v>3</v>
      </c>
      <c r="O163" s="4">
        <v>2</v>
      </c>
      <c r="P163" s="4"/>
      <c r="Q163" s="4"/>
      <c r="R163" s="4"/>
      <c r="S163" s="4"/>
      <c r="T163" s="4"/>
      <c r="U163" s="4"/>
      <c r="V163" s="4"/>
      <c r="W163" s="4"/>
    </row>
    <row r="164" spans="1:23" x14ac:dyDescent="0.2">
      <c r="A164" s="4">
        <v>50</v>
      </c>
      <c r="B164" s="4">
        <v>0</v>
      </c>
      <c r="C164" s="4">
        <v>0</v>
      </c>
      <c r="D164" s="4">
        <v>1</v>
      </c>
      <c r="E164" s="4">
        <v>203</v>
      </c>
      <c r="F164" s="4">
        <f>ROUND(Source!Q152,O164)</f>
        <v>5669.13</v>
      </c>
      <c r="G164" s="4" t="s">
        <v>416</v>
      </c>
      <c r="H164" s="4" t="s">
        <v>417</v>
      </c>
      <c r="I164" s="4"/>
      <c r="J164" s="4"/>
      <c r="K164" s="4">
        <v>203</v>
      </c>
      <c r="L164" s="4">
        <v>11</v>
      </c>
      <c r="M164" s="4">
        <v>3</v>
      </c>
      <c r="N164" s="4" t="s">
        <v>3</v>
      </c>
      <c r="O164" s="4">
        <v>2</v>
      </c>
      <c r="P164" s="4"/>
      <c r="Q164" s="4"/>
      <c r="R164" s="4"/>
      <c r="S164" s="4"/>
      <c r="T164" s="4"/>
      <c r="U164" s="4"/>
      <c r="V164" s="4"/>
      <c r="W164" s="4"/>
    </row>
    <row r="165" spans="1:23" x14ac:dyDescent="0.2">
      <c r="A165" s="4">
        <v>50</v>
      </c>
      <c r="B165" s="4">
        <v>0</v>
      </c>
      <c r="C165" s="4">
        <v>0</v>
      </c>
      <c r="D165" s="4">
        <v>1</v>
      </c>
      <c r="E165" s="4">
        <v>231</v>
      </c>
      <c r="F165" s="4">
        <f>ROUND(Source!BB152,O165)</f>
        <v>0</v>
      </c>
      <c r="G165" s="4" t="s">
        <v>418</v>
      </c>
      <c r="H165" s="4" t="s">
        <v>419</v>
      </c>
      <c r="I165" s="4"/>
      <c r="J165" s="4"/>
      <c r="K165" s="4">
        <v>231</v>
      </c>
      <c r="L165" s="4">
        <v>12</v>
      </c>
      <c r="M165" s="4">
        <v>3</v>
      </c>
      <c r="N165" s="4" t="s">
        <v>3</v>
      </c>
      <c r="O165" s="4">
        <v>2</v>
      </c>
      <c r="P165" s="4"/>
      <c r="Q165" s="4"/>
      <c r="R165" s="4"/>
      <c r="S165" s="4"/>
      <c r="T165" s="4"/>
      <c r="U165" s="4"/>
      <c r="V165" s="4"/>
      <c r="W165" s="4"/>
    </row>
    <row r="166" spans="1:23" x14ac:dyDescent="0.2">
      <c r="A166" s="4">
        <v>50</v>
      </c>
      <c r="B166" s="4">
        <v>0</v>
      </c>
      <c r="C166" s="4">
        <v>0</v>
      </c>
      <c r="D166" s="4">
        <v>1</v>
      </c>
      <c r="E166" s="4">
        <v>204</v>
      </c>
      <c r="F166" s="4">
        <f>ROUND(Source!R152,O166)</f>
        <v>1313.34</v>
      </c>
      <c r="G166" s="4" t="s">
        <v>420</v>
      </c>
      <c r="H166" s="4" t="s">
        <v>421</v>
      </c>
      <c r="I166" s="4"/>
      <c r="J166" s="4"/>
      <c r="K166" s="4">
        <v>204</v>
      </c>
      <c r="L166" s="4">
        <v>13</v>
      </c>
      <c r="M166" s="4">
        <v>3</v>
      </c>
      <c r="N166" s="4" t="s">
        <v>3</v>
      </c>
      <c r="O166" s="4">
        <v>2</v>
      </c>
      <c r="P166" s="4"/>
      <c r="Q166" s="4"/>
      <c r="R166" s="4"/>
      <c r="S166" s="4"/>
      <c r="T166" s="4"/>
      <c r="U166" s="4"/>
      <c r="V166" s="4"/>
      <c r="W166" s="4"/>
    </row>
    <row r="167" spans="1:23" x14ac:dyDescent="0.2">
      <c r="A167" s="4">
        <v>50</v>
      </c>
      <c r="B167" s="4">
        <v>0</v>
      </c>
      <c r="C167" s="4">
        <v>0</v>
      </c>
      <c r="D167" s="4">
        <v>1</v>
      </c>
      <c r="E167" s="4">
        <v>205</v>
      </c>
      <c r="F167" s="4">
        <f>ROUND(Source!S152,O167)</f>
        <v>63789.26</v>
      </c>
      <c r="G167" s="4" t="s">
        <v>422</v>
      </c>
      <c r="H167" s="4" t="s">
        <v>423</v>
      </c>
      <c r="I167" s="4"/>
      <c r="J167" s="4"/>
      <c r="K167" s="4">
        <v>205</v>
      </c>
      <c r="L167" s="4">
        <v>14</v>
      </c>
      <c r="M167" s="4">
        <v>3</v>
      </c>
      <c r="N167" s="4" t="s">
        <v>3</v>
      </c>
      <c r="O167" s="4">
        <v>2</v>
      </c>
      <c r="P167" s="4"/>
      <c r="Q167" s="4"/>
      <c r="R167" s="4"/>
      <c r="S167" s="4"/>
      <c r="T167" s="4"/>
      <c r="U167" s="4"/>
      <c r="V167" s="4"/>
      <c r="W167" s="4"/>
    </row>
    <row r="168" spans="1:23" x14ac:dyDescent="0.2">
      <c r="A168" s="4">
        <v>50</v>
      </c>
      <c r="B168" s="4">
        <v>0</v>
      </c>
      <c r="C168" s="4">
        <v>0</v>
      </c>
      <c r="D168" s="4">
        <v>1</v>
      </c>
      <c r="E168" s="4">
        <v>232</v>
      </c>
      <c r="F168" s="4">
        <f>ROUND(Source!BC152,O168)</f>
        <v>0</v>
      </c>
      <c r="G168" s="4" t="s">
        <v>424</v>
      </c>
      <c r="H168" s="4" t="s">
        <v>425</v>
      </c>
      <c r="I168" s="4"/>
      <c r="J168" s="4"/>
      <c r="K168" s="4">
        <v>232</v>
      </c>
      <c r="L168" s="4">
        <v>15</v>
      </c>
      <c r="M168" s="4">
        <v>3</v>
      </c>
      <c r="N168" s="4" t="s">
        <v>3</v>
      </c>
      <c r="O168" s="4">
        <v>2</v>
      </c>
      <c r="P168" s="4"/>
      <c r="Q168" s="4"/>
      <c r="R168" s="4"/>
      <c r="S168" s="4"/>
      <c r="T168" s="4"/>
      <c r="U168" s="4"/>
      <c r="V168" s="4"/>
      <c r="W168" s="4"/>
    </row>
    <row r="169" spans="1:23" x14ac:dyDescent="0.2">
      <c r="A169" s="4">
        <v>50</v>
      </c>
      <c r="B169" s="4">
        <v>0</v>
      </c>
      <c r="C169" s="4">
        <v>0</v>
      </c>
      <c r="D169" s="4">
        <v>1</v>
      </c>
      <c r="E169" s="4">
        <v>214</v>
      </c>
      <c r="F169" s="4">
        <f>ROUND(Source!AS152,O169)</f>
        <v>854254.48</v>
      </c>
      <c r="G169" s="4" t="s">
        <v>426</v>
      </c>
      <c r="H169" s="4" t="s">
        <v>427</v>
      </c>
      <c r="I169" s="4"/>
      <c r="J169" s="4"/>
      <c r="K169" s="4">
        <v>214</v>
      </c>
      <c r="L169" s="4">
        <v>16</v>
      </c>
      <c r="M169" s="4">
        <v>3</v>
      </c>
      <c r="N169" s="4" t="s">
        <v>3</v>
      </c>
      <c r="O169" s="4">
        <v>2</v>
      </c>
      <c r="P169" s="4"/>
      <c r="Q169" s="4"/>
      <c r="R169" s="4"/>
      <c r="S169" s="4"/>
      <c r="T169" s="4"/>
      <c r="U169" s="4"/>
      <c r="V169" s="4"/>
      <c r="W169" s="4"/>
    </row>
    <row r="170" spans="1:23" x14ac:dyDescent="0.2">
      <c r="A170" s="4">
        <v>50</v>
      </c>
      <c r="B170" s="4">
        <v>0</v>
      </c>
      <c r="C170" s="4">
        <v>0</v>
      </c>
      <c r="D170" s="4">
        <v>1</v>
      </c>
      <c r="E170" s="4">
        <v>215</v>
      </c>
      <c r="F170" s="4">
        <f>ROUND(Source!AT152,O170)</f>
        <v>98573.48</v>
      </c>
      <c r="G170" s="4" t="s">
        <v>428</v>
      </c>
      <c r="H170" s="4" t="s">
        <v>429</v>
      </c>
      <c r="I170" s="4"/>
      <c r="J170" s="4"/>
      <c r="K170" s="4">
        <v>215</v>
      </c>
      <c r="L170" s="4">
        <v>17</v>
      </c>
      <c r="M170" s="4">
        <v>3</v>
      </c>
      <c r="N170" s="4" t="s">
        <v>3</v>
      </c>
      <c r="O170" s="4">
        <v>2</v>
      </c>
      <c r="P170" s="4"/>
      <c r="Q170" s="4"/>
      <c r="R170" s="4"/>
      <c r="S170" s="4"/>
      <c r="T170" s="4"/>
      <c r="U170" s="4"/>
      <c r="V170" s="4"/>
      <c r="W170" s="4"/>
    </row>
    <row r="171" spans="1:23" x14ac:dyDescent="0.2">
      <c r="A171" s="4">
        <v>50</v>
      </c>
      <c r="B171" s="4">
        <v>0</v>
      </c>
      <c r="C171" s="4">
        <v>0</v>
      </c>
      <c r="D171" s="4">
        <v>1</v>
      </c>
      <c r="E171" s="4">
        <v>217</v>
      </c>
      <c r="F171" s="4">
        <f>ROUND(Source!AU152,O171)</f>
        <v>0</v>
      </c>
      <c r="G171" s="4" t="s">
        <v>430</v>
      </c>
      <c r="H171" s="4" t="s">
        <v>431</v>
      </c>
      <c r="I171" s="4"/>
      <c r="J171" s="4"/>
      <c r="K171" s="4">
        <v>217</v>
      </c>
      <c r="L171" s="4">
        <v>18</v>
      </c>
      <c r="M171" s="4">
        <v>3</v>
      </c>
      <c r="N171" s="4" t="s">
        <v>3</v>
      </c>
      <c r="O171" s="4">
        <v>2</v>
      </c>
      <c r="P171" s="4"/>
      <c r="Q171" s="4"/>
      <c r="R171" s="4"/>
      <c r="S171" s="4"/>
      <c r="T171" s="4"/>
      <c r="U171" s="4"/>
      <c r="V171" s="4"/>
      <c r="W171" s="4"/>
    </row>
    <row r="172" spans="1:23" x14ac:dyDescent="0.2">
      <c r="A172" s="4">
        <v>50</v>
      </c>
      <c r="B172" s="4">
        <v>0</v>
      </c>
      <c r="C172" s="4">
        <v>0</v>
      </c>
      <c r="D172" s="4">
        <v>1</v>
      </c>
      <c r="E172" s="4">
        <v>230</v>
      </c>
      <c r="F172" s="4">
        <f>ROUND(Source!BA152,O172)</f>
        <v>0</v>
      </c>
      <c r="G172" s="4" t="s">
        <v>432</v>
      </c>
      <c r="H172" s="4" t="s">
        <v>433</v>
      </c>
      <c r="I172" s="4"/>
      <c r="J172" s="4"/>
      <c r="K172" s="4">
        <v>230</v>
      </c>
      <c r="L172" s="4">
        <v>19</v>
      </c>
      <c r="M172" s="4">
        <v>3</v>
      </c>
      <c r="N172" s="4" t="s">
        <v>3</v>
      </c>
      <c r="O172" s="4">
        <v>2</v>
      </c>
      <c r="P172" s="4"/>
      <c r="Q172" s="4"/>
      <c r="R172" s="4"/>
      <c r="S172" s="4"/>
      <c r="T172" s="4"/>
      <c r="U172" s="4"/>
      <c r="V172" s="4"/>
      <c r="W172" s="4"/>
    </row>
    <row r="173" spans="1:23" x14ac:dyDescent="0.2">
      <c r="A173" s="4">
        <v>50</v>
      </c>
      <c r="B173" s="4">
        <v>0</v>
      </c>
      <c r="C173" s="4">
        <v>0</v>
      </c>
      <c r="D173" s="4">
        <v>1</v>
      </c>
      <c r="E173" s="4">
        <v>206</v>
      </c>
      <c r="F173" s="4">
        <f>ROUND(Source!T152,O173)</f>
        <v>0</v>
      </c>
      <c r="G173" s="4" t="s">
        <v>434</v>
      </c>
      <c r="H173" s="4" t="s">
        <v>435</v>
      </c>
      <c r="I173" s="4"/>
      <c r="J173" s="4"/>
      <c r="K173" s="4">
        <v>206</v>
      </c>
      <c r="L173" s="4">
        <v>20</v>
      </c>
      <c r="M173" s="4">
        <v>3</v>
      </c>
      <c r="N173" s="4" t="s">
        <v>3</v>
      </c>
      <c r="O173" s="4">
        <v>2</v>
      </c>
      <c r="P173" s="4"/>
      <c r="Q173" s="4"/>
      <c r="R173" s="4"/>
      <c r="S173" s="4"/>
      <c r="T173" s="4"/>
      <c r="U173" s="4"/>
      <c r="V173" s="4"/>
      <c r="W173" s="4"/>
    </row>
    <row r="174" spans="1:23" x14ac:dyDescent="0.2">
      <c r="A174" s="4">
        <v>50</v>
      </c>
      <c r="B174" s="4">
        <v>0</v>
      </c>
      <c r="C174" s="4">
        <v>0</v>
      </c>
      <c r="D174" s="4">
        <v>1</v>
      </c>
      <c r="E174" s="4">
        <v>207</v>
      </c>
      <c r="F174" s="4">
        <f>Source!U152</f>
        <v>1041.2791226499999</v>
      </c>
      <c r="G174" s="4" t="s">
        <v>436</v>
      </c>
      <c r="H174" s="4" t="s">
        <v>437</v>
      </c>
      <c r="I174" s="4"/>
      <c r="J174" s="4"/>
      <c r="K174" s="4">
        <v>207</v>
      </c>
      <c r="L174" s="4">
        <v>21</v>
      </c>
      <c r="M174" s="4">
        <v>3</v>
      </c>
      <c r="N174" s="4" t="s">
        <v>3</v>
      </c>
      <c r="O174" s="4">
        <v>-1</v>
      </c>
      <c r="P174" s="4"/>
      <c r="Q174" s="4"/>
      <c r="R174" s="4"/>
      <c r="S174" s="4"/>
      <c r="T174" s="4"/>
      <c r="U174" s="4"/>
      <c r="V174" s="4"/>
      <c r="W174" s="4"/>
    </row>
    <row r="175" spans="1:23" x14ac:dyDescent="0.2">
      <c r="A175" s="4">
        <v>50</v>
      </c>
      <c r="B175" s="4">
        <v>0</v>
      </c>
      <c r="C175" s="4">
        <v>0</v>
      </c>
      <c r="D175" s="4">
        <v>1</v>
      </c>
      <c r="E175" s="4">
        <v>208</v>
      </c>
      <c r="F175" s="4">
        <f>Source!V152</f>
        <v>15.392633999999999</v>
      </c>
      <c r="G175" s="4" t="s">
        <v>438</v>
      </c>
      <c r="H175" s="4" t="s">
        <v>439</v>
      </c>
      <c r="I175" s="4"/>
      <c r="J175" s="4"/>
      <c r="K175" s="4">
        <v>208</v>
      </c>
      <c r="L175" s="4">
        <v>22</v>
      </c>
      <c r="M175" s="4">
        <v>3</v>
      </c>
      <c r="N175" s="4" t="s">
        <v>3</v>
      </c>
      <c r="O175" s="4">
        <v>-1</v>
      </c>
      <c r="P175" s="4"/>
      <c r="Q175" s="4"/>
      <c r="R175" s="4"/>
      <c r="S175" s="4"/>
      <c r="T175" s="4"/>
      <c r="U175" s="4"/>
      <c r="V175" s="4"/>
      <c r="W175" s="4"/>
    </row>
    <row r="176" spans="1:23" x14ac:dyDescent="0.2">
      <c r="A176" s="4">
        <v>50</v>
      </c>
      <c r="B176" s="4">
        <v>0</v>
      </c>
      <c r="C176" s="4">
        <v>0</v>
      </c>
      <c r="D176" s="4">
        <v>1</v>
      </c>
      <c r="E176" s="4">
        <v>209</v>
      </c>
      <c r="F176" s="4">
        <f>ROUND(Source!W152,O176)</f>
        <v>0</v>
      </c>
      <c r="G176" s="4" t="s">
        <v>440</v>
      </c>
      <c r="H176" s="4" t="s">
        <v>441</v>
      </c>
      <c r="I176" s="4"/>
      <c r="J176" s="4"/>
      <c r="K176" s="4">
        <v>209</v>
      </c>
      <c r="L176" s="4">
        <v>23</v>
      </c>
      <c r="M176" s="4">
        <v>3</v>
      </c>
      <c r="N176" s="4" t="s">
        <v>3</v>
      </c>
      <c r="O176" s="4">
        <v>2</v>
      </c>
      <c r="P176" s="4"/>
      <c r="Q176" s="4"/>
      <c r="R176" s="4"/>
      <c r="S176" s="4"/>
      <c r="T176" s="4"/>
      <c r="U176" s="4"/>
      <c r="V176" s="4"/>
      <c r="W176" s="4"/>
    </row>
    <row r="177" spans="1:23" x14ac:dyDescent="0.2">
      <c r="A177" s="4">
        <v>50</v>
      </c>
      <c r="B177" s="4">
        <v>0</v>
      </c>
      <c r="C177" s="4">
        <v>0</v>
      </c>
      <c r="D177" s="4">
        <v>1</v>
      </c>
      <c r="E177" s="4">
        <v>210</v>
      </c>
      <c r="F177" s="4">
        <f>ROUND(Source!X152,O177)</f>
        <v>65038.6</v>
      </c>
      <c r="G177" s="4" t="s">
        <v>442</v>
      </c>
      <c r="H177" s="4" t="s">
        <v>443</v>
      </c>
      <c r="I177" s="4"/>
      <c r="J177" s="4"/>
      <c r="K177" s="4">
        <v>210</v>
      </c>
      <c r="L177" s="4">
        <v>24</v>
      </c>
      <c r="M177" s="4">
        <v>3</v>
      </c>
      <c r="N177" s="4" t="s">
        <v>3</v>
      </c>
      <c r="O177" s="4">
        <v>2</v>
      </c>
      <c r="P177" s="4"/>
      <c r="Q177" s="4"/>
      <c r="R177" s="4"/>
      <c r="S177" s="4"/>
      <c r="T177" s="4"/>
      <c r="U177" s="4"/>
      <c r="V177" s="4"/>
      <c r="W177" s="4"/>
    </row>
    <row r="178" spans="1:23" x14ac:dyDescent="0.2">
      <c r="A178" s="4">
        <v>50</v>
      </c>
      <c r="B178" s="4">
        <v>0</v>
      </c>
      <c r="C178" s="4">
        <v>0</v>
      </c>
      <c r="D178" s="4">
        <v>1</v>
      </c>
      <c r="E178" s="4">
        <v>211</v>
      </c>
      <c r="F178" s="4">
        <f>ROUND(Source!Y152,O178)</f>
        <v>40267.47</v>
      </c>
      <c r="G178" s="4" t="s">
        <v>444</v>
      </c>
      <c r="H178" s="4" t="s">
        <v>445</v>
      </c>
      <c r="I178" s="4"/>
      <c r="J178" s="4"/>
      <c r="K178" s="4">
        <v>211</v>
      </c>
      <c r="L178" s="4">
        <v>25</v>
      </c>
      <c r="M178" s="4">
        <v>3</v>
      </c>
      <c r="N178" s="4" t="s">
        <v>3</v>
      </c>
      <c r="O178" s="4">
        <v>2</v>
      </c>
      <c r="P178" s="4"/>
      <c r="Q178" s="4"/>
      <c r="R178" s="4"/>
      <c r="S178" s="4"/>
      <c r="T178" s="4"/>
      <c r="U178" s="4"/>
      <c r="V178" s="4"/>
      <c r="W178" s="4"/>
    </row>
    <row r="179" spans="1:23" x14ac:dyDescent="0.2">
      <c r="A179" s="4">
        <v>50</v>
      </c>
      <c r="B179" s="4">
        <v>0</v>
      </c>
      <c r="C179" s="4">
        <v>0</v>
      </c>
      <c r="D179" s="4">
        <v>1</v>
      </c>
      <c r="E179" s="4">
        <v>224</v>
      </c>
      <c r="F179" s="4">
        <f>ROUND(Source!AR152,O179)</f>
        <v>952827.96</v>
      </c>
      <c r="G179" s="4" t="s">
        <v>446</v>
      </c>
      <c r="H179" s="4" t="s">
        <v>447</v>
      </c>
      <c r="I179" s="4"/>
      <c r="J179" s="4"/>
      <c r="K179" s="4">
        <v>224</v>
      </c>
      <c r="L179" s="4">
        <v>26</v>
      </c>
      <c r="M179" s="4">
        <v>3</v>
      </c>
      <c r="N179" s="4" t="s">
        <v>3</v>
      </c>
      <c r="O179" s="4">
        <v>2</v>
      </c>
      <c r="P179" s="4"/>
      <c r="Q179" s="4"/>
      <c r="R179" s="4"/>
      <c r="S179" s="4"/>
      <c r="T179" s="4"/>
      <c r="U179" s="4"/>
      <c r="V179" s="4"/>
      <c r="W179" s="4"/>
    </row>
    <row r="182" spans="1:23" x14ac:dyDescent="0.2">
      <c r="A182">
        <v>70</v>
      </c>
      <c r="B182">
        <v>1</v>
      </c>
      <c r="D182">
        <v>1</v>
      </c>
      <c r="E182" t="s">
        <v>453</v>
      </c>
      <c r="F182" t="s">
        <v>454</v>
      </c>
      <c r="G182">
        <v>0</v>
      </c>
      <c r="H182">
        <v>0</v>
      </c>
      <c r="I182" t="s">
        <v>3</v>
      </c>
      <c r="J182">
        <v>1</v>
      </c>
      <c r="K182">
        <v>0</v>
      </c>
      <c r="L182" t="s">
        <v>3</v>
      </c>
      <c r="M182" t="s">
        <v>3</v>
      </c>
      <c r="N182">
        <v>0</v>
      </c>
    </row>
    <row r="183" spans="1:23" x14ac:dyDescent="0.2">
      <c r="A183">
        <v>70</v>
      </c>
      <c r="B183">
        <v>1</v>
      </c>
      <c r="D183">
        <v>2</v>
      </c>
      <c r="E183" t="s">
        <v>455</v>
      </c>
      <c r="F183" t="s">
        <v>456</v>
      </c>
      <c r="G183">
        <v>1</v>
      </c>
      <c r="H183">
        <v>0</v>
      </c>
      <c r="I183" t="s">
        <v>3</v>
      </c>
      <c r="J183">
        <v>1</v>
      </c>
      <c r="K183">
        <v>0</v>
      </c>
      <c r="L183" t="s">
        <v>3</v>
      </c>
      <c r="M183" t="s">
        <v>3</v>
      </c>
      <c r="N183">
        <v>0</v>
      </c>
    </row>
    <row r="184" spans="1:23" x14ac:dyDescent="0.2">
      <c r="A184">
        <v>70</v>
      </c>
      <c r="B184">
        <v>1</v>
      </c>
      <c r="D184">
        <v>3</v>
      </c>
      <c r="E184" t="s">
        <v>457</v>
      </c>
      <c r="F184" t="s">
        <v>458</v>
      </c>
      <c r="G184">
        <v>0</v>
      </c>
      <c r="H184">
        <v>0</v>
      </c>
      <c r="I184" t="s">
        <v>3</v>
      </c>
      <c r="J184">
        <v>1</v>
      </c>
      <c r="K184">
        <v>0</v>
      </c>
      <c r="L184" t="s">
        <v>3</v>
      </c>
      <c r="M184" t="s">
        <v>3</v>
      </c>
      <c r="N184">
        <v>0</v>
      </c>
    </row>
    <row r="185" spans="1:23" x14ac:dyDescent="0.2">
      <c r="A185">
        <v>70</v>
      </c>
      <c r="B185">
        <v>1</v>
      </c>
      <c r="D185">
        <v>4</v>
      </c>
      <c r="E185" t="s">
        <v>459</v>
      </c>
      <c r="F185" t="s">
        <v>460</v>
      </c>
      <c r="G185">
        <v>0</v>
      </c>
      <c r="H185">
        <v>0</v>
      </c>
      <c r="I185" t="s">
        <v>461</v>
      </c>
      <c r="J185">
        <v>0</v>
      </c>
      <c r="K185">
        <v>0</v>
      </c>
      <c r="L185" t="s">
        <v>3</v>
      </c>
      <c r="M185" t="s">
        <v>3</v>
      </c>
      <c r="N185">
        <v>0</v>
      </c>
    </row>
    <row r="186" spans="1:23" x14ac:dyDescent="0.2">
      <c r="A186">
        <v>70</v>
      </c>
      <c r="B186">
        <v>1</v>
      </c>
      <c r="D186">
        <v>5</v>
      </c>
      <c r="E186" t="s">
        <v>462</v>
      </c>
      <c r="F186" t="s">
        <v>463</v>
      </c>
      <c r="G186">
        <v>0</v>
      </c>
      <c r="H186">
        <v>0</v>
      </c>
      <c r="I186" t="s">
        <v>464</v>
      </c>
      <c r="J186">
        <v>0</v>
      </c>
      <c r="K186">
        <v>0</v>
      </c>
      <c r="L186" t="s">
        <v>3</v>
      </c>
      <c r="M186" t="s">
        <v>3</v>
      </c>
      <c r="N186">
        <v>0</v>
      </c>
    </row>
    <row r="187" spans="1:23" x14ac:dyDescent="0.2">
      <c r="A187">
        <v>70</v>
      </c>
      <c r="B187">
        <v>1</v>
      </c>
      <c r="D187">
        <v>6</v>
      </c>
      <c r="E187" t="s">
        <v>465</v>
      </c>
      <c r="F187" t="s">
        <v>466</v>
      </c>
      <c r="G187">
        <v>0</v>
      </c>
      <c r="H187">
        <v>0</v>
      </c>
      <c r="I187" t="s">
        <v>467</v>
      </c>
      <c r="J187">
        <v>0</v>
      </c>
      <c r="K187">
        <v>0</v>
      </c>
      <c r="L187" t="s">
        <v>3</v>
      </c>
      <c r="M187" t="s">
        <v>3</v>
      </c>
      <c r="N187">
        <v>0</v>
      </c>
    </row>
    <row r="188" spans="1:23" x14ac:dyDescent="0.2">
      <c r="A188">
        <v>70</v>
      </c>
      <c r="B188">
        <v>1</v>
      </c>
      <c r="D188">
        <v>7</v>
      </c>
      <c r="E188" t="s">
        <v>468</v>
      </c>
      <c r="F188" t="s">
        <v>469</v>
      </c>
      <c r="G188">
        <v>0</v>
      </c>
      <c r="H188">
        <v>0</v>
      </c>
      <c r="I188" t="s">
        <v>3</v>
      </c>
      <c r="J188">
        <v>0</v>
      </c>
      <c r="K188">
        <v>0</v>
      </c>
      <c r="L188" t="s">
        <v>3</v>
      </c>
      <c r="M188" t="s">
        <v>3</v>
      </c>
      <c r="N188">
        <v>0</v>
      </c>
    </row>
    <row r="189" spans="1:23" x14ac:dyDescent="0.2">
      <c r="A189">
        <v>70</v>
      </c>
      <c r="B189">
        <v>1</v>
      </c>
      <c r="D189">
        <v>8</v>
      </c>
      <c r="E189" t="s">
        <v>470</v>
      </c>
      <c r="F189" t="s">
        <v>471</v>
      </c>
      <c r="G189">
        <v>0</v>
      </c>
      <c r="H189">
        <v>0</v>
      </c>
      <c r="I189" t="s">
        <v>472</v>
      </c>
      <c r="J189">
        <v>0</v>
      </c>
      <c r="K189">
        <v>0</v>
      </c>
      <c r="L189" t="s">
        <v>3</v>
      </c>
      <c r="M189" t="s">
        <v>3</v>
      </c>
      <c r="N189">
        <v>0</v>
      </c>
    </row>
    <row r="190" spans="1:23" x14ac:dyDescent="0.2">
      <c r="A190">
        <v>70</v>
      </c>
      <c r="B190">
        <v>1</v>
      </c>
      <c r="D190">
        <v>9</v>
      </c>
      <c r="E190" t="s">
        <v>473</v>
      </c>
      <c r="F190" t="s">
        <v>474</v>
      </c>
      <c r="G190">
        <v>0</v>
      </c>
      <c r="H190">
        <v>0</v>
      </c>
      <c r="I190" t="s">
        <v>475</v>
      </c>
      <c r="J190">
        <v>0</v>
      </c>
      <c r="K190">
        <v>0</v>
      </c>
      <c r="L190" t="s">
        <v>3</v>
      </c>
      <c r="M190" t="s">
        <v>3</v>
      </c>
      <c r="N190">
        <v>0</v>
      </c>
    </row>
    <row r="191" spans="1:23" x14ac:dyDescent="0.2">
      <c r="A191">
        <v>70</v>
      </c>
      <c r="B191">
        <v>1</v>
      </c>
      <c r="D191">
        <v>10</v>
      </c>
      <c r="E191" t="s">
        <v>476</v>
      </c>
      <c r="F191" t="s">
        <v>477</v>
      </c>
      <c r="G191">
        <v>0</v>
      </c>
      <c r="H191">
        <v>0</v>
      </c>
      <c r="I191" t="s">
        <v>478</v>
      </c>
      <c r="J191">
        <v>0</v>
      </c>
      <c r="K191">
        <v>0</v>
      </c>
      <c r="L191" t="s">
        <v>3</v>
      </c>
      <c r="M191" t="s">
        <v>3</v>
      </c>
      <c r="N191">
        <v>0</v>
      </c>
    </row>
    <row r="192" spans="1:23" x14ac:dyDescent="0.2">
      <c r="A192">
        <v>70</v>
      </c>
      <c r="B192">
        <v>1</v>
      </c>
      <c r="D192">
        <v>11</v>
      </c>
      <c r="E192" t="s">
        <v>479</v>
      </c>
      <c r="F192" t="s">
        <v>480</v>
      </c>
      <c r="G192">
        <v>0</v>
      </c>
      <c r="H192">
        <v>0</v>
      </c>
      <c r="I192" t="s">
        <v>481</v>
      </c>
      <c r="J192">
        <v>0</v>
      </c>
      <c r="K192">
        <v>0</v>
      </c>
      <c r="L192" t="s">
        <v>3</v>
      </c>
      <c r="M192" t="s">
        <v>3</v>
      </c>
      <c r="N192">
        <v>0</v>
      </c>
    </row>
    <row r="193" spans="1:14" x14ac:dyDescent="0.2">
      <c r="A193">
        <v>70</v>
      </c>
      <c r="B193">
        <v>1</v>
      </c>
      <c r="D193">
        <v>12</v>
      </c>
      <c r="E193" t="s">
        <v>482</v>
      </c>
      <c r="F193" t="s">
        <v>483</v>
      </c>
      <c r="G193">
        <v>0</v>
      </c>
      <c r="H193">
        <v>0</v>
      </c>
      <c r="I193" t="s">
        <v>3</v>
      </c>
      <c r="J193">
        <v>0</v>
      </c>
      <c r="K193">
        <v>0</v>
      </c>
      <c r="L193" t="s">
        <v>3</v>
      </c>
      <c r="M193" t="s">
        <v>3</v>
      </c>
      <c r="N193">
        <v>0</v>
      </c>
    </row>
    <row r="194" spans="1:14" x14ac:dyDescent="0.2">
      <c r="A194">
        <v>70</v>
      </c>
      <c r="B194">
        <v>1</v>
      </c>
      <c r="D194">
        <v>1</v>
      </c>
      <c r="E194" t="s">
        <v>484</v>
      </c>
      <c r="F194" t="s">
        <v>485</v>
      </c>
      <c r="G194">
        <v>0.9</v>
      </c>
      <c r="H194">
        <v>1</v>
      </c>
      <c r="I194" t="s">
        <v>486</v>
      </c>
      <c r="J194">
        <v>0</v>
      </c>
      <c r="K194">
        <v>0</v>
      </c>
      <c r="L194" t="s">
        <v>3</v>
      </c>
      <c r="M194" t="s">
        <v>3</v>
      </c>
      <c r="N194">
        <v>0</v>
      </c>
    </row>
    <row r="195" spans="1:14" x14ac:dyDescent="0.2">
      <c r="A195">
        <v>70</v>
      </c>
      <c r="B195">
        <v>1</v>
      </c>
      <c r="D195">
        <v>2</v>
      </c>
      <c r="E195" t="s">
        <v>487</v>
      </c>
      <c r="F195" t="s">
        <v>488</v>
      </c>
      <c r="G195">
        <v>0.85</v>
      </c>
      <c r="H195">
        <v>1</v>
      </c>
      <c r="I195" t="s">
        <v>489</v>
      </c>
      <c r="J195">
        <v>0</v>
      </c>
      <c r="K195">
        <v>0</v>
      </c>
      <c r="L195" t="s">
        <v>3</v>
      </c>
      <c r="M195" t="s">
        <v>3</v>
      </c>
      <c r="N195">
        <v>0</v>
      </c>
    </row>
    <row r="196" spans="1:14" x14ac:dyDescent="0.2">
      <c r="A196">
        <v>70</v>
      </c>
      <c r="B196">
        <v>1</v>
      </c>
      <c r="D196">
        <v>3</v>
      </c>
      <c r="E196" t="s">
        <v>490</v>
      </c>
      <c r="F196" t="s">
        <v>491</v>
      </c>
      <c r="G196">
        <v>1</v>
      </c>
      <c r="H196">
        <v>0.85</v>
      </c>
      <c r="I196" t="s">
        <v>492</v>
      </c>
      <c r="J196">
        <v>0</v>
      </c>
      <c r="K196">
        <v>0</v>
      </c>
      <c r="L196" t="s">
        <v>3</v>
      </c>
      <c r="M196" t="s">
        <v>3</v>
      </c>
      <c r="N196">
        <v>0</v>
      </c>
    </row>
    <row r="197" spans="1:14" x14ac:dyDescent="0.2">
      <c r="A197">
        <v>70</v>
      </c>
      <c r="B197">
        <v>1</v>
      </c>
      <c r="D197">
        <v>4</v>
      </c>
      <c r="E197" t="s">
        <v>493</v>
      </c>
      <c r="F197" t="s">
        <v>494</v>
      </c>
      <c r="G197">
        <v>1</v>
      </c>
      <c r="H197">
        <v>0</v>
      </c>
      <c r="I197" t="s">
        <v>3</v>
      </c>
      <c r="J197">
        <v>0</v>
      </c>
      <c r="K197">
        <v>0</v>
      </c>
      <c r="L197" t="s">
        <v>3</v>
      </c>
      <c r="M197" t="s">
        <v>3</v>
      </c>
      <c r="N197">
        <v>0</v>
      </c>
    </row>
    <row r="198" spans="1:14" x14ac:dyDescent="0.2">
      <c r="A198">
        <v>70</v>
      </c>
      <c r="B198">
        <v>1</v>
      </c>
      <c r="D198">
        <v>5</v>
      </c>
      <c r="E198" t="s">
        <v>495</v>
      </c>
      <c r="F198" t="s">
        <v>496</v>
      </c>
      <c r="G198">
        <v>1</v>
      </c>
      <c r="H198">
        <v>0.8</v>
      </c>
      <c r="I198" t="s">
        <v>497</v>
      </c>
      <c r="J198">
        <v>0</v>
      </c>
      <c r="K198">
        <v>0</v>
      </c>
      <c r="L198" t="s">
        <v>3</v>
      </c>
      <c r="M198" t="s">
        <v>3</v>
      </c>
      <c r="N198">
        <v>0</v>
      </c>
    </row>
    <row r="199" spans="1:14" x14ac:dyDescent="0.2">
      <c r="A199">
        <v>70</v>
      </c>
      <c r="B199">
        <v>1</v>
      </c>
      <c r="D199">
        <v>6</v>
      </c>
      <c r="E199" t="s">
        <v>498</v>
      </c>
      <c r="F199" t="s">
        <v>499</v>
      </c>
      <c r="G199">
        <v>0.85</v>
      </c>
      <c r="H199">
        <v>0</v>
      </c>
      <c r="I199" t="s">
        <v>3</v>
      </c>
      <c r="J199">
        <v>0</v>
      </c>
      <c r="K199">
        <v>0</v>
      </c>
      <c r="L199" t="s">
        <v>3</v>
      </c>
      <c r="M199" t="s">
        <v>3</v>
      </c>
      <c r="N199">
        <v>0</v>
      </c>
    </row>
    <row r="200" spans="1:14" x14ac:dyDescent="0.2">
      <c r="A200">
        <v>70</v>
      </c>
      <c r="B200">
        <v>1</v>
      </c>
      <c r="D200">
        <v>7</v>
      </c>
      <c r="E200" t="s">
        <v>500</v>
      </c>
      <c r="F200" t="s">
        <v>501</v>
      </c>
      <c r="G200">
        <v>0.8</v>
      </c>
      <c r="H200">
        <v>0</v>
      </c>
      <c r="I200" t="s">
        <v>3</v>
      </c>
      <c r="J200">
        <v>0</v>
      </c>
      <c r="K200">
        <v>0</v>
      </c>
      <c r="L200" t="s">
        <v>3</v>
      </c>
      <c r="M200" t="s">
        <v>3</v>
      </c>
      <c r="N200">
        <v>0</v>
      </c>
    </row>
    <row r="201" spans="1:14" x14ac:dyDescent="0.2">
      <c r="A201">
        <v>70</v>
      </c>
      <c r="B201">
        <v>1</v>
      </c>
      <c r="D201">
        <v>8</v>
      </c>
      <c r="E201" t="s">
        <v>502</v>
      </c>
      <c r="F201" t="s">
        <v>503</v>
      </c>
      <c r="G201">
        <v>0.94</v>
      </c>
      <c r="H201">
        <v>0</v>
      </c>
      <c r="I201" t="s">
        <v>3</v>
      </c>
      <c r="J201">
        <v>0</v>
      </c>
      <c r="K201">
        <v>0</v>
      </c>
      <c r="L201" t="s">
        <v>3</v>
      </c>
      <c r="M201" t="s">
        <v>3</v>
      </c>
      <c r="N201">
        <v>0</v>
      </c>
    </row>
    <row r="202" spans="1:14" x14ac:dyDescent="0.2">
      <c r="A202">
        <v>70</v>
      </c>
      <c r="B202">
        <v>1</v>
      </c>
      <c r="D202">
        <v>9</v>
      </c>
      <c r="E202" t="s">
        <v>504</v>
      </c>
      <c r="F202" t="s">
        <v>505</v>
      </c>
      <c r="G202">
        <v>0.9</v>
      </c>
      <c r="H202">
        <v>0</v>
      </c>
      <c r="I202" t="s">
        <v>3</v>
      </c>
      <c r="J202">
        <v>0</v>
      </c>
      <c r="K202">
        <v>0</v>
      </c>
      <c r="L202" t="s">
        <v>3</v>
      </c>
      <c r="M202" t="s">
        <v>3</v>
      </c>
      <c r="N202">
        <v>0</v>
      </c>
    </row>
    <row r="203" spans="1:14" x14ac:dyDescent="0.2">
      <c r="A203">
        <v>70</v>
      </c>
      <c r="B203">
        <v>1</v>
      </c>
      <c r="D203">
        <v>10</v>
      </c>
      <c r="E203" t="s">
        <v>506</v>
      </c>
      <c r="F203" t="s">
        <v>507</v>
      </c>
      <c r="G203">
        <v>0.6</v>
      </c>
      <c r="H203">
        <v>0</v>
      </c>
      <c r="I203" t="s">
        <v>3</v>
      </c>
      <c r="J203">
        <v>0</v>
      </c>
      <c r="K203">
        <v>0</v>
      </c>
      <c r="L203" t="s">
        <v>3</v>
      </c>
      <c r="M203" t="s">
        <v>3</v>
      </c>
      <c r="N203">
        <v>0</v>
      </c>
    </row>
    <row r="204" spans="1:14" x14ac:dyDescent="0.2">
      <c r="A204">
        <v>70</v>
      </c>
      <c r="B204">
        <v>1</v>
      </c>
      <c r="D204">
        <v>11</v>
      </c>
      <c r="E204" t="s">
        <v>508</v>
      </c>
      <c r="F204" t="s">
        <v>509</v>
      </c>
      <c r="G204">
        <v>1.2</v>
      </c>
      <c r="H204">
        <v>0</v>
      </c>
      <c r="I204" t="s">
        <v>3</v>
      </c>
      <c r="J204">
        <v>0</v>
      </c>
      <c r="K204">
        <v>0</v>
      </c>
      <c r="L204" t="s">
        <v>3</v>
      </c>
      <c r="M204" t="s">
        <v>3</v>
      </c>
      <c r="N204">
        <v>0</v>
      </c>
    </row>
    <row r="205" spans="1:14" x14ac:dyDescent="0.2">
      <c r="A205">
        <v>70</v>
      </c>
      <c r="B205">
        <v>1</v>
      </c>
      <c r="D205">
        <v>12</v>
      </c>
      <c r="E205" t="s">
        <v>510</v>
      </c>
      <c r="F205" t="s">
        <v>511</v>
      </c>
      <c r="G205">
        <v>0</v>
      </c>
      <c r="H205">
        <v>0</v>
      </c>
      <c r="I205" t="s">
        <v>3</v>
      </c>
      <c r="J205">
        <v>0</v>
      </c>
      <c r="K205">
        <v>0</v>
      </c>
      <c r="L205" t="s">
        <v>3</v>
      </c>
      <c r="M205" t="s">
        <v>3</v>
      </c>
      <c r="N205">
        <v>0</v>
      </c>
    </row>
    <row r="206" spans="1:14" x14ac:dyDescent="0.2">
      <c r="A206">
        <v>70</v>
      </c>
      <c r="B206">
        <v>1</v>
      </c>
      <c r="D206">
        <v>13</v>
      </c>
      <c r="E206" t="s">
        <v>512</v>
      </c>
      <c r="F206" t="s">
        <v>513</v>
      </c>
      <c r="G206">
        <v>0.94</v>
      </c>
      <c r="H206">
        <v>0</v>
      </c>
      <c r="I206" t="s">
        <v>3</v>
      </c>
      <c r="J206">
        <v>0</v>
      </c>
      <c r="K206">
        <v>0</v>
      </c>
      <c r="L206" t="s">
        <v>3</v>
      </c>
      <c r="M206" t="s">
        <v>3</v>
      </c>
      <c r="N206">
        <v>0</v>
      </c>
    </row>
    <row r="208" spans="1:14" x14ac:dyDescent="0.2">
      <c r="A208">
        <v>-1</v>
      </c>
    </row>
    <row r="210" spans="1:34" x14ac:dyDescent="0.2">
      <c r="A210" s="3">
        <v>75</v>
      </c>
      <c r="B210" s="3" t="s">
        <v>514</v>
      </c>
      <c r="C210" s="3">
        <v>2018</v>
      </c>
      <c r="D210" s="3">
        <v>2</v>
      </c>
      <c r="E210" s="3">
        <v>0</v>
      </c>
      <c r="F210" s="3">
        <v>0</v>
      </c>
      <c r="G210" s="3">
        <v>0</v>
      </c>
      <c r="H210" s="3">
        <v>1</v>
      </c>
      <c r="I210" s="3">
        <v>0</v>
      </c>
      <c r="J210" s="3">
        <v>1</v>
      </c>
      <c r="K210" s="3">
        <v>0</v>
      </c>
      <c r="L210" s="3">
        <v>0</v>
      </c>
      <c r="M210" s="3">
        <v>0</v>
      </c>
      <c r="N210" s="3">
        <v>39579451</v>
      </c>
      <c r="O210" s="3">
        <v>1</v>
      </c>
    </row>
    <row r="211" spans="1:34" x14ac:dyDescent="0.2">
      <c r="A211" s="5">
        <v>3</v>
      </c>
      <c r="B211" s="5" t="s">
        <v>515</v>
      </c>
      <c r="C211" s="5">
        <v>6.9</v>
      </c>
      <c r="D211" s="5">
        <v>1</v>
      </c>
      <c r="E211" s="5">
        <v>1</v>
      </c>
      <c r="F211" s="5">
        <v>1</v>
      </c>
      <c r="G211" s="5">
        <v>1</v>
      </c>
      <c r="H211" s="5">
        <v>1</v>
      </c>
      <c r="I211" s="5">
        <v>1</v>
      </c>
      <c r="J211" s="5">
        <v>1</v>
      </c>
      <c r="K211" s="5">
        <v>13.5</v>
      </c>
      <c r="L211" s="5">
        <v>1</v>
      </c>
      <c r="M211" s="5">
        <v>6.9</v>
      </c>
      <c r="N211" s="5">
        <v>1</v>
      </c>
      <c r="O211" s="5">
        <v>1</v>
      </c>
      <c r="P211" s="5">
        <v>1</v>
      </c>
      <c r="Q211" s="5">
        <v>13.5</v>
      </c>
      <c r="R211" s="5">
        <v>1</v>
      </c>
      <c r="S211" s="5" t="s">
        <v>3</v>
      </c>
      <c r="T211" s="5" t="s">
        <v>3</v>
      </c>
      <c r="U211" s="5" t="s">
        <v>3</v>
      </c>
      <c r="V211" s="5" t="s">
        <v>3</v>
      </c>
      <c r="W211" s="5" t="s">
        <v>3</v>
      </c>
      <c r="X211" s="5" t="s">
        <v>3</v>
      </c>
      <c r="Y211" s="5" t="s">
        <v>3</v>
      </c>
      <c r="Z211" s="5" t="s">
        <v>3</v>
      </c>
      <c r="AA211" s="5" t="s">
        <v>3</v>
      </c>
      <c r="AB211" s="5" t="s">
        <v>3</v>
      </c>
      <c r="AC211" s="5" t="s">
        <v>3</v>
      </c>
      <c r="AD211" s="5" t="s">
        <v>3</v>
      </c>
      <c r="AE211" s="5" t="s">
        <v>3</v>
      </c>
      <c r="AF211" s="5" t="s">
        <v>3</v>
      </c>
      <c r="AG211" s="5" t="s">
        <v>3</v>
      </c>
      <c r="AH211" s="5" t="s">
        <v>3</v>
      </c>
    </row>
    <row r="215" spans="1:34" x14ac:dyDescent="0.2">
      <c r="A215">
        <v>65</v>
      </c>
      <c r="C215">
        <v>1</v>
      </c>
      <c r="D215">
        <v>0</v>
      </c>
      <c r="E215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516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39579451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(Source!F137)/1000</f>
        <v>854.25447999999994</v>
      </c>
      <c r="F16" s="7">
        <f>(Source!F138)/1000</f>
        <v>98.573479999999989</v>
      </c>
      <c r="G16" s="7">
        <f>(Source!F129)/1000</f>
        <v>0</v>
      </c>
      <c r="H16" s="7">
        <f>(Source!F139)/1000+(Source!F140)/1000</f>
        <v>0</v>
      </c>
      <c r="I16" s="7">
        <f>E16+F16+G16+H16</f>
        <v>952.82795999999996</v>
      </c>
      <c r="J16" s="7">
        <f>(Source!F135)/1000</f>
        <v>63.789259999999999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840269.85</v>
      </c>
      <c r="AU16" s="7">
        <v>770811.46</v>
      </c>
      <c r="AV16" s="7">
        <v>0</v>
      </c>
      <c r="AW16" s="7">
        <v>0</v>
      </c>
      <c r="AX16" s="7">
        <v>0</v>
      </c>
      <c r="AY16" s="7">
        <v>5669.13</v>
      </c>
      <c r="AZ16" s="7">
        <v>1313.34</v>
      </c>
      <c r="BA16" s="7">
        <v>63789.26</v>
      </c>
      <c r="BB16" s="7">
        <v>854254.48</v>
      </c>
      <c r="BC16" s="7">
        <v>98573.48</v>
      </c>
      <c r="BD16" s="7">
        <v>0</v>
      </c>
      <c r="BE16" s="7">
        <v>0</v>
      </c>
      <c r="BF16" s="7">
        <v>1041.2791226500001</v>
      </c>
      <c r="BG16" s="7">
        <v>15.392633999999999</v>
      </c>
      <c r="BH16" s="7">
        <v>0</v>
      </c>
      <c r="BI16" s="7">
        <v>65038.6</v>
      </c>
      <c r="BJ16" s="7">
        <v>40267.47</v>
      </c>
      <c r="BK16" s="7">
        <v>952827.96</v>
      </c>
    </row>
    <row r="18" spans="1:19" x14ac:dyDescent="0.2">
      <c r="A18">
        <v>51</v>
      </c>
      <c r="E18" s="8">
        <f>SUMIF(A16:A17,3,E16:E17)</f>
        <v>854.25447999999994</v>
      </c>
      <c r="F18" s="8">
        <f>SUMIF(A16:A17,3,F16:F17)</f>
        <v>98.573479999999989</v>
      </c>
      <c r="G18" s="8">
        <f>SUMIF(A16:A17,3,G16:G17)</f>
        <v>0</v>
      </c>
      <c r="H18" s="8">
        <f>SUMIF(A16:A17,3,H16:H17)</f>
        <v>0</v>
      </c>
      <c r="I18" s="8">
        <f>SUMIF(A16:A17,3,I16:I17)</f>
        <v>952.82795999999996</v>
      </c>
      <c r="J18" s="8">
        <f>SUMIF(A16:A17,3,J16:J17)</f>
        <v>63.789259999999999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840269.85</v>
      </c>
      <c r="G20" s="4" t="s">
        <v>396</v>
      </c>
      <c r="H20" s="4" t="s">
        <v>397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770811.46</v>
      </c>
      <c r="G21" s="4" t="s">
        <v>398</v>
      </c>
      <c r="H21" s="4" t="s">
        <v>399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400</v>
      </c>
      <c r="H22" s="4" t="s">
        <v>401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770811.46</v>
      </c>
      <c r="G23" s="4" t="s">
        <v>402</v>
      </c>
      <c r="H23" s="4" t="s">
        <v>403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770811.46</v>
      </c>
      <c r="G24" s="4" t="s">
        <v>404</v>
      </c>
      <c r="H24" s="4" t="s">
        <v>405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406</v>
      </c>
      <c r="H25" s="4" t="s">
        <v>407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770811.46</v>
      </c>
      <c r="G26" s="4" t="s">
        <v>408</v>
      </c>
      <c r="H26" s="4" t="s">
        <v>409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410</v>
      </c>
      <c r="H27" s="4" t="s">
        <v>411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412</v>
      </c>
      <c r="H28" s="4" t="s">
        <v>413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414</v>
      </c>
      <c r="H29" s="4" t="s">
        <v>415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5669.13</v>
      </c>
      <c r="G30" s="4" t="s">
        <v>416</v>
      </c>
      <c r="H30" s="4" t="s">
        <v>417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418</v>
      </c>
      <c r="H31" s="4" t="s">
        <v>419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1313.34</v>
      </c>
      <c r="G32" s="4" t="s">
        <v>420</v>
      </c>
      <c r="H32" s="4" t="s">
        <v>421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63789.26</v>
      </c>
      <c r="G33" s="4" t="s">
        <v>422</v>
      </c>
      <c r="H33" s="4" t="s">
        <v>423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424</v>
      </c>
      <c r="H34" s="4" t="s">
        <v>425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854254.48</v>
      </c>
      <c r="G35" s="4" t="s">
        <v>426</v>
      </c>
      <c r="H35" s="4" t="s">
        <v>427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98573.48</v>
      </c>
      <c r="G36" s="4" t="s">
        <v>428</v>
      </c>
      <c r="H36" s="4" t="s">
        <v>429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430</v>
      </c>
      <c r="H37" s="4" t="s">
        <v>431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432</v>
      </c>
      <c r="H38" s="4" t="s">
        <v>433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434</v>
      </c>
      <c r="H39" s="4" t="s">
        <v>435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1041.2791226500001</v>
      </c>
      <c r="G40" s="4" t="s">
        <v>436</v>
      </c>
      <c r="H40" s="4" t="s">
        <v>437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15.392633999999999</v>
      </c>
      <c r="G41" s="4" t="s">
        <v>438</v>
      </c>
      <c r="H41" s="4" t="s">
        <v>439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440</v>
      </c>
      <c r="H42" s="4" t="s">
        <v>441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65038.6</v>
      </c>
      <c r="G43" s="4" t="s">
        <v>442</v>
      </c>
      <c r="H43" s="4" t="s">
        <v>443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40267.47</v>
      </c>
      <c r="G44" s="4" t="s">
        <v>444</v>
      </c>
      <c r="H44" s="4" t="s">
        <v>445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952827.96</v>
      </c>
      <c r="G45" s="4" t="s">
        <v>446</v>
      </c>
      <c r="H45" s="4" t="s">
        <v>447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514</v>
      </c>
      <c r="C50" s="3">
        <v>2018</v>
      </c>
      <c r="D50" s="3">
        <v>2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39579451</v>
      </c>
      <c r="O50" s="3">
        <v>1</v>
      </c>
    </row>
    <row r="51" spans="1:34" x14ac:dyDescent="0.2">
      <c r="A51" s="5">
        <v>3</v>
      </c>
      <c r="B51" s="5" t="s">
        <v>515</v>
      </c>
      <c r="C51" s="5">
        <v>6.9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13.5</v>
      </c>
      <c r="L51" s="5">
        <v>1</v>
      </c>
      <c r="M51" s="5">
        <v>6.9</v>
      </c>
      <c r="N51" s="5">
        <v>1</v>
      </c>
      <c r="O51" s="5">
        <v>1</v>
      </c>
      <c r="P51" s="5">
        <v>1</v>
      </c>
      <c r="Q51" s="5">
        <v>13.5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29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39579451</v>
      </c>
      <c r="C1">
        <v>39579468</v>
      </c>
      <c r="D1">
        <v>37064878</v>
      </c>
      <c r="E1">
        <v>1</v>
      </c>
      <c r="F1">
        <v>1</v>
      </c>
      <c r="G1">
        <v>1</v>
      </c>
      <c r="H1">
        <v>1</v>
      </c>
      <c r="I1" t="s">
        <v>517</v>
      </c>
      <c r="J1" t="s">
        <v>3</v>
      </c>
      <c r="K1" t="s">
        <v>518</v>
      </c>
      <c r="L1">
        <v>1191</v>
      </c>
      <c r="N1">
        <v>1013</v>
      </c>
      <c r="O1" t="s">
        <v>519</v>
      </c>
      <c r="P1" t="s">
        <v>519</v>
      </c>
      <c r="Q1">
        <v>1</v>
      </c>
      <c r="W1">
        <v>0</v>
      </c>
      <c r="X1">
        <v>-1081351934</v>
      </c>
      <c r="Y1">
        <v>81.968000000000004</v>
      </c>
      <c r="AA1">
        <v>0</v>
      </c>
      <c r="AB1">
        <v>0</v>
      </c>
      <c r="AC1">
        <v>0</v>
      </c>
      <c r="AD1">
        <v>64.86</v>
      </c>
      <c r="AE1">
        <v>0</v>
      </c>
      <c r="AF1">
        <v>0</v>
      </c>
      <c r="AG1">
        <v>0</v>
      </c>
      <c r="AH1">
        <v>9.4</v>
      </c>
      <c r="AI1">
        <v>1</v>
      </c>
      <c r="AJ1">
        <v>1</v>
      </c>
      <c r="AK1">
        <v>1</v>
      </c>
      <c r="AL1">
        <v>6.9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102.46</v>
      </c>
      <c r="AU1" t="s">
        <v>19</v>
      </c>
      <c r="AV1">
        <v>1</v>
      </c>
      <c r="AW1">
        <v>2</v>
      </c>
      <c r="AX1">
        <v>39579469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9.4427135999999994</v>
      </c>
      <c r="CY1">
        <f>AD1</f>
        <v>64.86</v>
      </c>
      <c r="CZ1">
        <f>AH1</f>
        <v>9.4</v>
      </c>
      <c r="DA1">
        <f>AL1</f>
        <v>6.9</v>
      </c>
      <c r="DB1">
        <v>0</v>
      </c>
    </row>
    <row r="2" spans="1:106" x14ac:dyDescent="0.2">
      <c r="A2">
        <f>ROW(Source!A24)</f>
        <v>24</v>
      </c>
      <c r="B2">
        <v>39579451</v>
      </c>
      <c r="C2">
        <v>39579468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520</v>
      </c>
      <c r="J2" t="s">
        <v>3</v>
      </c>
      <c r="K2" t="s">
        <v>521</v>
      </c>
      <c r="L2">
        <v>1191</v>
      </c>
      <c r="N2">
        <v>1013</v>
      </c>
      <c r="O2" t="s">
        <v>519</v>
      </c>
      <c r="P2" t="s">
        <v>519</v>
      </c>
      <c r="Q2">
        <v>1</v>
      </c>
      <c r="W2">
        <v>0</v>
      </c>
      <c r="X2">
        <v>-1417349443</v>
      </c>
      <c r="Y2">
        <v>5.34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6.9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5.34</v>
      </c>
      <c r="AU2" t="s">
        <v>3</v>
      </c>
      <c r="AV2">
        <v>2</v>
      </c>
      <c r="AW2">
        <v>2</v>
      </c>
      <c r="AX2">
        <v>39579470</v>
      </c>
      <c r="AY2">
        <v>1</v>
      </c>
      <c r="AZ2">
        <v>2048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0.61516799999999994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39579451</v>
      </c>
      <c r="C3">
        <v>39579468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522</v>
      </c>
      <c r="J3" t="s">
        <v>523</v>
      </c>
      <c r="K3" t="s">
        <v>524</v>
      </c>
      <c r="L3">
        <v>1368</v>
      </c>
      <c r="N3">
        <v>1011</v>
      </c>
      <c r="O3" t="s">
        <v>525</v>
      </c>
      <c r="P3" t="s">
        <v>525</v>
      </c>
      <c r="Q3">
        <v>1</v>
      </c>
      <c r="W3">
        <v>0</v>
      </c>
      <c r="X3">
        <v>1188625873</v>
      </c>
      <c r="Y3">
        <v>0.6080000000000001</v>
      </c>
      <c r="AA3">
        <v>0</v>
      </c>
      <c r="AB3">
        <v>215.69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6.9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0.76</v>
      </c>
      <c r="AU3" t="s">
        <v>19</v>
      </c>
      <c r="AV3">
        <v>0</v>
      </c>
      <c r="AW3">
        <v>2</v>
      </c>
      <c r="AX3">
        <v>39579471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7.0041600000000009E-2</v>
      </c>
      <c r="CY3">
        <f>AB3</f>
        <v>215.69</v>
      </c>
      <c r="CZ3">
        <f>AF3</f>
        <v>31.26</v>
      </c>
      <c r="DA3">
        <f>AJ3</f>
        <v>6.9</v>
      </c>
      <c r="DB3">
        <v>0</v>
      </c>
    </row>
    <row r="4" spans="1:106" x14ac:dyDescent="0.2">
      <c r="A4">
        <f>ROW(Source!A24)</f>
        <v>24</v>
      </c>
      <c r="B4">
        <v>39579451</v>
      </c>
      <c r="C4">
        <v>39579468</v>
      </c>
      <c r="D4">
        <v>36883554</v>
      </c>
      <c r="E4">
        <v>1</v>
      </c>
      <c r="F4">
        <v>1</v>
      </c>
      <c r="G4">
        <v>1</v>
      </c>
      <c r="H4">
        <v>2</v>
      </c>
      <c r="I4" t="s">
        <v>526</v>
      </c>
      <c r="J4" t="s">
        <v>527</v>
      </c>
      <c r="K4" t="s">
        <v>528</v>
      </c>
      <c r="L4">
        <v>1368</v>
      </c>
      <c r="N4">
        <v>1011</v>
      </c>
      <c r="O4" t="s">
        <v>525</v>
      </c>
      <c r="P4" t="s">
        <v>525</v>
      </c>
      <c r="Q4">
        <v>1</v>
      </c>
      <c r="W4">
        <v>0</v>
      </c>
      <c r="X4">
        <v>1372534845</v>
      </c>
      <c r="Y4">
        <v>3.6640000000000001</v>
      </c>
      <c r="AA4">
        <v>0</v>
      </c>
      <c r="AB4">
        <v>453.4</v>
      </c>
      <c r="AC4">
        <v>11.6</v>
      </c>
      <c r="AD4">
        <v>0</v>
      </c>
      <c r="AE4">
        <v>0</v>
      </c>
      <c r="AF4">
        <v>65.709999999999994</v>
      </c>
      <c r="AG4">
        <v>11.6</v>
      </c>
      <c r="AH4">
        <v>0</v>
      </c>
      <c r="AI4">
        <v>1</v>
      </c>
      <c r="AJ4">
        <v>6.9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4.58</v>
      </c>
      <c r="AU4" t="s">
        <v>19</v>
      </c>
      <c r="AV4">
        <v>0</v>
      </c>
      <c r="AW4">
        <v>2</v>
      </c>
      <c r="AX4">
        <v>39579472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Y4*Source!I24</f>
        <v>0.42209279999999999</v>
      </c>
      <c r="CY4">
        <f>AB4</f>
        <v>453.4</v>
      </c>
      <c r="CZ4">
        <f>AF4</f>
        <v>65.709999999999994</v>
      </c>
      <c r="DA4">
        <f>AJ4</f>
        <v>6.9</v>
      </c>
      <c r="DB4">
        <v>0</v>
      </c>
    </row>
    <row r="5" spans="1:106" x14ac:dyDescent="0.2">
      <c r="A5">
        <f>ROW(Source!A24)</f>
        <v>24</v>
      </c>
      <c r="B5">
        <v>39579451</v>
      </c>
      <c r="C5">
        <v>39579468</v>
      </c>
      <c r="D5">
        <v>36801649</v>
      </c>
      <c r="E5">
        <v>1</v>
      </c>
      <c r="F5">
        <v>1</v>
      </c>
      <c r="G5">
        <v>1</v>
      </c>
      <c r="H5">
        <v>3</v>
      </c>
      <c r="I5" t="s">
        <v>529</v>
      </c>
      <c r="J5" t="s">
        <v>530</v>
      </c>
      <c r="K5" t="s">
        <v>531</v>
      </c>
      <c r="L5">
        <v>1327</v>
      </c>
      <c r="N5">
        <v>1005</v>
      </c>
      <c r="O5" t="s">
        <v>154</v>
      </c>
      <c r="P5" t="s">
        <v>154</v>
      </c>
      <c r="Q5">
        <v>1</v>
      </c>
      <c r="W5">
        <v>0</v>
      </c>
      <c r="X5">
        <v>1385600515</v>
      </c>
      <c r="Y5">
        <v>0</v>
      </c>
      <c r="AA5">
        <v>357.42</v>
      </c>
      <c r="AB5">
        <v>0</v>
      </c>
      <c r="AC5">
        <v>0</v>
      </c>
      <c r="AD5">
        <v>0</v>
      </c>
      <c r="AE5">
        <v>51.8</v>
      </c>
      <c r="AF5">
        <v>0</v>
      </c>
      <c r="AG5">
        <v>0</v>
      </c>
      <c r="AH5">
        <v>0</v>
      </c>
      <c r="AI5">
        <v>6.9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103</v>
      </c>
      <c r="AU5" t="s">
        <v>18</v>
      </c>
      <c r="AV5">
        <v>0</v>
      </c>
      <c r="AW5">
        <v>2</v>
      </c>
      <c r="AX5">
        <v>39579473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Y5*Source!I24</f>
        <v>0</v>
      </c>
      <c r="CY5">
        <f>AA5</f>
        <v>357.42</v>
      </c>
      <c r="CZ5">
        <f>AE5</f>
        <v>51.8</v>
      </c>
      <c r="DA5">
        <f>AI5</f>
        <v>6.9</v>
      </c>
      <c r="DB5">
        <v>0</v>
      </c>
    </row>
    <row r="6" spans="1:106" x14ac:dyDescent="0.2">
      <c r="A6">
        <f>ROW(Source!A25)</f>
        <v>25</v>
      </c>
      <c r="B6">
        <v>39579451</v>
      </c>
      <c r="C6">
        <v>39579474</v>
      </c>
      <c r="D6">
        <v>37064998</v>
      </c>
      <c r="E6">
        <v>1</v>
      </c>
      <c r="F6">
        <v>1</v>
      </c>
      <c r="G6">
        <v>1</v>
      </c>
      <c r="H6">
        <v>1</v>
      </c>
      <c r="I6" t="s">
        <v>532</v>
      </c>
      <c r="J6" t="s">
        <v>3</v>
      </c>
      <c r="K6" t="s">
        <v>533</v>
      </c>
      <c r="L6">
        <v>1191</v>
      </c>
      <c r="N6">
        <v>1013</v>
      </c>
      <c r="O6" t="s">
        <v>519</v>
      </c>
      <c r="P6" t="s">
        <v>519</v>
      </c>
      <c r="Q6">
        <v>1</v>
      </c>
      <c r="W6">
        <v>0</v>
      </c>
      <c r="X6">
        <v>735429535</v>
      </c>
      <c r="Y6">
        <v>10.4</v>
      </c>
      <c r="AA6">
        <v>0</v>
      </c>
      <c r="AB6">
        <v>0</v>
      </c>
      <c r="AC6">
        <v>0</v>
      </c>
      <c r="AD6">
        <v>53.82</v>
      </c>
      <c r="AE6">
        <v>0</v>
      </c>
      <c r="AF6">
        <v>0</v>
      </c>
      <c r="AG6">
        <v>0</v>
      </c>
      <c r="AH6">
        <v>7.8</v>
      </c>
      <c r="AI6">
        <v>1</v>
      </c>
      <c r="AJ6">
        <v>1</v>
      </c>
      <c r="AK6">
        <v>1</v>
      </c>
      <c r="AL6">
        <v>6.9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10.4</v>
      </c>
      <c r="AU6" t="s">
        <v>3</v>
      </c>
      <c r="AV6">
        <v>1</v>
      </c>
      <c r="AW6">
        <v>2</v>
      </c>
      <c r="AX6">
        <v>39579475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9.5680000000000014</v>
      </c>
      <c r="CY6">
        <f>AD6</f>
        <v>53.82</v>
      </c>
      <c r="CZ6">
        <f>AH6</f>
        <v>7.8</v>
      </c>
      <c r="DA6">
        <f>AL6</f>
        <v>6.9</v>
      </c>
      <c r="DB6">
        <v>0</v>
      </c>
    </row>
    <row r="7" spans="1:106" x14ac:dyDescent="0.2">
      <c r="A7">
        <f>ROW(Source!A26)</f>
        <v>26</v>
      </c>
      <c r="B7">
        <v>39579451</v>
      </c>
      <c r="C7">
        <v>39580440</v>
      </c>
      <c r="D7">
        <v>37069580</v>
      </c>
      <c r="E7">
        <v>1</v>
      </c>
      <c r="F7">
        <v>1</v>
      </c>
      <c r="G7">
        <v>1</v>
      </c>
      <c r="H7">
        <v>1</v>
      </c>
      <c r="I7" t="s">
        <v>534</v>
      </c>
      <c r="J7" t="s">
        <v>3</v>
      </c>
      <c r="K7" t="s">
        <v>535</v>
      </c>
      <c r="L7">
        <v>1191</v>
      </c>
      <c r="N7">
        <v>1013</v>
      </c>
      <c r="O7" t="s">
        <v>519</v>
      </c>
      <c r="P7" t="s">
        <v>519</v>
      </c>
      <c r="Q7">
        <v>1</v>
      </c>
      <c r="W7">
        <v>0</v>
      </c>
      <c r="X7">
        <v>1010519658</v>
      </c>
      <c r="Y7">
        <v>7.31</v>
      </c>
      <c r="AA7">
        <v>0</v>
      </c>
      <c r="AB7">
        <v>0</v>
      </c>
      <c r="AC7">
        <v>0</v>
      </c>
      <c r="AD7">
        <v>59.62</v>
      </c>
      <c r="AE7">
        <v>0</v>
      </c>
      <c r="AF7">
        <v>0</v>
      </c>
      <c r="AG7">
        <v>0</v>
      </c>
      <c r="AH7">
        <v>8.64</v>
      </c>
      <c r="AI7">
        <v>1</v>
      </c>
      <c r="AJ7">
        <v>1</v>
      </c>
      <c r="AK7">
        <v>1</v>
      </c>
      <c r="AL7">
        <v>6.9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7.31</v>
      </c>
      <c r="AU7" t="s">
        <v>3</v>
      </c>
      <c r="AV7">
        <v>1</v>
      </c>
      <c r="AW7">
        <v>2</v>
      </c>
      <c r="AX7">
        <v>39580444</v>
      </c>
      <c r="AY7">
        <v>1</v>
      </c>
      <c r="AZ7">
        <v>0</v>
      </c>
      <c r="BA7">
        <v>8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0.42398000000000002</v>
      </c>
      <c r="CY7">
        <f>AD7</f>
        <v>59.62</v>
      </c>
      <c r="CZ7">
        <f>AH7</f>
        <v>8.64</v>
      </c>
      <c r="DA7">
        <f>AL7</f>
        <v>6.9</v>
      </c>
      <c r="DB7">
        <v>0</v>
      </c>
    </row>
    <row r="8" spans="1:106" x14ac:dyDescent="0.2">
      <c r="A8">
        <f>ROW(Source!A26)</f>
        <v>26</v>
      </c>
      <c r="B8">
        <v>39579451</v>
      </c>
      <c r="C8">
        <v>39580440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520</v>
      </c>
      <c r="J8" t="s">
        <v>3</v>
      </c>
      <c r="K8" t="s">
        <v>521</v>
      </c>
      <c r="L8">
        <v>1191</v>
      </c>
      <c r="N8">
        <v>1013</v>
      </c>
      <c r="O8" t="s">
        <v>519</v>
      </c>
      <c r="P8" t="s">
        <v>519</v>
      </c>
      <c r="Q8">
        <v>1</v>
      </c>
      <c r="W8">
        <v>0</v>
      </c>
      <c r="X8">
        <v>-1417349443</v>
      </c>
      <c r="Y8">
        <v>0.2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6.9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0.2</v>
      </c>
      <c r="AU8" t="s">
        <v>3</v>
      </c>
      <c r="AV8">
        <v>2</v>
      </c>
      <c r="AW8">
        <v>2</v>
      </c>
      <c r="AX8">
        <v>39580445</v>
      </c>
      <c r="AY8">
        <v>1</v>
      </c>
      <c r="AZ8">
        <v>0</v>
      </c>
      <c r="BA8">
        <v>9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1.1600000000000001E-2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ROW(Source!A26)</f>
        <v>26</v>
      </c>
      <c r="B9">
        <v>39579451</v>
      </c>
      <c r="C9">
        <v>39580440</v>
      </c>
      <c r="D9">
        <v>36882452</v>
      </c>
      <c r="E9">
        <v>1</v>
      </c>
      <c r="F9">
        <v>1</v>
      </c>
      <c r="G9">
        <v>1</v>
      </c>
      <c r="H9">
        <v>2</v>
      </c>
      <c r="I9" t="s">
        <v>522</v>
      </c>
      <c r="J9" t="s">
        <v>523</v>
      </c>
      <c r="K9" t="s">
        <v>524</v>
      </c>
      <c r="L9">
        <v>1368</v>
      </c>
      <c r="N9">
        <v>1011</v>
      </c>
      <c r="O9" t="s">
        <v>525</v>
      </c>
      <c r="P9" t="s">
        <v>525</v>
      </c>
      <c r="Q9">
        <v>1</v>
      </c>
      <c r="W9">
        <v>0</v>
      </c>
      <c r="X9">
        <v>1188625873</v>
      </c>
      <c r="Y9">
        <v>0.2</v>
      </c>
      <c r="AA9">
        <v>0</v>
      </c>
      <c r="AB9">
        <v>215.69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6.9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0.2</v>
      </c>
      <c r="AU9" t="s">
        <v>3</v>
      </c>
      <c r="AV9">
        <v>0</v>
      </c>
      <c r="AW9">
        <v>2</v>
      </c>
      <c r="AX9">
        <v>39580446</v>
      </c>
      <c r="AY9">
        <v>1</v>
      </c>
      <c r="AZ9">
        <v>0</v>
      </c>
      <c r="BA9">
        <v>10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1.1600000000000001E-2</v>
      </c>
      <c r="CY9">
        <f>AB9</f>
        <v>215.69</v>
      </c>
      <c r="CZ9">
        <f>AF9</f>
        <v>31.26</v>
      </c>
      <c r="DA9">
        <f>AJ9</f>
        <v>6.9</v>
      </c>
      <c r="DB9">
        <v>0</v>
      </c>
    </row>
    <row r="10" spans="1:106" x14ac:dyDescent="0.2">
      <c r="A10">
        <f>ROW(Source!A27)</f>
        <v>27</v>
      </c>
      <c r="B10">
        <v>39579451</v>
      </c>
      <c r="C10">
        <v>39580448</v>
      </c>
      <c r="D10">
        <v>37065248</v>
      </c>
      <c r="E10">
        <v>1</v>
      </c>
      <c r="F10">
        <v>1</v>
      </c>
      <c r="G10">
        <v>1</v>
      </c>
      <c r="H10">
        <v>1</v>
      </c>
      <c r="I10" t="s">
        <v>536</v>
      </c>
      <c r="J10" t="s">
        <v>3</v>
      </c>
      <c r="K10" t="s">
        <v>537</v>
      </c>
      <c r="L10">
        <v>1191</v>
      </c>
      <c r="N10">
        <v>1013</v>
      </c>
      <c r="O10" t="s">
        <v>519</v>
      </c>
      <c r="P10" t="s">
        <v>519</v>
      </c>
      <c r="Q10">
        <v>1</v>
      </c>
      <c r="W10">
        <v>0</v>
      </c>
      <c r="X10">
        <v>-400197608</v>
      </c>
      <c r="Y10">
        <v>36.887999999999998</v>
      </c>
      <c r="AA10">
        <v>0</v>
      </c>
      <c r="AB10">
        <v>0</v>
      </c>
      <c r="AC10">
        <v>0</v>
      </c>
      <c r="AD10">
        <v>58.86</v>
      </c>
      <c r="AE10">
        <v>0</v>
      </c>
      <c r="AF10">
        <v>0</v>
      </c>
      <c r="AG10">
        <v>0</v>
      </c>
      <c r="AH10">
        <v>8.5299999999999994</v>
      </c>
      <c r="AI10">
        <v>1</v>
      </c>
      <c r="AJ10">
        <v>1</v>
      </c>
      <c r="AK10">
        <v>1</v>
      </c>
      <c r="AL10">
        <v>6.9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3</v>
      </c>
      <c r="AT10">
        <v>46.11</v>
      </c>
      <c r="AU10" t="s">
        <v>19</v>
      </c>
      <c r="AV10">
        <v>1</v>
      </c>
      <c r="AW10">
        <v>2</v>
      </c>
      <c r="AX10">
        <v>39580460</v>
      </c>
      <c r="AY10">
        <v>1</v>
      </c>
      <c r="AZ10">
        <v>0</v>
      </c>
      <c r="BA10">
        <v>11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Y10*Source!I27</f>
        <v>2.1395040000000001</v>
      </c>
      <c r="CY10">
        <f>AD10</f>
        <v>58.86</v>
      </c>
      <c r="CZ10">
        <f>AH10</f>
        <v>8.5299999999999994</v>
      </c>
      <c r="DA10">
        <f>AL10</f>
        <v>6.9</v>
      </c>
      <c r="DB10">
        <v>0</v>
      </c>
    </row>
    <row r="11" spans="1:106" x14ac:dyDescent="0.2">
      <c r="A11">
        <f>ROW(Source!A27)</f>
        <v>27</v>
      </c>
      <c r="B11">
        <v>39579451</v>
      </c>
      <c r="C11">
        <v>39580448</v>
      </c>
      <c r="D11">
        <v>37064876</v>
      </c>
      <c r="E11">
        <v>1</v>
      </c>
      <c r="F11">
        <v>1</v>
      </c>
      <c r="G11">
        <v>1</v>
      </c>
      <c r="H11">
        <v>1</v>
      </c>
      <c r="I11" t="s">
        <v>520</v>
      </c>
      <c r="J11" t="s">
        <v>3</v>
      </c>
      <c r="K11" t="s">
        <v>521</v>
      </c>
      <c r="L11">
        <v>1191</v>
      </c>
      <c r="N11">
        <v>1013</v>
      </c>
      <c r="O11" t="s">
        <v>519</v>
      </c>
      <c r="P11" t="s">
        <v>519</v>
      </c>
      <c r="Q11">
        <v>1</v>
      </c>
      <c r="W11">
        <v>0</v>
      </c>
      <c r="X11">
        <v>-1417349443</v>
      </c>
      <c r="Y11">
        <v>0.04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6.9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0.04</v>
      </c>
      <c r="AU11" t="s">
        <v>3</v>
      </c>
      <c r="AV11">
        <v>2</v>
      </c>
      <c r="AW11">
        <v>2</v>
      </c>
      <c r="AX11">
        <v>39580461</v>
      </c>
      <c r="AY11">
        <v>1</v>
      </c>
      <c r="AZ11">
        <v>2048</v>
      </c>
      <c r="BA11">
        <v>12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Y11*Source!I27</f>
        <v>2.32E-3</v>
      </c>
      <c r="CY11">
        <f>AD11</f>
        <v>0</v>
      </c>
      <c r="CZ11">
        <f>AH11</f>
        <v>0</v>
      </c>
      <c r="DA11">
        <f>AL11</f>
        <v>1</v>
      </c>
      <c r="DB11">
        <v>0</v>
      </c>
    </row>
    <row r="12" spans="1:106" x14ac:dyDescent="0.2">
      <c r="A12">
        <f>ROW(Source!A27)</f>
        <v>27</v>
      </c>
      <c r="B12">
        <v>39579451</v>
      </c>
      <c r="C12">
        <v>39580448</v>
      </c>
      <c r="D12">
        <v>36882452</v>
      </c>
      <c r="E12">
        <v>1</v>
      </c>
      <c r="F12">
        <v>1</v>
      </c>
      <c r="G12">
        <v>1</v>
      </c>
      <c r="H12">
        <v>2</v>
      </c>
      <c r="I12" t="s">
        <v>522</v>
      </c>
      <c r="J12" t="s">
        <v>523</v>
      </c>
      <c r="K12" t="s">
        <v>524</v>
      </c>
      <c r="L12">
        <v>1368</v>
      </c>
      <c r="N12">
        <v>1011</v>
      </c>
      <c r="O12" t="s">
        <v>525</v>
      </c>
      <c r="P12" t="s">
        <v>525</v>
      </c>
      <c r="Q12">
        <v>1</v>
      </c>
      <c r="W12">
        <v>0</v>
      </c>
      <c r="X12">
        <v>1188625873</v>
      </c>
      <c r="Y12">
        <v>3.2000000000000001E-2</v>
      </c>
      <c r="AA12">
        <v>0</v>
      </c>
      <c r="AB12">
        <v>215.69</v>
      </c>
      <c r="AC12">
        <v>13.5</v>
      </c>
      <c r="AD12">
        <v>0</v>
      </c>
      <c r="AE12">
        <v>0</v>
      </c>
      <c r="AF12">
        <v>31.26</v>
      </c>
      <c r="AG12">
        <v>13.5</v>
      </c>
      <c r="AH12">
        <v>0</v>
      </c>
      <c r="AI12">
        <v>1</v>
      </c>
      <c r="AJ12">
        <v>6.9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0.04</v>
      </c>
      <c r="AU12" t="s">
        <v>19</v>
      </c>
      <c r="AV12">
        <v>0</v>
      </c>
      <c r="AW12">
        <v>2</v>
      </c>
      <c r="AX12">
        <v>39580462</v>
      </c>
      <c r="AY12">
        <v>1</v>
      </c>
      <c r="AZ12">
        <v>0</v>
      </c>
      <c r="BA12">
        <v>13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Y12*Source!I27</f>
        <v>1.8560000000000002E-3</v>
      </c>
      <c r="CY12">
        <f>AB12</f>
        <v>215.69</v>
      </c>
      <c r="CZ12">
        <f>AF12</f>
        <v>31.26</v>
      </c>
      <c r="DA12">
        <f>AJ12</f>
        <v>6.9</v>
      </c>
      <c r="DB12">
        <v>0</v>
      </c>
    </row>
    <row r="13" spans="1:106" x14ac:dyDescent="0.2">
      <c r="A13">
        <f>ROW(Source!A27)</f>
        <v>27</v>
      </c>
      <c r="B13">
        <v>39579451</v>
      </c>
      <c r="C13">
        <v>39580448</v>
      </c>
      <c r="D13">
        <v>36883554</v>
      </c>
      <c r="E13">
        <v>1</v>
      </c>
      <c r="F13">
        <v>1</v>
      </c>
      <c r="G13">
        <v>1</v>
      </c>
      <c r="H13">
        <v>2</v>
      </c>
      <c r="I13" t="s">
        <v>526</v>
      </c>
      <c r="J13" t="s">
        <v>527</v>
      </c>
      <c r="K13" t="s">
        <v>528</v>
      </c>
      <c r="L13">
        <v>1368</v>
      </c>
      <c r="N13">
        <v>1011</v>
      </c>
      <c r="O13" t="s">
        <v>525</v>
      </c>
      <c r="P13" t="s">
        <v>525</v>
      </c>
      <c r="Q13">
        <v>1</v>
      </c>
      <c r="W13">
        <v>0</v>
      </c>
      <c r="X13">
        <v>1372534845</v>
      </c>
      <c r="Y13">
        <v>3.2000000000000002E-3</v>
      </c>
      <c r="AA13">
        <v>0</v>
      </c>
      <c r="AB13">
        <v>453.4</v>
      </c>
      <c r="AC13">
        <v>11.6</v>
      </c>
      <c r="AD13">
        <v>0</v>
      </c>
      <c r="AE13">
        <v>0</v>
      </c>
      <c r="AF13">
        <v>65.709999999999994</v>
      </c>
      <c r="AG13">
        <v>11.6</v>
      </c>
      <c r="AH13">
        <v>0</v>
      </c>
      <c r="AI13">
        <v>1</v>
      </c>
      <c r="AJ13">
        <v>6.9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4.0000000000000001E-3</v>
      </c>
      <c r="AU13" t="s">
        <v>19</v>
      </c>
      <c r="AV13">
        <v>0</v>
      </c>
      <c r="AW13">
        <v>2</v>
      </c>
      <c r="AX13">
        <v>39580463</v>
      </c>
      <c r="AY13">
        <v>1</v>
      </c>
      <c r="AZ13">
        <v>0</v>
      </c>
      <c r="BA13">
        <v>14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Y13*Source!I27</f>
        <v>1.8560000000000001E-4</v>
      </c>
      <c r="CY13">
        <f>AB13</f>
        <v>453.4</v>
      </c>
      <c r="CZ13">
        <f>AF13</f>
        <v>65.709999999999994</v>
      </c>
      <c r="DA13">
        <f>AJ13</f>
        <v>6.9</v>
      </c>
      <c r="DB13">
        <v>0</v>
      </c>
    </row>
    <row r="14" spans="1:106" x14ac:dyDescent="0.2">
      <c r="A14">
        <f>ROW(Source!A27)</f>
        <v>27</v>
      </c>
      <c r="B14">
        <v>39579451</v>
      </c>
      <c r="C14">
        <v>39580448</v>
      </c>
      <c r="D14">
        <v>36804616</v>
      </c>
      <c r="E14">
        <v>1</v>
      </c>
      <c r="F14">
        <v>1</v>
      </c>
      <c r="G14">
        <v>1</v>
      </c>
      <c r="H14">
        <v>3</v>
      </c>
      <c r="I14" t="s">
        <v>538</v>
      </c>
      <c r="J14" t="s">
        <v>539</v>
      </c>
      <c r="K14" t="s">
        <v>540</v>
      </c>
      <c r="L14">
        <v>1355</v>
      </c>
      <c r="N14">
        <v>1010</v>
      </c>
      <c r="O14" t="s">
        <v>360</v>
      </c>
      <c r="P14" t="s">
        <v>360</v>
      </c>
      <c r="Q14">
        <v>100</v>
      </c>
      <c r="W14">
        <v>0</v>
      </c>
      <c r="X14">
        <v>1307649985</v>
      </c>
      <c r="Y14">
        <v>0</v>
      </c>
      <c r="AA14">
        <v>483</v>
      </c>
      <c r="AB14">
        <v>0</v>
      </c>
      <c r="AC14">
        <v>0</v>
      </c>
      <c r="AD14">
        <v>0</v>
      </c>
      <c r="AE14">
        <v>70</v>
      </c>
      <c r="AF14">
        <v>0</v>
      </c>
      <c r="AG14">
        <v>0</v>
      </c>
      <c r="AH14">
        <v>0</v>
      </c>
      <c r="AI14">
        <v>6.9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2.5099999999999998</v>
      </c>
      <c r="AU14" t="s">
        <v>18</v>
      </c>
      <c r="AV14">
        <v>0</v>
      </c>
      <c r="AW14">
        <v>2</v>
      </c>
      <c r="AX14">
        <v>39580464</v>
      </c>
      <c r="AY14">
        <v>1</v>
      </c>
      <c r="AZ14">
        <v>0</v>
      </c>
      <c r="BA14">
        <v>15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Y14*Source!I27</f>
        <v>0</v>
      </c>
      <c r="CY14">
        <f t="shared" ref="CY14:CY20" si="0">AA14</f>
        <v>483</v>
      </c>
      <c r="CZ14">
        <f t="shared" ref="CZ14:CZ20" si="1">AE14</f>
        <v>70</v>
      </c>
      <c r="DA14">
        <f t="shared" ref="DA14:DA20" si="2">AI14</f>
        <v>6.9</v>
      </c>
      <c r="DB14">
        <v>0</v>
      </c>
    </row>
    <row r="15" spans="1:106" x14ac:dyDescent="0.2">
      <c r="A15">
        <f>ROW(Source!A27)</f>
        <v>27</v>
      </c>
      <c r="B15">
        <v>39579451</v>
      </c>
      <c r="C15">
        <v>39580448</v>
      </c>
      <c r="D15">
        <v>36804661</v>
      </c>
      <c r="E15">
        <v>1</v>
      </c>
      <c r="F15">
        <v>1</v>
      </c>
      <c r="G15">
        <v>1</v>
      </c>
      <c r="H15">
        <v>3</v>
      </c>
      <c r="I15" t="s">
        <v>541</v>
      </c>
      <c r="J15" t="s">
        <v>542</v>
      </c>
      <c r="K15" t="s">
        <v>543</v>
      </c>
      <c r="L15">
        <v>1355</v>
      </c>
      <c r="N15">
        <v>1010</v>
      </c>
      <c r="O15" t="s">
        <v>360</v>
      </c>
      <c r="P15" t="s">
        <v>360</v>
      </c>
      <c r="Q15">
        <v>100</v>
      </c>
      <c r="W15">
        <v>0</v>
      </c>
      <c r="X15">
        <v>1135215184</v>
      </c>
      <c r="Y15">
        <v>0</v>
      </c>
      <c r="AA15">
        <v>55.2</v>
      </c>
      <c r="AB15">
        <v>0</v>
      </c>
      <c r="AC15">
        <v>0</v>
      </c>
      <c r="AD15">
        <v>0</v>
      </c>
      <c r="AE15">
        <v>8</v>
      </c>
      <c r="AF15">
        <v>0</v>
      </c>
      <c r="AG15">
        <v>0</v>
      </c>
      <c r="AH15">
        <v>0</v>
      </c>
      <c r="AI15">
        <v>6.9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1.51</v>
      </c>
      <c r="AU15" t="s">
        <v>18</v>
      </c>
      <c r="AV15">
        <v>0</v>
      </c>
      <c r="AW15">
        <v>2</v>
      </c>
      <c r="AX15">
        <v>39580465</v>
      </c>
      <c r="AY15">
        <v>1</v>
      </c>
      <c r="AZ15">
        <v>0</v>
      </c>
      <c r="BA15">
        <v>16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Y15*Source!I27</f>
        <v>0</v>
      </c>
      <c r="CY15">
        <f t="shared" si="0"/>
        <v>55.2</v>
      </c>
      <c r="CZ15">
        <f t="shared" si="1"/>
        <v>8</v>
      </c>
      <c r="DA15">
        <f t="shared" si="2"/>
        <v>6.9</v>
      </c>
      <c r="DB15">
        <v>0</v>
      </c>
    </row>
    <row r="16" spans="1:106" x14ac:dyDescent="0.2">
      <c r="A16">
        <f>ROW(Source!A27)</f>
        <v>27</v>
      </c>
      <c r="B16">
        <v>39579451</v>
      </c>
      <c r="C16">
        <v>39580448</v>
      </c>
      <c r="D16">
        <v>36804889</v>
      </c>
      <c r="E16">
        <v>1</v>
      </c>
      <c r="F16">
        <v>1</v>
      </c>
      <c r="G16">
        <v>1</v>
      </c>
      <c r="H16">
        <v>3</v>
      </c>
      <c r="I16" t="s">
        <v>544</v>
      </c>
      <c r="J16" t="s">
        <v>545</v>
      </c>
      <c r="K16" t="s">
        <v>546</v>
      </c>
      <c r="L16">
        <v>1355</v>
      </c>
      <c r="N16">
        <v>1010</v>
      </c>
      <c r="O16" t="s">
        <v>360</v>
      </c>
      <c r="P16" t="s">
        <v>360</v>
      </c>
      <c r="Q16">
        <v>100</v>
      </c>
      <c r="W16">
        <v>0</v>
      </c>
      <c r="X16">
        <v>-144904215</v>
      </c>
      <c r="Y16">
        <v>0</v>
      </c>
      <c r="AA16">
        <v>13.8</v>
      </c>
      <c r="AB16">
        <v>0</v>
      </c>
      <c r="AC16">
        <v>0</v>
      </c>
      <c r="AD16">
        <v>0</v>
      </c>
      <c r="AE16">
        <v>2</v>
      </c>
      <c r="AF16">
        <v>0</v>
      </c>
      <c r="AG16">
        <v>0</v>
      </c>
      <c r="AH16">
        <v>0</v>
      </c>
      <c r="AI16">
        <v>6.9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5.0199999999999996</v>
      </c>
      <c r="AU16" t="s">
        <v>18</v>
      </c>
      <c r="AV16">
        <v>0</v>
      </c>
      <c r="AW16">
        <v>2</v>
      </c>
      <c r="AX16">
        <v>39580466</v>
      </c>
      <c r="AY16">
        <v>1</v>
      </c>
      <c r="AZ16">
        <v>0</v>
      </c>
      <c r="BA16">
        <v>17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Y16*Source!I27</f>
        <v>0</v>
      </c>
      <c r="CY16">
        <f t="shared" si="0"/>
        <v>13.8</v>
      </c>
      <c r="CZ16">
        <f t="shared" si="1"/>
        <v>2</v>
      </c>
      <c r="DA16">
        <f t="shared" si="2"/>
        <v>6.9</v>
      </c>
      <c r="DB16">
        <v>0</v>
      </c>
    </row>
    <row r="17" spans="1:106" x14ac:dyDescent="0.2">
      <c r="A17">
        <f>ROW(Source!A27)</f>
        <v>27</v>
      </c>
      <c r="B17">
        <v>39579451</v>
      </c>
      <c r="C17">
        <v>39580448</v>
      </c>
      <c r="D17">
        <v>36822895</v>
      </c>
      <c r="E17">
        <v>1</v>
      </c>
      <c r="F17">
        <v>1</v>
      </c>
      <c r="G17">
        <v>1</v>
      </c>
      <c r="H17">
        <v>3</v>
      </c>
      <c r="I17" t="s">
        <v>547</v>
      </c>
      <c r="J17" t="s">
        <v>548</v>
      </c>
      <c r="K17" t="s">
        <v>549</v>
      </c>
      <c r="L17">
        <v>1301</v>
      </c>
      <c r="N17">
        <v>1003</v>
      </c>
      <c r="O17" t="s">
        <v>131</v>
      </c>
      <c r="P17" t="s">
        <v>131</v>
      </c>
      <c r="Q17">
        <v>1</v>
      </c>
      <c r="W17">
        <v>0</v>
      </c>
      <c r="X17">
        <v>-180360835</v>
      </c>
      <c r="Y17">
        <v>0</v>
      </c>
      <c r="AA17">
        <v>47.68</v>
      </c>
      <c r="AB17">
        <v>0</v>
      </c>
      <c r="AC17">
        <v>0</v>
      </c>
      <c r="AD17">
        <v>0</v>
      </c>
      <c r="AE17">
        <v>6.91</v>
      </c>
      <c r="AF17">
        <v>0</v>
      </c>
      <c r="AG17">
        <v>0</v>
      </c>
      <c r="AH17">
        <v>0</v>
      </c>
      <c r="AI17">
        <v>6.9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121.5</v>
      </c>
      <c r="AU17" t="s">
        <v>18</v>
      </c>
      <c r="AV17">
        <v>0</v>
      </c>
      <c r="AW17">
        <v>2</v>
      </c>
      <c r="AX17">
        <v>39580467</v>
      </c>
      <c r="AY17">
        <v>1</v>
      </c>
      <c r="AZ17">
        <v>0</v>
      </c>
      <c r="BA17">
        <v>18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Y17*Source!I27</f>
        <v>0</v>
      </c>
      <c r="CY17">
        <f t="shared" si="0"/>
        <v>47.68</v>
      </c>
      <c r="CZ17">
        <f t="shared" si="1"/>
        <v>6.91</v>
      </c>
      <c r="DA17">
        <f t="shared" si="2"/>
        <v>6.9</v>
      </c>
      <c r="DB17">
        <v>0</v>
      </c>
    </row>
    <row r="18" spans="1:106" x14ac:dyDescent="0.2">
      <c r="A18">
        <f>ROW(Source!A27)</f>
        <v>27</v>
      </c>
      <c r="B18">
        <v>39579451</v>
      </c>
      <c r="C18">
        <v>39580448</v>
      </c>
      <c r="D18">
        <v>36822957</v>
      </c>
      <c r="E18">
        <v>1</v>
      </c>
      <c r="F18">
        <v>1</v>
      </c>
      <c r="G18">
        <v>1</v>
      </c>
      <c r="H18">
        <v>3</v>
      </c>
      <c r="I18" t="s">
        <v>550</v>
      </c>
      <c r="J18" t="s">
        <v>551</v>
      </c>
      <c r="K18" t="s">
        <v>552</v>
      </c>
      <c r="L18">
        <v>1301</v>
      </c>
      <c r="N18">
        <v>1003</v>
      </c>
      <c r="O18" t="s">
        <v>131</v>
      </c>
      <c r="P18" t="s">
        <v>131</v>
      </c>
      <c r="Q18">
        <v>1</v>
      </c>
      <c r="W18">
        <v>0</v>
      </c>
      <c r="X18">
        <v>-972512293</v>
      </c>
      <c r="Y18">
        <v>0</v>
      </c>
      <c r="AA18">
        <v>55.61</v>
      </c>
      <c r="AB18">
        <v>0</v>
      </c>
      <c r="AC18">
        <v>0</v>
      </c>
      <c r="AD18">
        <v>0</v>
      </c>
      <c r="AE18">
        <v>8.06</v>
      </c>
      <c r="AF18">
        <v>0</v>
      </c>
      <c r="AG18">
        <v>0</v>
      </c>
      <c r="AH18">
        <v>0</v>
      </c>
      <c r="AI18">
        <v>6.9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229.5</v>
      </c>
      <c r="AU18" t="s">
        <v>18</v>
      </c>
      <c r="AV18">
        <v>0</v>
      </c>
      <c r="AW18">
        <v>2</v>
      </c>
      <c r="AX18">
        <v>39580468</v>
      </c>
      <c r="AY18">
        <v>1</v>
      </c>
      <c r="AZ18">
        <v>0</v>
      </c>
      <c r="BA18">
        <v>19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Y18*Source!I27</f>
        <v>0</v>
      </c>
      <c r="CY18">
        <f t="shared" si="0"/>
        <v>55.61</v>
      </c>
      <c r="CZ18">
        <f t="shared" si="1"/>
        <v>8.06</v>
      </c>
      <c r="DA18">
        <f t="shared" si="2"/>
        <v>6.9</v>
      </c>
      <c r="DB18">
        <v>0</v>
      </c>
    </row>
    <row r="19" spans="1:106" x14ac:dyDescent="0.2">
      <c r="A19">
        <f>ROW(Source!A27)</f>
        <v>27</v>
      </c>
      <c r="B19">
        <v>39579451</v>
      </c>
      <c r="C19">
        <v>39580448</v>
      </c>
      <c r="D19">
        <v>36822998</v>
      </c>
      <c r="E19">
        <v>1</v>
      </c>
      <c r="F19">
        <v>1</v>
      </c>
      <c r="G19">
        <v>1</v>
      </c>
      <c r="H19">
        <v>3</v>
      </c>
      <c r="I19" t="s">
        <v>553</v>
      </c>
      <c r="J19" t="s">
        <v>554</v>
      </c>
      <c r="K19" t="s">
        <v>555</v>
      </c>
      <c r="L19">
        <v>1355</v>
      </c>
      <c r="N19">
        <v>1010</v>
      </c>
      <c r="O19" t="s">
        <v>360</v>
      </c>
      <c r="P19" t="s">
        <v>360</v>
      </c>
      <c r="Q19">
        <v>100</v>
      </c>
      <c r="W19">
        <v>0</v>
      </c>
      <c r="X19">
        <v>-1604878988</v>
      </c>
      <c r="Y19">
        <v>0</v>
      </c>
      <c r="AA19">
        <v>301.94</v>
      </c>
      <c r="AB19">
        <v>0</v>
      </c>
      <c r="AC19">
        <v>0</v>
      </c>
      <c r="AD19">
        <v>0</v>
      </c>
      <c r="AE19">
        <v>43.76</v>
      </c>
      <c r="AF19">
        <v>0</v>
      </c>
      <c r="AG19">
        <v>0</v>
      </c>
      <c r="AH19">
        <v>0</v>
      </c>
      <c r="AI19">
        <v>6.9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2.5099999999999998</v>
      </c>
      <c r="AU19" t="s">
        <v>18</v>
      </c>
      <c r="AV19">
        <v>0</v>
      </c>
      <c r="AW19">
        <v>2</v>
      </c>
      <c r="AX19">
        <v>39580469</v>
      </c>
      <c r="AY19">
        <v>1</v>
      </c>
      <c r="AZ19">
        <v>0</v>
      </c>
      <c r="BA19">
        <v>20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Y19*Source!I27</f>
        <v>0</v>
      </c>
      <c r="CY19">
        <f t="shared" si="0"/>
        <v>301.94</v>
      </c>
      <c r="CZ19">
        <f t="shared" si="1"/>
        <v>43.76</v>
      </c>
      <c r="DA19">
        <f t="shared" si="2"/>
        <v>6.9</v>
      </c>
      <c r="DB19">
        <v>0</v>
      </c>
    </row>
    <row r="20" spans="1:106" x14ac:dyDescent="0.2">
      <c r="A20">
        <f>ROW(Source!A27)</f>
        <v>27</v>
      </c>
      <c r="B20">
        <v>39579451</v>
      </c>
      <c r="C20">
        <v>39580448</v>
      </c>
      <c r="D20">
        <v>36830271</v>
      </c>
      <c r="E20">
        <v>1</v>
      </c>
      <c r="F20">
        <v>1</v>
      </c>
      <c r="G20">
        <v>1</v>
      </c>
      <c r="H20">
        <v>3</v>
      </c>
      <c r="I20" t="s">
        <v>556</v>
      </c>
      <c r="J20" t="s">
        <v>557</v>
      </c>
      <c r="K20" t="s">
        <v>558</v>
      </c>
      <c r="L20">
        <v>1301</v>
      </c>
      <c r="N20">
        <v>1003</v>
      </c>
      <c r="O20" t="s">
        <v>131</v>
      </c>
      <c r="P20" t="s">
        <v>131</v>
      </c>
      <c r="Q20">
        <v>1</v>
      </c>
      <c r="W20">
        <v>0</v>
      </c>
      <c r="X20">
        <v>-1691161750</v>
      </c>
      <c r="Y20">
        <v>0</v>
      </c>
      <c r="AA20">
        <v>43.19</v>
      </c>
      <c r="AB20">
        <v>0</v>
      </c>
      <c r="AC20">
        <v>0</v>
      </c>
      <c r="AD20">
        <v>0</v>
      </c>
      <c r="AE20">
        <v>6.26</v>
      </c>
      <c r="AF20">
        <v>0</v>
      </c>
      <c r="AG20">
        <v>0</v>
      </c>
      <c r="AH20">
        <v>0</v>
      </c>
      <c r="AI20">
        <v>6.9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37</v>
      </c>
      <c r="AU20" t="s">
        <v>18</v>
      </c>
      <c r="AV20">
        <v>0</v>
      </c>
      <c r="AW20">
        <v>2</v>
      </c>
      <c r="AX20">
        <v>39580470</v>
      </c>
      <c r="AY20">
        <v>1</v>
      </c>
      <c r="AZ20">
        <v>0</v>
      </c>
      <c r="BA20">
        <v>21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Y20*Source!I27</f>
        <v>0</v>
      </c>
      <c r="CY20">
        <f t="shared" si="0"/>
        <v>43.19</v>
      </c>
      <c r="CZ20">
        <f t="shared" si="1"/>
        <v>6.26</v>
      </c>
      <c r="DA20">
        <f t="shared" si="2"/>
        <v>6.9</v>
      </c>
      <c r="DB20">
        <v>0</v>
      </c>
    </row>
    <row r="21" spans="1:106" x14ac:dyDescent="0.2">
      <c r="A21">
        <f>ROW(Source!A28)</f>
        <v>28</v>
      </c>
      <c r="B21">
        <v>39579451</v>
      </c>
      <c r="C21">
        <v>39579509</v>
      </c>
      <c r="D21">
        <v>37064998</v>
      </c>
      <c r="E21">
        <v>1</v>
      </c>
      <c r="F21">
        <v>1</v>
      </c>
      <c r="G21">
        <v>1</v>
      </c>
      <c r="H21">
        <v>1</v>
      </c>
      <c r="I21" t="s">
        <v>532</v>
      </c>
      <c r="J21" t="s">
        <v>3</v>
      </c>
      <c r="K21" t="s">
        <v>533</v>
      </c>
      <c r="L21">
        <v>1191</v>
      </c>
      <c r="N21">
        <v>1013</v>
      </c>
      <c r="O21" t="s">
        <v>519</v>
      </c>
      <c r="P21" t="s">
        <v>519</v>
      </c>
      <c r="Q21">
        <v>1</v>
      </c>
      <c r="W21">
        <v>0</v>
      </c>
      <c r="X21">
        <v>735429535</v>
      </c>
      <c r="Y21">
        <v>3.77</v>
      </c>
      <c r="AA21">
        <v>0</v>
      </c>
      <c r="AB21">
        <v>0</v>
      </c>
      <c r="AC21">
        <v>0</v>
      </c>
      <c r="AD21">
        <v>53.82</v>
      </c>
      <c r="AE21">
        <v>0</v>
      </c>
      <c r="AF21">
        <v>0</v>
      </c>
      <c r="AG21">
        <v>0</v>
      </c>
      <c r="AH21">
        <v>7.8</v>
      </c>
      <c r="AI21">
        <v>1</v>
      </c>
      <c r="AJ21">
        <v>1</v>
      </c>
      <c r="AK21">
        <v>1</v>
      </c>
      <c r="AL21">
        <v>6.9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3.77</v>
      </c>
      <c r="AU21" t="s">
        <v>3</v>
      </c>
      <c r="AV21">
        <v>1</v>
      </c>
      <c r="AW21">
        <v>2</v>
      </c>
      <c r="AX21">
        <v>39579510</v>
      </c>
      <c r="AY21">
        <v>1</v>
      </c>
      <c r="AZ21">
        <v>0</v>
      </c>
      <c r="BA21">
        <v>22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Y21*Source!I28</f>
        <v>1.4326000000000001</v>
      </c>
      <c r="CY21">
        <f>AD21</f>
        <v>53.82</v>
      </c>
      <c r="CZ21">
        <f>AH21</f>
        <v>7.8</v>
      </c>
      <c r="DA21">
        <f>AL21</f>
        <v>6.9</v>
      </c>
      <c r="DB21">
        <v>0</v>
      </c>
    </row>
    <row r="22" spans="1:106" x14ac:dyDescent="0.2">
      <c r="A22">
        <f>ROW(Source!A29)</f>
        <v>29</v>
      </c>
      <c r="B22">
        <v>39579451</v>
      </c>
      <c r="C22">
        <v>39579513</v>
      </c>
      <c r="D22">
        <v>37065248</v>
      </c>
      <c r="E22">
        <v>1</v>
      </c>
      <c r="F22">
        <v>1</v>
      </c>
      <c r="G22">
        <v>1</v>
      </c>
      <c r="H22">
        <v>1</v>
      </c>
      <c r="I22" t="s">
        <v>536</v>
      </c>
      <c r="J22" t="s">
        <v>3</v>
      </c>
      <c r="K22" t="s">
        <v>537</v>
      </c>
      <c r="L22">
        <v>1191</v>
      </c>
      <c r="N22">
        <v>1013</v>
      </c>
      <c r="O22" t="s">
        <v>519</v>
      </c>
      <c r="P22" t="s">
        <v>519</v>
      </c>
      <c r="Q22">
        <v>1</v>
      </c>
      <c r="W22">
        <v>0</v>
      </c>
      <c r="X22">
        <v>-400197608</v>
      </c>
      <c r="Y22">
        <v>69.87</v>
      </c>
      <c r="AA22">
        <v>0</v>
      </c>
      <c r="AB22">
        <v>0</v>
      </c>
      <c r="AC22">
        <v>0</v>
      </c>
      <c r="AD22">
        <v>58.86</v>
      </c>
      <c r="AE22">
        <v>0</v>
      </c>
      <c r="AF22">
        <v>0</v>
      </c>
      <c r="AG22">
        <v>0</v>
      </c>
      <c r="AH22">
        <v>8.5299999999999994</v>
      </c>
      <c r="AI22">
        <v>1</v>
      </c>
      <c r="AJ22">
        <v>1</v>
      </c>
      <c r="AK22">
        <v>1</v>
      </c>
      <c r="AL22">
        <v>6.9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69.87</v>
      </c>
      <c r="AU22" t="s">
        <v>3</v>
      </c>
      <c r="AV22">
        <v>1</v>
      </c>
      <c r="AW22">
        <v>2</v>
      </c>
      <c r="AX22">
        <v>39579514</v>
      </c>
      <c r="AY22">
        <v>1</v>
      </c>
      <c r="AZ22">
        <v>0</v>
      </c>
      <c r="BA22">
        <v>24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Y22*Source!I29</f>
        <v>90.132300000000015</v>
      </c>
      <c r="CY22">
        <f>AD22</f>
        <v>58.86</v>
      </c>
      <c r="CZ22">
        <f>AH22</f>
        <v>8.5299999999999994</v>
      </c>
      <c r="DA22">
        <f>AL22</f>
        <v>6.9</v>
      </c>
      <c r="DB22">
        <v>0</v>
      </c>
    </row>
    <row r="23" spans="1:106" x14ac:dyDescent="0.2">
      <c r="A23">
        <f>ROW(Source!A29)</f>
        <v>29</v>
      </c>
      <c r="B23">
        <v>39579451</v>
      </c>
      <c r="C23">
        <v>39579513</v>
      </c>
      <c r="D23">
        <v>37064876</v>
      </c>
      <c r="E23">
        <v>1</v>
      </c>
      <c r="F23">
        <v>1</v>
      </c>
      <c r="G23">
        <v>1</v>
      </c>
      <c r="H23">
        <v>1</v>
      </c>
      <c r="I23" t="s">
        <v>520</v>
      </c>
      <c r="J23" t="s">
        <v>3</v>
      </c>
      <c r="K23" t="s">
        <v>521</v>
      </c>
      <c r="L23">
        <v>1191</v>
      </c>
      <c r="N23">
        <v>1013</v>
      </c>
      <c r="O23" t="s">
        <v>519</v>
      </c>
      <c r="P23" t="s">
        <v>519</v>
      </c>
      <c r="Q23">
        <v>1</v>
      </c>
      <c r="W23">
        <v>0</v>
      </c>
      <c r="X23">
        <v>-1417349443</v>
      </c>
      <c r="Y23">
        <v>1.44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6.9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1.44</v>
      </c>
      <c r="AU23" t="s">
        <v>3</v>
      </c>
      <c r="AV23">
        <v>2</v>
      </c>
      <c r="AW23">
        <v>2</v>
      </c>
      <c r="AX23">
        <v>39579515</v>
      </c>
      <c r="AY23">
        <v>1</v>
      </c>
      <c r="AZ23">
        <v>0</v>
      </c>
      <c r="BA23">
        <v>25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Y23*Source!I29</f>
        <v>1.8575999999999999</v>
      </c>
      <c r="CY23">
        <f>AD23</f>
        <v>0</v>
      </c>
      <c r="CZ23">
        <f>AH23</f>
        <v>0</v>
      </c>
      <c r="DA23">
        <f>AL23</f>
        <v>1</v>
      </c>
      <c r="DB23">
        <v>0</v>
      </c>
    </row>
    <row r="24" spans="1:106" x14ac:dyDescent="0.2">
      <c r="A24">
        <f>ROW(Source!A29)</f>
        <v>29</v>
      </c>
      <c r="B24">
        <v>39579451</v>
      </c>
      <c r="C24">
        <v>39579513</v>
      </c>
      <c r="D24">
        <v>36882452</v>
      </c>
      <c r="E24">
        <v>1</v>
      </c>
      <c r="F24">
        <v>1</v>
      </c>
      <c r="G24">
        <v>1</v>
      </c>
      <c r="H24">
        <v>2</v>
      </c>
      <c r="I24" t="s">
        <v>522</v>
      </c>
      <c r="J24" t="s">
        <v>523</v>
      </c>
      <c r="K24" t="s">
        <v>524</v>
      </c>
      <c r="L24">
        <v>1368</v>
      </c>
      <c r="N24">
        <v>1011</v>
      </c>
      <c r="O24" t="s">
        <v>525</v>
      </c>
      <c r="P24" t="s">
        <v>525</v>
      </c>
      <c r="Q24">
        <v>1</v>
      </c>
      <c r="W24">
        <v>0</v>
      </c>
      <c r="X24">
        <v>1188625873</v>
      </c>
      <c r="Y24">
        <v>1.44</v>
      </c>
      <c r="AA24">
        <v>0</v>
      </c>
      <c r="AB24">
        <v>215.69</v>
      </c>
      <c r="AC24">
        <v>13.5</v>
      </c>
      <c r="AD24">
        <v>0</v>
      </c>
      <c r="AE24">
        <v>0</v>
      </c>
      <c r="AF24">
        <v>31.26</v>
      </c>
      <c r="AG24">
        <v>13.5</v>
      </c>
      <c r="AH24">
        <v>0</v>
      </c>
      <c r="AI24">
        <v>1</v>
      </c>
      <c r="AJ24">
        <v>6.9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1.44</v>
      </c>
      <c r="AU24" t="s">
        <v>3</v>
      </c>
      <c r="AV24">
        <v>0</v>
      </c>
      <c r="AW24">
        <v>2</v>
      </c>
      <c r="AX24">
        <v>39579516</v>
      </c>
      <c r="AY24">
        <v>1</v>
      </c>
      <c r="AZ24">
        <v>0</v>
      </c>
      <c r="BA24">
        <v>26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Y24*Source!I29</f>
        <v>1.8575999999999999</v>
      </c>
      <c r="CY24">
        <f>AB24</f>
        <v>215.69</v>
      </c>
      <c r="CZ24">
        <f>AF24</f>
        <v>31.26</v>
      </c>
      <c r="DA24">
        <f>AJ24</f>
        <v>6.9</v>
      </c>
      <c r="DB24">
        <v>0</v>
      </c>
    </row>
    <row r="25" spans="1:106" x14ac:dyDescent="0.2">
      <c r="A25">
        <f>ROW(Source!A30)</f>
        <v>30</v>
      </c>
      <c r="B25">
        <v>39579451</v>
      </c>
      <c r="C25">
        <v>39579519</v>
      </c>
      <c r="D25">
        <v>37068121</v>
      </c>
      <c r="E25">
        <v>1</v>
      </c>
      <c r="F25">
        <v>1</v>
      </c>
      <c r="G25">
        <v>1</v>
      </c>
      <c r="H25">
        <v>1</v>
      </c>
      <c r="I25" t="s">
        <v>559</v>
      </c>
      <c r="J25" t="s">
        <v>3</v>
      </c>
      <c r="K25" t="s">
        <v>560</v>
      </c>
      <c r="L25">
        <v>1191</v>
      </c>
      <c r="N25">
        <v>1013</v>
      </c>
      <c r="O25" t="s">
        <v>519</v>
      </c>
      <c r="P25" t="s">
        <v>519</v>
      </c>
      <c r="Q25">
        <v>1</v>
      </c>
      <c r="W25">
        <v>0</v>
      </c>
      <c r="X25">
        <v>-1366118074</v>
      </c>
      <c r="Y25">
        <v>31.608000000000001</v>
      </c>
      <c r="AA25">
        <v>0</v>
      </c>
      <c r="AB25">
        <v>0</v>
      </c>
      <c r="AC25">
        <v>0</v>
      </c>
      <c r="AD25">
        <v>54.79</v>
      </c>
      <c r="AE25">
        <v>0</v>
      </c>
      <c r="AF25">
        <v>0</v>
      </c>
      <c r="AG25">
        <v>0</v>
      </c>
      <c r="AH25">
        <v>7.94</v>
      </c>
      <c r="AI25">
        <v>1</v>
      </c>
      <c r="AJ25">
        <v>1</v>
      </c>
      <c r="AK25">
        <v>1</v>
      </c>
      <c r="AL25">
        <v>6.9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39.51</v>
      </c>
      <c r="AU25" t="s">
        <v>19</v>
      </c>
      <c r="AV25">
        <v>1</v>
      </c>
      <c r="AW25">
        <v>2</v>
      </c>
      <c r="AX25">
        <v>39579520</v>
      </c>
      <c r="AY25">
        <v>1</v>
      </c>
      <c r="AZ25">
        <v>0</v>
      </c>
      <c r="BA25">
        <v>28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Y25*Source!I30</f>
        <v>40.774320000000003</v>
      </c>
      <c r="CY25">
        <f>AD25</f>
        <v>54.79</v>
      </c>
      <c r="CZ25">
        <f>AH25</f>
        <v>7.94</v>
      </c>
      <c r="DA25">
        <f>AL25</f>
        <v>6.9</v>
      </c>
      <c r="DB25">
        <v>0</v>
      </c>
    </row>
    <row r="26" spans="1:106" x14ac:dyDescent="0.2">
      <c r="A26">
        <f>ROW(Source!A30)</f>
        <v>30</v>
      </c>
      <c r="B26">
        <v>39579451</v>
      </c>
      <c r="C26">
        <v>39579519</v>
      </c>
      <c r="D26">
        <v>37064876</v>
      </c>
      <c r="E26">
        <v>1</v>
      </c>
      <c r="F26">
        <v>1</v>
      </c>
      <c r="G26">
        <v>1</v>
      </c>
      <c r="H26">
        <v>1</v>
      </c>
      <c r="I26" t="s">
        <v>520</v>
      </c>
      <c r="J26" t="s">
        <v>3</v>
      </c>
      <c r="K26" t="s">
        <v>521</v>
      </c>
      <c r="L26">
        <v>1191</v>
      </c>
      <c r="N26">
        <v>1013</v>
      </c>
      <c r="O26" t="s">
        <v>519</v>
      </c>
      <c r="P26" t="s">
        <v>519</v>
      </c>
      <c r="Q26">
        <v>1</v>
      </c>
      <c r="W26">
        <v>0</v>
      </c>
      <c r="X26">
        <v>-1417349443</v>
      </c>
      <c r="Y26">
        <v>1.27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6.9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1.27</v>
      </c>
      <c r="AU26" t="s">
        <v>3</v>
      </c>
      <c r="AV26">
        <v>2</v>
      </c>
      <c r="AW26">
        <v>2</v>
      </c>
      <c r="AX26">
        <v>39579521</v>
      </c>
      <c r="AY26">
        <v>1</v>
      </c>
      <c r="AZ26">
        <v>2048</v>
      </c>
      <c r="BA26">
        <v>29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Y26*Source!I30</f>
        <v>1.6383000000000001</v>
      </c>
      <c r="CY26">
        <f>AD26</f>
        <v>0</v>
      </c>
      <c r="CZ26">
        <f>AH26</f>
        <v>0</v>
      </c>
      <c r="DA26">
        <f>AL26</f>
        <v>1</v>
      </c>
      <c r="DB26">
        <v>0</v>
      </c>
    </row>
    <row r="27" spans="1:106" x14ac:dyDescent="0.2">
      <c r="A27">
        <f>ROW(Source!A30)</f>
        <v>30</v>
      </c>
      <c r="B27">
        <v>39579451</v>
      </c>
      <c r="C27">
        <v>39579519</v>
      </c>
      <c r="D27">
        <v>36882452</v>
      </c>
      <c r="E27">
        <v>1</v>
      </c>
      <c r="F27">
        <v>1</v>
      </c>
      <c r="G27">
        <v>1</v>
      </c>
      <c r="H27">
        <v>2</v>
      </c>
      <c r="I27" t="s">
        <v>522</v>
      </c>
      <c r="J27" t="s">
        <v>523</v>
      </c>
      <c r="K27" t="s">
        <v>524</v>
      </c>
      <c r="L27">
        <v>1368</v>
      </c>
      <c r="N27">
        <v>1011</v>
      </c>
      <c r="O27" t="s">
        <v>525</v>
      </c>
      <c r="P27" t="s">
        <v>525</v>
      </c>
      <c r="Q27">
        <v>1</v>
      </c>
      <c r="W27">
        <v>0</v>
      </c>
      <c r="X27">
        <v>1188625873</v>
      </c>
      <c r="Y27">
        <v>1.016</v>
      </c>
      <c r="AA27">
        <v>0</v>
      </c>
      <c r="AB27">
        <v>215.69</v>
      </c>
      <c r="AC27">
        <v>13.5</v>
      </c>
      <c r="AD27">
        <v>0</v>
      </c>
      <c r="AE27">
        <v>0</v>
      </c>
      <c r="AF27">
        <v>31.26</v>
      </c>
      <c r="AG27">
        <v>13.5</v>
      </c>
      <c r="AH27">
        <v>0</v>
      </c>
      <c r="AI27">
        <v>1</v>
      </c>
      <c r="AJ27">
        <v>6.9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1.27</v>
      </c>
      <c r="AU27" t="s">
        <v>19</v>
      </c>
      <c r="AV27">
        <v>0</v>
      </c>
      <c r="AW27">
        <v>2</v>
      </c>
      <c r="AX27">
        <v>39579522</v>
      </c>
      <c r="AY27">
        <v>1</v>
      </c>
      <c r="AZ27">
        <v>0</v>
      </c>
      <c r="BA27">
        <v>30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Y27*Source!I30</f>
        <v>1.31064</v>
      </c>
      <c r="CY27">
        <f>AB27</f>
        <v>215.69</v>
      </c>
      <c r="CZ27">
        <f>AF27</f>
        <v>31.26</v>
      </c>
      <c r="DA27">
        <f>AJ27</f>
        <v>6.9</v>
      </c>
      <c r="DB27">
        <v>0</v>
      </c>
    </row>
    <row r="28" spans="1:106" x14ac:dyDescent="0.2">
      <c r="A28">
        <f>ROW(Source!A30)</f>
        <v>30</v>
      </c>
      <c r="B28">
        <v>39579451</v>
      </c>
      <c r="C28">
        <v>39579519</v>
      </c>
      <c r="D28">
        <v>36882569</v>
      </c>
      <c r="E28">
        <v>1</v>
      </c>
      <c r="F28">
        <v>1</v>
      </c>
      <c r="G28">
        <v>1</v>
      </c>
      <c r="H28">
        <v>2</v>
      </c>
      <c r="I28" t="s">
        <v>561</v>
      </c>
      <c r="J28" t="s">
        <v>562</v>
      </c>
      <c r="K28" t="s">
        <v>563</v>
      </c>
      <c r="L28">
        <v>1368</v>
      </c>
      <c r="N28">
        <v>1011</v>
      </c>
      <c r="O28" t="s">
        <v>525</v>
      </c>
      <c r="P28" t="s">
        <v>525</v>
      </c>
      <c r="Q28">
        <v>1</v>
      </c>
      <c r="W28">
        <v>0</v>
      </c>
      <c r="X28">
        <v>126902709</v>
      </c>
      <c r="Y28">
        <v>7.2560000000000002</v>
      </c>
      <c r="AA28">
        <v>0</v>
      </c>
      <c r="AB28">
        <v>3.45</v>
      </c>
      <c r="AC28">
        <v>0</v>
      </c>
      <c r="AD28">
        <v>0</v>
      </c>
      <c r="AE28">
        <v>0</v>
      </c>
      <c r="AF28">
        <v>0.5</v>
      </c>
      <c r="AG28">
        <v>0</v>
      </c>
      <c r="AH28">
        <v>0</v>
      </c>
      <c r="AI28">
        <v>1</v>
      </c>
      <c r="AJ28">
        <v>6.9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9.07</v>
      </c>
      <c r="AU28" t="s">
        <v>19</v>
      </c>
      <c r="AV28">
        <v>0</v>
      </c>
      <c r="AW28">
        <v>2</v>
      </c>
      <c r="AX28">
        <v>39579523</v>
      </c>
      <c r="AY28">
        <v>1</v>
      </c>
      <c r="AZ28">
        <v>0</v>
      </c>
      <c r="BA28">
        <v>31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Y28*Source!I30</f>
        <v>9.360240000000001</v>
      </c>
      <c r="CY28">
        <f>AB28</f>
        <v>3.45</v>
      </c>
      <c r="CZ28">
        <f>AF28</f>
        <v>0.5</v>
      </c>
      <c r="DA28">
        <f>AJ28</f>
        <v>6.9</v>
      </c>
      <c r="DB28">
        <v>0</v>
      </c>
    </row>
    <row r="29" spans="1:106" x14ac:dyDescent="0.2">
      <c r="A29">
        <f>ROW(Source!A30)</f>
        <v>30</v>
      </c>
      <c r="B29">
        <v>39579451</v>
      </c>
      <c r="C29">
        <v>39579519</v>
      </c>
      <c r="D29">
        <v>36801792</v>
      </c>
      <c r="E29">
        <v>1</v>
      </c>
      <c r="F29">
        <v>1</v>
      </c>
      <c r="G29">
        <v>1</v>
      </c>
      <c r="H29">
        <v>3</v>
      </c>
      <c r="I29" t="s">
        <v>564</v>
      </c>
      <c r="J29" t="s">
        <v>565</v>
      </c>
      <c r="K29" t="s">
        <v>566</v>
      </c>
      <c r="L29">
        <v>1339</v>
      </c>
      <c r="N29">
        <v>1007</v>
      </c>
      <c r="O29" t="s">
        <v>86</v>
      </c>
      <c r="P29" t="s">
        <v>86</v>
      </c>
      <c r="Q29">
        <v>1</v>
      </c>
      <c r="W29">
        <v>0</v>
      </c>
      <c r="X29">
        <v>-1660354250</v>
      </c>
      <c r="Y29">
        <v>0</v>
      </c>
      <c r="AA29">
        <v>16.84</v>
      </c>
      <c r="AB29">
        <v>0</v>
      </c>
      <c r="AC29">
        <v>0</v>
      </c>
      <c r="AD29">
        <v>0</v>
      </c>
      <c r="AE29">
        <v>2.44</v>
      </c>
      <c r="AF29">
        <v>0</v>
      </c>
      <c r="AG29">
        <v>0</v>
      </c>
      <c r="AH29">
        <v>0</v>
      </c>
      <c r="AI29">
        <v>6.9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3.5</v>
      </c>
      <c r="AU29" t="s">
        <v>18</v>
      </c>
      <c r="AV29">
        <v>0</v>
      </c>
      <c r="AW29">
        <v>2</v>
      </c>
      <c r="AX29">
        <v>39579524</v>
      </c>
      <c r="AY29">
        <v>1</v>
      </c>
      <c r="AZ29">
        <v>0</v>
      </c>
      <c r="BA29">
        <v>32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0</v>
      </c>
      <c r="CY29">
        <f>AA29</f>
        <v>16.84</v>
      </c>
      <c r="CZ29">
        <f>AE29</f>
        <v>2.44</v>
      </c>
      <c r="DA29">
        <f>AI29</f>
        <v>6.9</v>
      </c>
      <c r="DB29">
        <v>0</v>
      </c>
    </row>
    <row r="30" spans="1:106" x14ac:dyDescent="0.2">
      <c r="A30">
        <f>ROW(Source!A31)</f>
        <v>31</v>
      </c>
      <c r="B30">
        <v>39579451</v>
      </c>
      <c r="C30">
        <v>39579527</v>
      </c>
      <c r="D30">
        <v>37068121</v>
      </c>
      <c r="E30">
        <v>1</v>
      </c>
      <c r="F30">
        <v>1</v>
      </c>
      <c r="G30">
        <v>1</v>
      </c>
      <c r="H30">
        <v>1</v>
      </c>
      <c r="I30" t="s">
        <v>559</v>
      </c>
      <c r="J30" t="s">
        <v>3</v>
      </c>
      <c r="K30" t="s">
        <v>560</v>
      </c>
      <c r="L30">
        <v>1191</v>
      </c>
      <c r="N30">
        <v>1013</v>
      </c>
      <c r="O30" t="s">
        <v>519</v>
      </c>
      <c r="P30" t="s">
        <v>519</v>
      </c>
      <c r="Q30">
        <v>1</v>
      </c>
      <c r="W30">
        <v>0</v>
      </c>
      <c r="X30">
        <v>-1366118074</v>
      </c>
      <c r="Y30">
        <v>0.8</v>
      </c>
      <c r="AA30">
        <v>0</v>
      </c>
      <c r="AB30">
        <v>0</v>
      </c>
      <c r="AC30">
        <v>0</v>
      </c>
      <c r="AD30">
        <v>54.79</v>
      </c>
      <c r="AE30">
        <v>0</v>
      </c>
      <c r="AF30">
        <v>0</v>
      </c>
      <c r="AG30">
        <v>0</v>
      </c>
      <c r="AH30">
        <v>7.94</v>
      </c>
      <c r="AI30">
        <v>1</v>
      </c>
      <c r="AJ30">
        <v>1</v>
      </c>
      <c r="AK30">
        <v>1</v>
      </c>
      <c r="AL30">
        <v>6.9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0.5</v>
      </c>
      <c r="AU30" t="s">
        <v>61</v>
      </c>
      <c r="AV30">
        <v>1</v>
      </c>
      <c r="AW30">
        <v>2</v>
      </c>
      <c r="AX30">
        <v>39579528</v>
      </c>
      <c r="AY30">
        <v>1</v>
      </c>
      <c r="AZ30">
        <v>0</v>
      </c>
      <c r="BA30">
        <v>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Y30*Source!I31</f>
        <v>1.032</v>
      </c>
      <c r="CY30">
        <f>AD30</f>
        <v>54.79</v>
      </c>
      <c r="CZ30">
        <f>AH30</f>
        <v>7.94</v>
      </c>
      <c r="DA30">
        <f>AL30</f>
        <v>6.9</v>
      </c>
      <c r="DB30">
        <v>0</v>
      </c>
    </row>
    <row r="31" spans="1:106" x14ac:dyDescent="0.2">
      <c r="A31">
        <f>ROW(Source!A31)</f>
        <v>31</v>
      </c>
      <c r="B31">
        <v>39579451</v>
      </c>
      <c r="C31">
        <v>39579527</v>
      </c>
      <c r="D31">
        <v>37064876</v>
      </c>
      <c r="E31">
        <v>1</v>
      </c>
      <c r="F31">
        <v>1</v>
      </c>
      <c r="G31">
        <v>1</v>
      </c>
      <c r="H31">
        <v>1</v>
      </c>
      <c r="I31" t="s">
        <v>520</v>
      </c>
      <c r="J31" t="s">
        <v>3</v>
      </c>
      <c r="K31" t="s">
        <v>521</v>
      </c>
      <c r="L31">
        <v>1191</v>
      </c>
      <c r="N31">
        <v>1013</v>
      </c>
      <c r="O31" t="s">
        <v>519</v>
      </c>
      <c r="P31" t="s">
        <v>519</v>
      </c>
      <c r="Q31">
        <v>1</v>
      </c>
      <c r="W31">
        <v>0</v>
      </c>
      <c r="X31">
        <v>-1417349443</v>
      </c>
      <c r="Y31">
        <v>0.21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6.9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0.21</v>
      </c>
      <c r="AU31" t="s">
        <v>3</v>
      </c>
      <c r="AV31">
        <v>2</v>
      </c>
      <c r="AW31">
        <v>2</v>
      </c>
      <c r="AX31">
        <v>39579529</v>
      </c>
      <c r="AY31">
        <v>1</v>
      </c>
      <c r="AZ31">
        <v>2048</v>
      </c>
      <c r="BA31">
        <v>35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Y31*Source!I31</f>
        <v>0.27089999999999997</v>
      </c>
      <c r="CY31">
        <f>AD31</f>
        <v>0</v>
      </c>
      <c r="CZ31">
        <f>AH31</f>
        <v>0</v>
      </c>
      <c r="DA31">
        <f>AL31</f>
        <v>1</v>
      </c>
      <c r="DB31">
        <v>0</v>
      </c>
    </row>
    <row r="32" spans="1:106" x14ac:dyDescent="0.2">
      <c r="A32">
        <f>ROW(Source!A31)</f>
        <v>31</v>
      </c>
      <c r="B32">
        <v>39579451</v>
      </c>
      <c r="C32">
        <v>39579527</v>
      </c>
      <c r="D32">
        <v>36882452</v>
      </c>
      <c r="E32">
        <v>1</v>
      </c>
      <c r="F32">
        <v>1</v>
      </c>
      <c r="G32">
        <v>1</v>
      </c>
      <c r="H32">
        <v>2</v>
      </c>
      <c r="I32" t="s">
        <v>522</v>
      </c>
      <c r="J32" t="s">
        <v>523</v>
      </c>
      <c r="K32" t="s">
        <v>524</v>
      </c>
      <c r="L32">
        <v>1368</v>
      </c>
      <c r="N32">
        <v>1011</v>
      </c>
      <c r="O32" t="s">
        <v>525</v>
      </c>
      <c r="P32" t="s">
        <v>525</v>
      </c>
      <c r="Q32">
        <v>1</v>
      </c>
      <c r="W32">
        <v>0</v>
      </c>
      <c r="X32">
        <v>1188625873</v>
      </c>
      <c r="Y32">
        <v>0.33600000000000002</v>
      </c>
      <c r="AA32">
        <v>0</v>
      </c>
      <c r="AB32">
        <v>215.69</v>
      </c>
      <c r="AC32">
        <v>13.5</v>
      </c>
      <c r="AD32">
        <v>0</v>
      </c>
      <c r="AE32">
        <v>0</v>
      </c>
      <c r="AF32">
        <v>31.26</v>
      </c>
      <c r="AG32">
        <v>13.5</v>
      </c>
      <c r="AH32">
        <v>0</v>
      </c>
      <c r="AI32">
        <v>1</v>
      </c>
      <c r="AJ32">
        <v>6.9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0.21</v>
      </c>
      <c r="AU32" t="s">
        <v>61</v>
      </c>
      <c r="AV32">
        <v>0</v>
      </c>
      <c r="AW32">
        <v>2</v>
      </c>
      <c r="AX32">
        <v>39579530</v>
      </c>
      <c r="AY32">
        <v>1</v>
      </c>
      <c r="AZ32">
        <v>0</v>
      </c>
      <c r="BA32">
        <v>36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Y32*Source!I31</f>
        <v>0.43344000000000005</v>
      </c>
      <c r="CY32">
        <f>AB32</f>
        <v>215.69</v>
      </c>
      <c r="CZ32">
        <f>AF32</f>
        <v>31.26</v>
      </c>
      <c r="DA32">
        <f>AJ32</f>
        <v>6.9</v>
      </c>
      <c r="DB32">
        <v>0</v>
      </c>
    </row>
    <row r="33" spans="1:106" x14ac:dyDescent="0.2">
      <c r="A33">
        <f>ROW(Source!A31)</f>
        <v>31</v>
      </c>
      <c r="B33">
        <v>39579451</v>
      </c>
      <c r="C33">
        <v>39579527</v>
      </c>
      <c r="D33">
        <v>36882569</v>
      </c>
      <c r="E33">
        <v>1</v>
      </c>
      <c r="F33">
        <v>1</v>
      </c>
      <c r="G33">
        <v>1</v>
      </c>
      <c r="H33">
        <v>2</v>
      </c>
      <c r="I33" t="s">
        <v>561</v>
      </c>
      <c r="J33" t="s">
        <v>562</v>
      </c>
      <c r="K33" t="s">
        <v>563</v>
      </c>
      <c r="L33">
        <v>1368</v>
      </c>
      <c r="N33">
        <v>1011</v>
      </c>
      <c r="O33" t="s">
        <v>525</v>
      </c>
      <c r="P33" t="s">
        <v>525</v>
      </c>
      <c r="Q33">
        <v>1</v>
      </c>
      <c r="W33">
        <v>0</v>
      </c>
      <c r="X33">
        <v>126902709</v>
      </c>
      <c r="Y33">
        <v>3.7119999999999997</v>
      </c>
      <c r="AA33">
        <v>0</v>
      </c>
      <c r="AB33">
        <v>3.45</v>
      </c>
      <c r="AC33">
        <v>0</v>
      </c>
      <c r="AD33">
        <v>0</v>
      </c>
      <c r="AE33">
        <v>0</v>
      </c>
      <c r="AF33">
        <v>0.5</v>
      </c>
      <c r="AG33">
        <v>0</v>
      </c>
      <c r="AH33">
        <v>0</v>
      </c>
      <c r="AI33">
        <v>1</v>
      </c>
      <c r="AJ33">
        <v>6.9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2.3199999999999998</v>
      </c>
      <c r="AU33" t="s">
        <v>61</v>
      </c>
      <c r="AV33">
        <v>0</v>
      </c>
      <c r="AW33">
        <v>2</v>
      </c>
      <c r="AX33">
        <v>39579531</v>
      </c>
      <c r="AY33">
        <v>1</v>
      </c>
      <c r="AZ33">
        <v>0</v>
      </c>
      <c r="BA33">
        <v>37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Y33*Source!I31</f>
        <v>4.7884799999999998</v>
      </c>
      <c r="CY33">
        <f>AB33</f>
        <v>3.45</v>
      </c>
      <c r="CZ33">
        <f>AF33</f>
        <v>0.5</v>
      </c>
      <c r="DA33">
        <f>AJ33</f>
        <v>6.9</v>
      </c>
      <c r="DB33">
        <v>0</v>
      </c>
    </row>
    <row r="34" spans="1:106" x14ac:dyDescent="0.2">
      <c r="A34">
        <f>ROW(Source!A32)</f>
        <v>32</v>
      </c>
      <c r="B34">
        <v>39579451</v>
      </c>
      <c r="C34">
        <v>39579535</v>
      </c>
      <c r="D34">
        <v>37069968</v>
      </c>
      <c r="E34">
        <v>1</v>
      </c>
      <c r="F34">
        <v>1</v>
      </c>
      <c r="G34">
        <v>1</v>
      </c>
      <c r="H34">
        <v>1</v>
      </c>
      <c r="I34" t="s">
        <v>567</v>
      </c>
      <c r="J34" t="s">
        <v>3</v>
      </c>
      <c r="K34" t="s">
        <v>568</v>
      </c>
      <c r="L34">
        <v>1191</v>
      </c>
      <c r="N34">
        <v>1013</v>
      </c>
      <c r="O34" t="s">
        <v>519</v>
      </c>
      <c r="P34" t="s">
        <v>519</v>
      </c>
      <c r="Q34">
        <v>1</v>
      </c>
      <c r="W34">
        <v>0</v>
      </c>
      <c r="X34">
        <v>-200730820</v>
      </c>
      <c r="Y34">
        <v>55.68</v>
      </c>
      <c r="AA34">
        <v>0</v>
      </c>
      <c r="AB34">
        <v>0</v>
      </c>
      <c r="AC34">
        <v>0</v>
      </c>
      <c r="AD34">
        <v>57.82</v>
      </c>
      <c r="AE34">
        <v>0</v>
      </c>
      <c r="AF34">
        <v>0</v>
      </c>
      <c r="AG34">
        <v>0</v>
      </c>
      <c r="AH34">
        <v>8.3800000000000008</v>
      </c>
      <c r="AI34">
        <v>1</v>
      </c>
      <c r="AJ34">
        <v>1</v>
      </c>
      <c r="AK34">
        <v>1</v>
      </c>
      <c r="AL34">
        <v>6.9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69.599999999999994</v>
      </c>
      <c r="AU34" t="s">
        <v>19</v>
      </c>
      <c r="AV34">
        <v>1</v>
      </c>
      <c r="AW34">
        <v>2</v>
      </c>
      <c r="AX34">
        <v>39579536</v>
      </c>
      <c r="AY34">
        <v>1</v>
      </c>
      <c r="AZ34">
        <v>0</v>
      </c>
      <c r="BA34">
        <v>39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Y34*Source!I32</f>
        <v>8.3965439999999987</v>
      </c>
      <c r="CY34">
        <f>AD34</f>
        <v>57.82</v>
      </c>
      <c r="CZ34">
        <f>AH34</f>
        <v>8.3800000000000008</v>
      </c>
      <c r="DA34">
        <f>AL34</f>
        <v>6.9</v>
      </c>
      <c r="DB34">
        <v>0</v>
      </c>
    </row>
    <row r="35" spans="1:106" x14ac:dyDescent="0.2">
      <c r="A35">
        <f>ROW(Source!A32)</f>
        <v>32</v>
      </c>
      <c r="B35">
        <v>39579451</v>
      </c>
      <c r="C35">
        <v>39579535</v>
      </c>
      <c r="D35">
        <v>37064876</v>
      </c>
      <c r="E35">
        <v>1</v>
      </c>
      <c r="F35">
        <v>1</v>
      </c>
      <c r="G35">
        <v>1</v>
      </c>
      <c r="H35">
        <v>1</v>
      </c>
      <c r="I35" t="s">
        <v>520</v>
      </c>
      <c r="J35" t="s">
        <v>3</v>
      </c>
      <c r="K35" t="s">
        <v>521</v>
      </c>
      <c r="L35">
        <v>1191</v>
      </c>
      <c r="N35">
        <v>1013</v>
      </c>
      <c r="O35" t="s">
        <v>519</v>
      </c>
      <c r="P35" t="s">
        <v>519</v>
      </c>
      <c r="Q35">
        <v>1</v>
      </c>
      <c r="W35">
        <v>0</v>
      </c>
      <c r="X35">
        <v>-1417349443</v>
      </c>
      <c r="Y35">
        <v>4.59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6.9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4.59</v>
      </c>
      <c r="AU35" t="s">
        <v>3</v>
      </c>
      <c r="AV35">
        <v>2</v>
      </c>
      <c r="AW35">
        <v>2</v>
      </c>
      <c r="AX35">
        <v>39579537</v>
      </c>
      <c r="AY35">
        <v>1</v>
      </c>
      <c r="AZ35">
        <v>2048</v>
      </c>
      <c r="BA35">
        <v>40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Y35*Source!I32</f>
        <v>0.6921719999999999</v>
      </c>
      <c r="CY35">
        <f>AD35</f>
        <v>0</v>
      </c>
      <c r="CZ35">
        <f>AH35</f>
        <v>0</v>
      </c>
      <c r="DA35">
        <f>AL35</f>
        <v>1</v>
      </c>
      <c r="DB35">
        <v>0</v>
      </c>
    </row>
    <row r="36" spans="1:106" x14ac:dyDescent="0.2">
      <c r="A36">
        <f>ROW(Source!A32)</f>
        <v>32</v>
      </c>
      <c r="B36">
        <v>39579451</v>
      </c>
      <c r="C36">
        <v>39579535</v>
      </c>
      <c r="D36">
        <v>36883554</v>
      </c>
      <c r="E36">
        <v>1</v>
      </c>
      <c r="F36">
        <v>1</v>
      </c>
      <c r="G36">
        <v>1</v>
      </c>
      <c r="H36">
        <v>2</v>
      </c>
      <c r="I36" t="s">
        <v>526</v>
      </c>
      <c r="J36" t="s">
        <v>527</v>
      </c>
      <c r="K36" t="s">
        <v>528</v>
      </c>
      <c r="L36">
        <v>1368</v>
      </c>
      <c r="N36">
        <v>1011</v>
      </c>
      <c r="O36" t="s">
        <v>525</v>
      </c>
      <c r="P36" t="s">
        <v>525</v>
      </c>
      <c r="Q36">
        <v>1</v>
      </c>
      <c r="W36">
        <v>0</v>
      </c>
      <c r="X36">
        <v>1372534845</v>
      </c>
      <c r="Y36">
        <v>3.6720000000000002</v>
      </c>
      <c r="AA36">
        <v>0</v>
      </c>
      <c r="AB36">
        <v>453.4</v>
      </c>
      <c r="AC36">
        <v>11.6</v>
      </c>
      <c r="AD36">
        <v>0</v>
      </c>
      <c r="AE36">
        <v>0</v>
      </c>
      <c r="AF36">
        <v>65.709999999999994</v>
      </c>
      <c r="AG36">
        <v>11.6</v>
      </c>
      <c r="AH36">
        <v>0</v>
      </c>
      <c r="AI36">
        <v>1</v>
      </c>
      <c r="AJ36">
        <v>6.9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3</v>
      </c>
      <c r="AT36">
        <v>4.59</v>
      </c>
      <c r="AU36" t="s">
        <v>19</v>
      </c>
      <c r="AV36">
        <v>0</v>
      </c>
      <c r="AW36">
        <v>2</v>
      </c>
      <c r="AX36">
        <v>39579538</v>
      </c>
      <c r="AY36">
        <v>1</v>
      </c>
      <c r="AZ36">
        <v>0</v>
      </c>
      <c r="BA36">
        <v>41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Y36*Source!I32</f>
        <v>0.55373759999999994</v>
      </c>
      <c r="CY36">
        <f>AB36</f>
        <v>453.4</v>
      </c>
      <c r="CZ36">
        <f>AF36</f>
        <v>65.709999999999994</v>
      </c>
      <c r="DA36">
        <f>AJ36</f>
        <v>6.9</v>
      </c>
      <c r="DB36">
        <v>0</v>
      </c>
    </row>
    <row r="37" spans="1:106" x14ac:dyDescent="0.2">
      <c r="A37">
        <f>ROW(Source!A32)</f>
        <v>32</v>
      </c>
      <c r="B37">
        <v>39579451</v>
      </c>
      <c r="C37">
        <v>39579535</v>
      </c>
      <c r="D37">
        <v>36804549</v>
      </c>
      <c r="E37">
        <v>1</v>
      </c>
      <c r="F37">
        <v>1</v>
      </c>
      <c r="G37">
        <v>1</v>
      </c>
      <c r="H37">
        <v>3</v>
      </c>
      <c r="I37" t="s">
        <v>569</v>
      </c>
      <c r="J37" t="s">
        <v>570</v>
      </c>
      <c r="K37" t="s">
        <v>571</v>
      </c>
      <c r="L37">
        <v>1348</v>
      </c>
      <c r="N37">
        <v>1009</v>
      </c>
      <c r="O37" t="s">
        <v>105</v>
      </c>
      <c r="P37" t="s">
        <v>105</v>
      </c>
      <c r="Q37">
        <v>1000</v>
      </c>
      <c r="W37">
        <v>0</v>
      </c>
      <c r="X37">
        <v>888381482</v>
      </c>
      <c r="Y37">
        <v>0</v>
      </c>
      <c r="AA37">
        <v>58477.5</v>
      </c>
      <c r="AB37">
        <v>0</v>
      </c>
      <c r="AC37">
        <v>0</v>
      </c>
      <c r="AD37">
        <v>0</v>
      </c>
      <c r="AE37">
        <v>8475</v>
      </c>
      <c r="AF37">
        <v>0</v>
      </c>
      <c r="AG37">
        <v>0</v>
      </c>
      <c r="AH37">
        <v>0</v>
      </c>
      <c r="AI37">
        <v>6.9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1.2E-2</v>
      </c>
      <c r="AU37" t="s">
        <v>18</v>
      </c>
      <c r="AV37">
        <v>0</v>
      </c>
      <c r="AW37">
        <v>2</v>
      </c>
      <c r="AX37">
        <v>39579540</v>
      </c>
      <c r="AY37">
        <v>1</v>
      </c>
      <c r="AZ37">
        <v>0</v>
      </c>
      <c r="BA37">
        <v>43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Y37*Source!I32</f>
        <v>0</v>
      </c>
      <c r="CY37">
        <f>AA37</f>
        <v>58477.5</v>
      </c>
      <c r="CZ37">
        <f>AE37</f>
        <v>8475</v>
      </c>
      <c r="DA37">
        <f>AI37</f>
        <v>6.9</v>
      </c>
      <c r="DB37">
        <v>0</v>
      </c>
    </row>
    <row r="38" spans="1:106" x14ac:dyDescent="0.2">
      <c r="A38">
        <f>ROW(Source!A32)</f>
        <v>32</v>
      </c>
      <c r="B38">
        <v>39579451</v>
      </c>
      <c r="C38">
        <v>39579535</v>
      </c>
      <c r="D38">
        <v>36830504</v>
      </c>
      <c r="E38">
        <v>1</v>
      </c>
      <c r="F38">
        <v>1</v>
      </c>
      <c r="G38">
        <v>1</v>
      </c>
      <c r="H38">
        <v>3</v>
      </c>
      <c r="I38" t="s">
        <v>572</v>
      </c>
      <c r="J38" t="s">
        <v>573</v>
      </c>
      <c r="K38" t="s">
        <v>574</v>
      </c>
      <c r="L38">
        <v>1339</v>
      </c>
      <c r="N38">
        <v>1007</v>
      </c>
      <c r="O38" t="s">
        <v>86</v>
      </c>
      <c r="P38" t="s">
        <v>86</v>
      </c>
      <c r="Q38">
        <v>1</v>
      </c>
      <c r="W38">
        <v>0</v>
      </c>
      <c r="X38">
        <v>-2001482958</v>
      </c>
      <c r="Y38">
        <v>0</v>
      </c>
      <c r="AA38">
        <v>9867</v>
      </c>
      <c r="AB38">
        <v>0</v>
      </c>
      <c r="AC38">
        <v>0</v>
      </c>
      <c r="AD38">
        <v>0</v>
      </c>
      <c r="AE38">
        <v>1430</v>
      </c>
      <c r="AF38">
        <v>0</v>
      </c>
      <c r="AG38">
        <v>0</v>
      </c>
      <c r="AH38">
        <v>0</v>
      </c>
      <c r="AI38">
        <v>6.9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1.49</v>
      </c>
      <c r="AU38" t="s">
        <v>18</v>
      </c>
      <c r="AV38">
        <v>0</v>
      </c>
      <c r="AW38">
        <v>2</v>
      </c>
      <c r="AX38">
        <v>39579541</v>
      </c>
      <c r="AY38">
        <v>1</v>
      </c>
      <c r="AZ38">
        <v>0</v>
      </c>
      <c r="BA38">
        <v>44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Y38*Source!I32</f>
        <v>0</v>
      </c>
      <c r="CY38">
        <f>AA38</f>
        <v>9867</v>
      </c>
      <c r="CZ38">
        <f>AE38</f>
        <v>1430</v>
      </c>
      <c r="DA38">
        <f>AI38</f>
        <v>6.9</v>
      </c>
      <c r="DB38">
        <v>0</v>
      </c>
    </row>
    <row r="39" spans="1:106" x14ac:dyDescent="0.2">
      <c r="A39">
        <f>ROW(Source!A32)</f>
        <v>32</v>
      </c>
      <c r="B39">
        <v>39579451</v>
      </c>
      <c r="C39">
        <v>39579535</v>
      </c>
      <c r="D39">
        <v>36830508</v>
      </c>
      <c r="E39">
        <v>1</v>
      </c>
      <c r="F39">
        <v>1</v>
      </c>
      <c r="G39">
        <v>1</v>
      </c>
      <c r="H39">
        <v>3</v>
      </c>
      <c r="I39" t="s">
        <v>575</v>
      </c>
      <c r="J39" t="s">
        <v>576</v>
      </c>
      <c r="K39" t="s">
        <v>577</v>
      </c>
      <c r="L39">
        <v>1339</v>
      </c>
      <c r="N39">
        <v>1007</v>
      </c>
      <c r="O39" t="s">
        <v>86</v>
      </c>
      <c r="P39" t="s">
        <v>86</v>
      </c>
      <c r="Q39">
        <v>1</v>
      </c>
      <c r="W39">
        <v>0</v>
      </c>
      <c r="X39">
        <v>-1130628485</v>
      </c>
      <c r="Y39">
        <v>0</v>
      </c>
      <c r="AA39">
        <v>9108</v>
      </c>
      <c r="AB39">
        <v>0</v>
      </c>
      <c r="AC39">
        <v>0</v>
      </c>
      <c r="AD39">
        <v>0</v>
      </c>
      <c r="AE39">
        <v>1320</v>
      </c>
      <c r="AF39">
        <v>0</v>
      </c>
      <c r="AG39">
        <v>0</v>
      </c>
      <c r="AH39">
        <v>0</v>
      </c>
      <c r="AI39">
        <v>6.9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1.17</v>
      </c>
      <c r="AU39" t="s">
        <v>18</v>
      </c>
      <c r="AV39">
        <v>0</v>
      </c>
      <c r="AW39">
        <v>2</v>
      </c>
      <c r="AX39">
        <v>39579542</v>
      </c>
      <c r="AY39">
        <v>1</v>
      </c>
      <c r="AZ39">
        <v>0</v>
      </c>
      <c r="BA39">
        <v>45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Y39*Source!I32</f>
        <v>0</v>
      </c>
      <c r="CY39">
        <f>AA39</f>
        <v>9108</v>
      </c>
      <c r="CZ39">
        <f>AE39</f>
        <v>1320</v>
      </c>
      <c r="DA39">
        <f>AI39</f>
        <v>6.9</v>
      </c>
      <c r="DB39">
        <v>0</v>
      </c>
    </row>
    <row r="40" spans="1:106" x14ac:dyDescent="0.2">
      <c r="A40">
        <f>ROW(Source!A32)</f>
        <v>32</v>
      </c>
      <c r="B40">
        <v>39579451</v>
      </c>
      <c r="C40">
        <v>39579535</v>
      </c>
      <c r="D40">
        <v>36831264</v>
      </c>
      <c r="E40">
        <v>1</v>
      </c>
      <c r="F40">
        <v>1</v>
      </c>
      <c r="G40">
        <v>1</v>
      </c>
      <c r="H40">
        <v>3</v>
      </c>
      <c r="I40" t="s">
        <v>578</v>
      </c>
      <c r="J40" t="s">
        <v>579</v>
      </c>
      <c r="K40" t="s">
        <v>580</v>
      </c>
      <c r="L40">
        <v>1301</v>
      </c>
      <c r="N40">
        <v>1003</v>
      </c>
      <c r="O40" t="s">
        <v>131</v>
      </c>
      <c r="P40" t="s">
        <v>131</v>
      </c>
      <c r="Q40">
        <v>1</v>
      </c>
      <c r="W40">
        <v>0</v>
      </c>
      <c r="X40">
        <v>117883946</v>
      </c>
      <c r="Y40">
        <v>0</v>
      </c>
      <c r="AA40">
        <v>22.08</v>
      </c>
      <c r="AB40">
        <v>0</v>
      </c>
      <c r="AC40">
        <v>0</v>
      </c>
      <c r="AD40">
        <v>0</v>
      </c>
      <c r="AE40">
        <v>3.2</v>
      </c>
      <c r="AF40">
        <v>0</v>
      </c>
      <c r="AG40">
        <v>0</v>
      </c>
      <c r="AH40">
        <v>0</v>
      </c>
      <c r="AI40">
        <v>6.9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174</v>
      </c>
      <c r="AU40" t="s">
        <v>18</v>
      </c>
      <c r="AV40">
        <v>0</v>
      </c>
      <c r="AW40">
        <v>2</v>
      </c>
      <c r="AX40">
        <v>39579543</v>
      </c>
      <c r="AY40">
        <v>1</v>
      </c>
      <c r="AZ40">
        <v>0</v>
      </c>
      <c r="BA40">
        <v>46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Y40*Source!I32</f>
        <v>0</v>
      </c>
      <c r="CY40">
        <f>AA40</f>
        <v>22.08</v>
      </c>
      <c r="CZ40">
        <f>AE40</f>
        <v>3.2</v>
      </c>
      <c r="DA40">
        <f>AI40</f>
        <v>6.9</v>
      </c>
      <c r="DB40">
        <v>0</v>
      </c>
    </row>
    <row r="41" spans="1:106" x14ac:dyDescent="0.2">
      <c r="A41">
        <f>ROW(Source!A33)</f>
        <v>33</v>
      </c>
      <c r="B41">
        <v>39579451</v>
      </c>
      <c r="C41">
        <v>39579547</v>
      </c>
      <c r="D41">
        <v>37068148</v>
      </c>
      <c r="E41">
        <v>1</v>
      </c>
      <c r="F41">
        <v>1</v>
      </c>
      <c r="G41">
        <v>1</v>
      </c>
      <c r="H41">
        <v>1</v>
      </c>
      <c r="I41" t="s">
        <v>581</v>
      </c>
      <c r="J41" t="s">
        <v>3</v>
      </c>
      <c r="K41" t="s">
        <v>582</v>
      </c>
      <c r="L41">
        <v>1191</v>
      </c>
      <c r="N41">
        <v>1013</v>
      </c>
      <c r="O41" t="s">
        <v>519</v>
      </c>
      <c r="P41" t="s">
        <v>519</v>
      </c>
      <c r="Q41">
        <v>1</v>
      </c>
      <c r="W41">
        <v>0</v>
      </c>
      <c r="X41">
        <v>371339561</v>
      </c>
      <c r="Y41">
        <v>103.91</v>
      </c>
      <c r="AA41">
        <v>0</v>
      </c>
      <c r="AB41">
        <v>0</v>
      </c>
      <c r="AC41">
        <v>0</v>
      </c>
      <c r="AD41">
        <v>55.82</v>
      </c>
      <c r="AE41">
        <v>0</v>
      </c>
      <c r="AF41">
        <v>0</v>
      </c>
      <c r="AG41">
        <v>0</v>
      </c>
      <c r="AH41">
        <v>8.09</v>
      </c>
      <c r="AI41">
        <v>1</v>
      </c>
      <c r="AJ41">
        <v>1</v>
      </c>
      <c r="AK41">
        <v>1</v>
      </c>
      <c r="AL41">
        <v>6.9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3</v>
      </c>
      <c r="AT41">
        <v>103.91</v>
      </c>
      <c r="AU41" t="s">
        <v>3</v>
      </c>
      <c r="AV41">
        <v>1</v>
      </c>
      <c r="AW41">
        <v>2</v>
      </c>
      <c r="AX41">
        <v>39579548</v>
      </c>
      <c r="AY41">
        <v>1</v>
      </c>
      <c r="AZ41">
        <v>0</v>
      </c>
      <c r="BA41">
        <v>48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Y41*Source!I33</f>
        <v>6.328119</v>
      </c>
      <c r="CY41">
        <f>AD41</f>
        <v>55.82</v>
      </c>
      <c r="CZ41">
        <f>AH41</f>
        <v>8.09</v>
      </c>
      <c r="DA41">
        <f>AL41</f>
        <v>6.9</v>
      </c>
      <c r="DB41">
        <v>0</v>
      </c>
    </row>
    <row r="42" spans="1:106" x14ac:dyDescent="0.2">
      <c r="A42">
        <f>ROW(Source!A33)</f>
        <v>33</v>
      </c>
      <c r="B42">
        <v>39579451</v>
      </c>
      <c r="C42">
        <v>39579547</v>
      </c>
      <c r="D42">
        <v>37064876</v>
      </c>
      <c r="E42">
        <v>1</v>
      </c>
      <c r="F42">
        <v>1</v>
      </c>
      <c r="G42">
        <v>1</v>
      </c>
      <c r="H42">
        <v>1</v>
      </c>
      <c r="I42" t="s">
        <v>520</v>
      </c>
      <c r="J42" t="s">
        <v>3</v>
      </c>
      <c r="K42" t="s">
        <v>521</v>
      </c>
      <c r="L42">
        <v>1191</v>
      </c>
      <c r="N42">
        <v>1013</v>
      </c>
      <c r="O42" t="s">
        <v>519</v>
      </c>
      <c r="P42" t="s">
        <v>519</v>
      </c>
      <c r="Q42">
        <v>1</v>
      </c>
      <c r="W42">
        <v>0</v>
      </c>
      <c r="X42">
        <v>-1417349443</v>
      </c>
      <c r="Y42">
        <v>7.74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6.9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7.74</v>
      </c>
      <c r="AU42" t="s">
        <v>3</v>
      </c>
      <c r="AV42">
        <v>2</v>
      </c>
      <c r="AW42">
        <v>2</v>
      </c>
      <c r="AX42">
        <v>39579549</v>
      </c>
      <c r="AY42">
        <v>1</v>
      </c>
      <c r="AZ42">
        <v>0</v>
      </c>
      <c r="BA42">
        <v>49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Y42*Source!I33</f>
        <v>0.47136600000000001</v>
      </c>
      <c r="CY42">
        <f>AD42</f>
        <v>0</v>
      </c>
      <c r="CZ42">
        <f>AH42</f>
        <v>0</v>
      </c>
      <c r="DA42">
        <f>AL42</f>
        <v>1</v>
      </c>
      <c r="DB42">
        <v>0</v>
      </c>
    </row>
    <row r="43" spans="1:106" x14ac:dyDescent="0.2">
      <c r="A43">
        <f>ROW(Source!A33)</f>
        <v>33</v>
      </c>
      <c r="B43">
        <v>39579451</v>
      </c>
      <c r="C43">
        <v>39579547</v>
      </c>
      <c r="D43">
        <v>36882452</v>
      </c>
      <c r="E43">
        <v>1</v>
      </c>
      <c r="F43">
        <v>1</v>
      </c>
      <c r="G43">
        <v>1</v>
      </c>
      <c r="H43">
        <v>2</v>
      </c>
      <c r="I43" t="s">
        <v>522</v>
      </c>
      <c r="J43" t="s">
        <v>523</v>
      </c>
      <c r="K43" t="s">
        <v>524</v>
      </c>
      <c r="L43">
        <v>1368</v>
      </c>
      <c r="N43">
        <v>1011</v>
      </c>
      <c r="O43" t="s">
        <v>525</v>
      </c>
      <c r="P43" t="s">
        <v>525</v>
      </c>
      <c r="Q43">
        <v>1</v>
      </c>
      <c r="W43">
        <v>0</v>
      </c>
      <c r="X43">
        <v>1188625873</v>
      </c>
      <c r="Y43">
        <v>7.74</v>
      </c>
      <c r="AA43">
        <v>0</v>
      </c>
      <c r="AB43">
        <v>215.69</v>
      </c>
      <c r="AC43">
        <v>13.5</v>
      </c>
      <c r="AD43">
        <v>0</v>
      </c>
      <c r="AE43">
        <v>0</v>
      </c>
      <c r="AF43">
        <v>31.26</v>
      </c>
      <c r="AG43">
        <v>13.5</v>
      </c>
      <c r="AH43">
        <v>0</v>
      </c>
      <c r="AI43">
        <v>1</v>
      </c>
      <c r="AJ43">
        <v>6.9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3</v>
      </c>
      <c r="AT43">
        <v>7.74</v>
      </c>
      <c r="AU43" t="s">
        <v>3</v>
      </c>
      <c r="AV43">
        <v>0</v>
      </c>
      <c r="AW43">
        <v>2</v>
      </c>
      <c r="AX43">
        <v>39579550</v>
      </c>
      <c r="AY43">
        <v>1</v>
      </c>
      <c r="AZ43">
        <v>0</v>
      </c>
      <c r="BA43">
        <v>50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Y43*Source!I33</f>
        <v>0.47136600000000001</v>
      </c>
      <c r="CY43">
        <f>AB43</f>
        <v>215.69</v>
      </c>
      <c r="CZ43">
        <f>AF43</f>
        <v>31.26</v>
      </c>
      <c r="DA43">
        <f>AJ43</f>
        <v>6.9</v>
      </c>
      <c r="DB43">
        <v>0</v>
      </c>
    </row>
    <row r="44" spans="1:106" x14ac:dyDescent="0.2">
      <c r="A44">
        <f>ROW(Source!A34)</f>
        <v>34</v>
      </c>
      <c r="B44">
        <v>39579451</v>
      </c>
      <c r="C44">
        <v>39579567</v>
      </c>
      <c r="D44">
        <v>37072767</v>
      </c>
      <c r="E44">
        <v>1</v>
      </c>
      <c r="F44">
        <v>1</v>
      </c>
      <c r="G44">
        <v>1</v>
      </c>
      <c r="H44">
        <v>1</v>
      </c>
      <c r="I44" t="s">
        <v>583</v>
      </c>
      <c r="J44" t="s">
        <v>3</v>
      </c>
      <c r="K44" t="s">
        <v>584</v>
      </c>
      <c r="L44">
        <v>1191</v>
      </c>
      <c r="N44">
        <v>1013</v>
      </c>
      <c r="O44" t="s">
        <v>519</v>
      </c>
      <c r="P44" t="s">
        <v>519</v>
      </c>
      <c r="Q44">
        <v>1</v>
      </c>
      <c r="W44">
        <v>0</v>
      </c>
      <c r="X44">
        <v>-1027537862</v>
      </c>
      <c r="Y44">
        <v>4.2435</v>
      </c>
      <c r="AA44">
        <v>0</v>
      </c>
      <c r="AB44">
        <v>0</v>
      </c>
      <c r="AC44">
        <v>0</v>
      </c>
      <c r="AD44">
        <v>63.34</v>
      </c>
      <c r="AE44">
        <v>0</v>
      </c>
      <c r="AF44">
        <v>0</v>
      </c>
      <c r="AG44">
        <v>0</v>
      </c>
      <c r="AH44">
        <v>9.18</v>
      </c>
      <c r="AI44">
        <v>1</v>
      </c>
      <c r="AJ44">
        <v>1</v>
      </c>
      <c r="AK44">
        <v>1</v>
      </c>
      <c r="AL44">
        <v>6.9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3</v>
      </c>
      <c r="AT44">
        <v>3.69</v>
      </c>
      <c r="AU44" t="s">
        <v>79</v>
      </c>
      <c r="AV44">
        <v>1</v>
      </c>
      <c r="AW44">
        <v>2</v>
      </c>
      <c r="AX44">
        <v>39579568</v>
      </c>
      <c r="AY44">
        <v>1</v>
      </c>
      <c r="AZ44">
        <v>0</v>
      </c>
      <c r="BA44">
        <v>51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Y44*Source!I34</f>
        <v>5.4741150000000003</v>
      </c>
      <c r="CY44">
        <f>AD44</f>
        <v>63.34</v>
      </c>
      <c r="CZ44">
        <f>AH44</f>
        <v>9.18</v>
      </c>
      <c r="DA44">
        <f>AL44</f>
        <v>6.9</v>
      </c>
      <c r="DB44">
        <v>0</v>
      </c>
    </row>
    <row r="45" spans="1:106" x14ac:dyDescent="0.2">
      <c r="A45">
        <f>ROW(Source!A34)</f>
        <v>34</v>
      </c>
      <c r="B45">
        <v>39579451</v>
      </c>
      <c r="C45">
        <v>39579567</v>
      </c>
      <c r="D45">
        <v>37064876</v>
      </c>
      <c r="E45">
        <v>1</v>
      </c>
      <c r="F45">
        <v>1</v>
      </c>
      <c r="G45">
        <v>1</v>
      </c>
      <c r="H45">
        <v>1</v>
      </c>
      <c r="I45" t="s">
        <v>520</v>
      </c>
      <c r="J45" t="s">
        <v>3</v>
      </c>
      <c r="K45" t="s">
        <v>521</v>
      </c>
      <c r="L45">
        <v>1191</v>
      </c>
      <c r="N45">
        <v>1013</v>
      </c>
      <c r="O45" t="s">
        <v>519</v>
      </c>
      <c r="P45" t="s">
        <v>519</v>
      </c>
      <c r="Q45">
        <v>1</v>
      </c>
      <c r="W45">
        <v>0</v>
      </c>
      <c r="X45">
        <v>-1417349443</v>
      </c>
      <c r="Y45">
        <v>0.05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6.9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0.05</v>
      </c>
      <c r="AU45" t="s">
        <v>3</v>
      </c>
      <c r="AV45">
        <v>2</v>
      </c>
      <c r="AW45">
        <v>2</v>
      </c>
      <c r="AX45">
        <v>39579569</v>
      </c>
      <c r="AY45">
        <v>1</v>
      </c>
      <c r="AZ45">
        <v>2048</v>
      </c>
      <c r="BA45">
        <v>52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Y45*Source!I34</f>
        <v>6.4500000000000002E-2</v>
      </c>
      <c r="CY45">
        <f>AD45</f>
        <v>0</v>
      </c>
      <c r="CZ45">
        <f>AH45</f>
        <v>0</v>
      </c>
      <c r="DA45">
        <f>AL45</f>
        <v>1</v>
      </c>
      <c r="DB45">
        <v>0</v>
      </c>
    </row>
    <row r="46" spans="1:106" x14ac:dyDescent="0.2">
      <c r="A46">
        <f>ROW(Source!A34)</f>
        <v>34</v>
      </c>
      <c r="B46">
        <v>39579451</v>
      </c>
      <c r="C46">
        <v>39579567</v>
      </c>
      <c r="D46">
        <v>36882448</v>
      </c>
      <c r="E46">
        <v>1</v>
      </c>
      <c r="F46">
        <v>1</v>
      </c>
      <c r="G46">
        <v>1</v>
      </c>
      <c r="H46">
        <v>2</v>
      </c>
      <c r="I46" t="s">
        <v>585</v>
      </c>
      <c r="J46" t="s">
        <v>586</v>
      </c>
      <c r="K46" t="s">
        <v>587</v>
      </c>
      <c r="L46">
        <v>1368</v>
      </c>
      <c r="N46">
        <v>1011</v>
      </c>
      <c r="O46" t="s">
        <v>525</v>
      </c>
      <c r="P46" t="s">
        <v>525</v>
      </c>
      <c r="Q46">
        <v>1</v>
      </c>
      <c r="W46">
        <v>0</v>
      </c>
      <c r="X46">
        <v>368031958</v>
      </c>
      <c r="Y46">
        <v>1.2500000000000001E-2</v>
      </c>
      <c r="AA46">
        <v>0</v>
      </c>
      <c r="AB46">
        <v>190.85</v>
      </c>
      <c r="AC46">
        <v>11.6</v>
      </c>
      <c r="AD46">
        <v>0</v>
      </c>
      <c r="AE46">
        <v>0</v>
      </c>
      <c r="AF46">
        <v>27.66</v>
      </c>
      <c r="AG46">
        <v>11.6</v>
      </c>
      <c r="AH46">
        <v>0</v>
      </c>
      <c r="AI46">
        <v>1</v>
      </c>
      <c r="AJ46">
        <v>6.9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0.01</v>
      </c>
      <c r="AU46" t="s">
        <v>78</v>
      </c>
      <c r="AV46">
        <v>0</v>
      </c>
      <c r="AW46">
        <v>2</v>
      </c>
      <c r="AX46">
        <v>39579570</v>
      </c>
      <c r="AY46">
        <v>1</v>
      </c>
      <c r="AZ46">
        <v>0</v>
      </c>
      <c r="BA46">
        <v>53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Y46*Source!I34</f>
        <v>1.6125E-2</v>
      </c>
      <c r="CY46">
        <f>AB46</f>
        <v>190.85</v>
      </c>
      <c r="CZ46">
        <f>AF46</f>
        <v>27.66</v>
      </c>
      <c r="DA46">
        <f>AJ46</f>
        <v>6.9</v>
      </c>
      <c r="DB46">
        <v>0</v>
      </c>
    </row>
    <row r="47" spans="1:106" x14ac:dyDescent="0.2">
      <c r="A47">
        <f>ROW(Source!A34)</f>
        <v>34</v>
      </c>
      <c r="B47">
        <v>39579451</v>
      </c>
      <c r="C47">
        <v>39579567</v>
      </c>
      <c r="D47">
        <v>36883554</v>
      </c>
      <c r="E47">
        <v>1</v>
      </c>
      <c r="F47">
        <v>1</v>
      </c>
      <c r="G47">
        <v>1</v>
      </c>
      <c r="H47">
        <v>2</v>
      </c>
      <c r="I47" t="s">
        <v>526</v>
      </c>
      <c r="J47" t="s">
        <v>527</v>
      </c>
      <c r="K47" t="s">
        <v>528</v>
      </c>
      <c r="L47">
        <v>1368</v>
      </c>
      <c r="N47">
        <v>1011</v>
      </c>
      <c r="O47" t="s">
        <v>525</v>
      </c>
      <c r="P47" t="s">
        <v>525</v>
      </c>
      <c r="Q47">
        <v>1</v>
      </c>
      <c r="W47">
        <v>0</v>
      </c>
      <c r="X47">
        <v>1372534845</v>
      </c>
      <c r="Y47">
        <v>0.05</v>
      </c>
      <c r="AA47">
        <v>0</v>
      </c>
      <c r="AB47">
        <v>453.4</v>
      </c>
      <c r="AC47">
        <v>11.6</v>
      </c>
      <c r="AD47">
        <v>0</v>
      </c>
      <c r="AE47">
        <v>0</v>
      </c>
      <c r="AF47">
        <v>65.709999999999994</v>
      </c>
      <c r="AG47">
        <v>11.6</v>
      </c>
      <c r="AH47">
        <v>0</v>
      </c>
      <c r="AI47">
        <v>1</v>
      </c>
      <c r="AJ47">
        <v>6.9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0.04</v>
      </c>
      <c r="AU47" t="s">
        <v>78</v>
      </c>
      <c r="AV47">
        <v>0</v>
      </c>
      <c r="AW47">
        <v>2</v>
      </c>
      <c r="AX47">
        <v>39579571</v>
      </c>
      <c r="AY47">
        <v>1</v>
      </c>
      <c r="AZ47">
        <v>0</v>
      </c>
      <c r="BA47">
        <v>54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Y47*Source!I34</f>
        <v>6.4500000000000002E-2</v>
      </c>
      <c r="CY47">
        <f>AB47</f>
        <v>453.4</v>
      </c>
      <c r="CZ47">
        <f>AF47</f>
        <v>65.709999999999994</v>
      </c>
      <c r="DA47">
        <f>AJ47</f>
        <v>6.9</v>
      </c>
      <c r="DB47">
        <v>0</v>
      </c>
    </row>
    <row r="48" spans="1:106" x14ac:dyDescent="0.2">
      <c r="A48">
        <f>ROW(Source!A34)</f>
        <v>34</v>
      </c>
      <c r="B48">
        <v>39579451</v>
      </c>
      <c r="C48">
        <v>39579567</v>
      </c>
      <c r="D48">
        <v>36884416</v>
      </c>
      <c r="E48">
        <v>1</v>
      </c>
      <c r="F48">
        <v>1</v>
      </c>
      <c r="G48">
        <v>1</v>
      </c>
      <c r="H48">
        <v>2</v>
      </c>
      <c r="I48" t="s">
        <v>588</v>
      </c>
      <c r="J48" t="s">
        <v>589</v>
      </c>
      <c r="K48" t="s">
        <v>590</v>
      </c>
      <c r="L48">
        <v>1368</v>
      </c>
      <c r="N48">
        <v>1011</v>
      </c>
      <c r="O48" t="s">
        <v>525</v>
      </c>
      <c r="P48" t="s">
        <v>525</v>
      </c>
      <c r="Q48">
        <v>1</v>
      </c>
      <c r="W48">
        <v>0</v>
      </c>
      <c r="X48">
        <v>271748449</v>
      </c>
      <c r="Y48">
        <v>3.5249999999999999</v>
      </c>
      <c r="AA48">
        <v>0</v>
      </c>
      <c r="AB48">
        <v>47.06</v>
      </c>
      <c r="AC48">
        <v>0</v>
      </c>
      <c r="AD48">
        <v>0</v>
      </c>
      <c r="AE48">
        <v>0</v>
      </c>
      <c r="AF48">
        <v>6.82</v>
      </c>
      <c r="AG48">
        <v>0</v>
      </c>
      <c r="AH48">
        <v>0</v>
      </c>
      <c r="AI48">
        <v>1</v>
      </c>
      <c r="AJ48">
        <v>6.9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3</v>
      </c>
      <c r="AT48">
        <v>2.82</v>
      </c>
      <c r="AU48" t="s">
        <v>78</v>
      </c>
      <c r="AV48">
        <v>0</v>
      </c>
      <c r="AW48">
        <v>2</v>
      </c>
      <c r="AX48">
        <v>39579572</v>
      </c>
      <c r="AY48">
        <v>1</v>
      </c>
      <c r="AZ48">
        <v>0</v>
      </c>
      <c r="BA48">
        <v>55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Y48*Source!I34</f>
        <v>4.54725</v>
      </c>
      <c r="CY48">
        <f>AB48</f>
        <v>47.06</v>
      </c>
      <c r="CZ48">
        <f>AF48</f>
        <v>6.82</v>
      </c>
      <c r="DA48">
        <f>AJ48</f>
        <v>6.9</v>
      </c>
      <c r="DB48">
        <v>0</v>
      </c>
    </row>
    <row r="49" spans="1:106" x14ac:dyDescent="0.2">
      <c r="A49">
        <f>ROW(Source!A34)</f>
        <v>34</v>
      </c>
      <c r="B49">
        <v>39579451</v>
      </c>
      <c r="C49">
        <v>39579567</v>
      </c>
      <c r="D49">
        <v>36801792</v>
      </c>
      <c r="E49">
        <v>1</v>
      </c>
      <c r="F49">
        <v>1</v>
      </c>
      <c r="G49">
        <v>1</v>
      </c>
      <c r="H49">
        <v>3</v>
      </c>
      <c r="I49" t="s">
        <v>564</v>
      </c>
      <c r="J49" t="s">
        <v>565</v>
      </c>
      <c r="K49" t="s">
        <v>566</v>
      </c>
      <c r="L49">
        <v>1339</v>
      </c>
      <c r="N49">
        <v>1007</v>
      </c>
      <c r="O49" t="s">
        <v>86</v>
      </c>
      <c r="P49" t="s">
        <v>86</v>
      </c>
      <c r="Q49">
        <v>1</v>
      </c>
      <c r="W49">
        <v>0</v>
      </c>
      <c r="X49">
        <v>-1660354250</v>
      </c>
      <c r="Y49">
        <v>0.01</v>
      </c>
      <c r="AA49">
        <v>16.84</v>
      </c>
      <c r="AB49">
        <v>0</v>
      </c>
      <c r="AC49">
        <v>0</v>
      </c>
      <c r="AD49">
        <v>0</v>
      </c>
      <c r="AE49">
        <v>2.44</v>
      </c>
      <c r="AF49">
        <v>0</v>
      </c>
      <c r="AG49">
        <v>0</v>
      </c>
      <c r="AH49">
        <v>0</v>
      </c>
      <c r="AI49">
        <v>6.9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0.01</v>
      </c>
      <c r="AU49" t="s">
        <v>3</v>
      </c>
      <c r="AV49">
        <v>0</v>
      </c>
      <c r="AW49">
        <v>2</v>
      </c>
      <c r="AX49">
        <v>39579573</v>
      </c>
      <c r="AY49">
        <v>1</v>
      </c>
      <c r="AZ49">
        <v>0</v>
      </c>
      <c r="BA49">
        <v>56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Y49*Source!I34</f>
        <v>1.29E-2</v>
      </c>
      <c r="CY49">
        <f>AA49</f>
        <v>16.84</v>
      </c>
      <c r="CZ49">
        <f>AE49</f>
        <v>2.44</v>
      </c>
      <c r="DA49">
        <f>AI49</f>
        <v>6.9</v>
      </c>
      <c r="DB49">
        <v>0</v>
      </c>
    </row>
    <row r="50" spans="1:106" x14ac:dyDescent="0.2">
      <c r="A50">
        <f>ROW(Source!A34)</f>
        <v>34</v>
      </c>
      <c r="B50">
        <v>39579451</v>
      </c>
      <c r="C50">
        <v>39579567</v>
      </c>
      <c r="D50">
        <v>36805524</v>
      </c>
      <c r="E50">
        <v>1</v>
      </c>
      <c r="F50">
        <v>1</v>
      </c>
      <c r="G50">
        <v>1</v>
      </c>
      <c r="H50">
        <v>3</v>
      </c>
      <c r="I50" t="s">
        <v>591</v>
      </c>
      <c r="J50" t="s">
        <v>592</v>
      </c>
      <c r="K50" t="s">
        <v>593</v>
      </c>
      <c r="L50">
        <v>1346</v>
      </c>
      <c r="N50">
        <v>1009</v>
      </c>
      <c r="O50" t="s">
        <v>118</v>
      </c>
      <c r="P50" t="s">
        <v>118</v>
      </c>
      <c r="Q50">
        <v>1</v>
      </c>
      <c r="W50">
        <v>0</v>
      </c>
      <c r="X50">
        <v>813963326</v>
      </c>
      <c r="Y50">
        <v>1</v>
      </c>
      <c r="AA50">
        <v>12.56</v>
      </c>
      <c r="AB50">
        <v>0</v>
      </c>
      <c r="AC50">
        <v>0</v>
      </c>
      <c r="AD50">
        <v>0</v>
      </c>
      <c r="AE50">
        <v>1.82</v>
      </c>
      <c r="AF50">
        <v>0</v>
      </c>
      <c r="AG50">
        <v>0</v>
      </c>
      <c r="AH50">
        <v>0</v>
      </c>
      <c r="AI50">
        <v>6.9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1</v>
      </c>
      <c r="AU50" t="s">
        <v>3</v>
      </c>
      <c r="AV50">
        <v>0</v>
      </c>
      <c r="AW50">
        <v>2</v>
      </c>
      <c r="AX50">
        <v>39579574</v>
      </c>
      <c r="AY50">
        <v>1</v>
      </c>
      <c r="AZ50">
        <v>0</v>
      </c>
      <c r="BA50">
        <v>57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Y50*Source!I34</f>
        <v>1.29</v>
      </c>
      <c r="CY50">
        <f>AA50</f>
        <v>12.56</v>
      </c>
      <c r="CZ50">
        <f>AE50</f>
        <v>1.82</v>
      </c>
      <c r="DA50">
        <f>AI50</f>
        <v>6.9</v>
      </c>
      <c r="DB50">
        <v>0</v>
      </c>
    </row>
    <row r="51" spans="1:106" x14ac:dyDescent="0.2">
      <c r="A51">
        <f>ROW(Source!A34)</f>
        <v>34</v>
      </c>
      <c r="B51">
        <v>39579451</v>
      </c>
      <c r="C51">
        <v>39579567</v>
      </c>
      <c r="D51">
        <v>36837972</v>
      </c>
      <c r="E51">
        <v>1</v>
      </c>
      <c r="F51">
        <v>1</v>
      </c>
      <c r="G51">
        <v>1</v>
      </c>
      <c r="H51">
        <v>3</v>
      </c>
      <c r="I51" t="s">
        <v>116</v>
      </c>
      <c r="J51" t="s">
        <v>119</v>
      </c>
      <c r="K51" t="s">
        <v>117</v>
      </c>
      <c r="L51">
        <v>1346</v>
      </c>
      <c r="N51">
        <v>1009</v>
      </c>
      <c r="O51" t="s">
        <v>118</v>
      </c>
      <c r="P51" t="s">
        <v>118</v>
      </c>
      <c r="Q51">
        <v>1</v>
      </c>
      <c r="W51">
        <v>0</v>
      </c>
      <c r="X51">
        <v>303141801</v>
      </c>
      <c r="Y51">
        <v>13.8</v>
      </c>
      <c r="AA51">
        <v>105.23</v>
      </c>
      <c r="AB51">
        <v>0</v>
      </c>
      <c r="AC51">
        <v>0</v>
      </c>
      <c r="AD51">
        <v>0</v>
      </c>
      <c r="AE51">
        <v>15.25</v>
      </c>
      <c r="AF51">
        <v>0</v>
      </c>
      <c r="AG51">
        <v>0</v>
      </c>
      <c r="AH51">
        <v>0</v>
      </c>
      <c r="AI51">
        <v>6.9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13.8</v>
      </c>
      <c r="AU51" t="s">
        <v>3</v>
      </c>
      <c r="AV51">
        <v>0</v>
      </c>
      <c r="AW51">
        <v>2</v>
      </c>
      <c r="AX51">
        <v>39579575</v>
      </c>
      <c r="AY51">
        <v>1</v>
      </c>
      <c r="AZ51">
        <v>0</v>
      </c>
      <c r="BA51">
        <v>58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Y51*Source!I34</f>
        <v>17.802000000000003</v>
      </c>
      <c r="CY51">
        <f>AA51</f>
        <v>105.23</v>
      </c>
      <c r="CZ51">
        <f>AE51</f>
        <v>15.25</v>
      </c>
      <c r="DA51">
        <f>AI51</f>
        <v>6.9</v>
      </c>
      <c r="DB51">
        <v>0</v>
      </c>
    </row>
    <row r="52" spans="1:106" x14ac:dyDescent="0.2">
      <c r="A52">
        <f>ROW(Source!A35)</f>
        <v>35</v>
      </c>
      <c r="B52">
        <v>39579451</v>
      </c>
      <c r="C52">
        <v>39579552</v>
      </c>
      <c r="D52">
        <v>37068121</v>
      </c>
      <c r="E52">
        <v>1</v>
      </c>
      <c r="F52">
        <v>1</v>
      </c>
      <c r="G52">
        <v>1</v>
      </c>
      <c r="H52">
        <v>1</v>
      </c>
      <c r="I52" t="s">
        <v>559</v>
      </c>
      <c r="J52" t="s">
        <v>3</v>
      </c>
      <c r="K52" t="s">
        <v>560</v>
      </c>
      <c r="L52">
        <v>1191</v>
      </c>
      <c r="N52">
        <v>1013</v>
      </c>
      <c r="O52" t="s">
        <v>519</v>
      </c>
      <c r="P52" t="s">
        <v>519</v>
      </c>
      <c r="Q52">
        <v>1</v>
      </c>
      <c r="W52">
        <v>0</v>
      </c>
      <c r="X52">
        <v>-1366118074</v>
      </c>
      <c r="Y52">
        <v>45.436499999999995</v>
      </c>
      <c r="AA52">
        <v>0</v>
      </c>
      <c r="AB52">
        <v>0</v>
      </c>
      <c r="AC52">
        <v>0</v>
      </c>
      <c r="AD52">
        <v>54.79</v>
      </c>
      <c r="AE52">
        <v>0</v>
      </c>
      <c r="AF52">
        <v>0</v>
      </c>
      <c r="AG52">
        <v>0</v>
      </c>
      <c r="AH52">
        <v>7.94</v>
      </c>
      <c r="AI52">
        <v>1</v>
      </c>
      <c r="AJ52">
        <v>1</v>
      </c>
      <c r="AK52">
        <v>1</v>
      </c>
      <c r="AL52">
        <v>6.9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3</v>
      </c>
      <c r="AT52">
        <v>39.51</v>
      </c>
      <c r="AU52" t="s">
        <v>79</v>
      </c>
      <c r="AV52">
        <v>1</v>
      </c>
      <c r="AW52">
        <v>2</v>
      </c>
      <c r="AX52">
        <v>39579553</v>
      </c>
      <c r="AY52">
        <v>1</v>
      </c>
      <c r="AZ52">
        <v>0</v>
      </c>
      <c r="BA52">
        <v>59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Y52*Source!I35</f>
        <v>58.613084999999998</v>
      </c>
      <c r="CY52">
        <f>AD52</f>
        <v>54.79</v>
      </c>
      <c r="CZ52">
        <f>AH52</f>
        <v>7.94</v>
      </c>
      <c r="DA52">
        <f>AL52</f>
        <v>6.9</v>
      </c>
      <c r="DB52">
        <v>0</v>
      </c>
    </row>
    <row r="53" spans="1:106" x14ac:dyDescent="0.2">
      <c r="A53">
        <f>ROW(Source!A35)</f>
        <v>35</v>
      </c>
      <c r="B53">
        <v>39579451</v>
      </c>
      <c r="C53">
        <v>39579552</v>
      </c>
      <c r="D53">
        <v>37064876</v>
      </c>
      <c r="E53">
        <v>1</v>
      </c>
      <c r="F53">
        <v>1</v>
      </c>
      <c r="G53">
        <v>1</v>
      </c>
      <c r="H53">
        <v>1</v>
      </c>
      <c r="I53" t="s">
        <v>520</v>
      </c>
      <c r="J53" t="s">
        <v>3</v>
      </c>
      <c r="K53" t="s">
        <v>521</v>
      </c>
      <c r="L53">
        <v>1191</v>
      </c>
      <c r="N53">
        <v>1013</v>
      </c>
      <c r="O53" t="s">
        <v>519</v>
      </c>
      <c r="P53" t="s">
        <v>519</v>
      </c>
      <c r="Q53">
        <v>1</v>
      </c>
      <c r="W53">
        <v>0</v>
      </c>
      <c r="X53">
        <v>-1417349443</v>
      </c>
      <c r="Y53">
        <v>1.27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6.9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3</v>
      </c>
      <c r="AT53">
        <v>1.27</v>
      </c>
      <c r="AU53" t="s">
        <v>3</v>
      </c>
      <c r="AV53">
        <v>2</v>
      </c>
      <c r="AW53">
        <v>2</v>
      </c>
      <c r="AX53">
        <v>39579554</v>
      </c>
      <c r="AY53">
        <v>1</v>
      </c>
      <c r="AZ53">
        <v>2048</v>
      </c>
      <c r="BA53">
        <v>60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Y53*Source!I35</f>
        <v>1.6383000000000001</v>
      </c>
      <c r="CY53">
        <f>AD53</f>
        <v>0</v>
      </c>
      <c r="CZ53">
        <f>AH53</f>
        <v>0</v>
      </c>
      <c r="DA53">
        <f>AL53</f>
        <v>1</v>
      </c>
      <c r="DB53">
        <v>0</v>
      </c>
    </row>
    <row r="54" spans="1:106" x14ac:dyDescent="0.2">
      <c r="A54">
        <f>ROW(Source!A35)</f>
        <v>35</v>
      </c>
      <c r="B54">
        <v>39579451</v>
      </c>
      <c r="C54">
        <v>39579552</v>
      </c>
      <c r="D54">
        <v>36882452</v>
      </c>
      <c r="E54">
        <v>1</v>
      </c>
      <c r="F54">
        <v>1</v>
      </c>
      <c r="G54">
        <v>1</v>
      </c>
      <c r="H54">
        <v>2</v>
      </c>
      <c r="I54" t="s">
        <v>522</v>
      </c>
      <c r="J54" t="s">
        <v>523</v>
      </c>
      <c r="K54" t="s">
        <v>524</v>
      </c>
      <c r="L54">
        <v>1368</v>
      </c>
      <c r="N54">
        <v>1011</v>
      </c>
      <c r="O54" t="s">
        <v>525</v>
      </c>
      <c r="P54" t="s">
        <v>525</v>
      </c>
      <c r="Q54">
        <v>1</v>
      </c>
      <c r="W54">
        <v>0</v>
      </c>
      <c r="X54">
        <v>1188625873</v>
      </c>
      <c r="Y54">
        <v>1.5874999999999999</v>
      </c>
      <c r="AA54">
        <v>0</v>
      </c>
      <c r="AB54">
        <v>215.69</v>
      </c>
      <c r="AC54">
        <v>13.5</v>
      </c>
      <c r="AD54">
        <v>0</v>
      </c>
      <c r="AE54">
        <v>0</v>
      </c>
      <c r="AF54">
        <v>31.26</v>
      </c>
      <c r="AG54">
        <v>13.5</v>
      </c>
      <c r="AH54">
        <v>0</v>
      </c>
      <c r="AI54">
        <v>1</v>
      </c>
      <c r="AJ54">
        <v>6.9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3</v>
      </c>
      <c r="AT54">
        <v>1.27</v>
      </c>
      <c r="AU54" t="s">
        <v>78</v>
      </c>
      <c r="AV54">
        <v>0</v>
      </c>
      <c r="AW54">
        <v>2</v>
      </c>
      <c r="AX54">
        <v>39579555</v>
      </c>
      <c r="AY54">
        <v>1</v>
      </c>
      <c r="AZ54">
        <v>0</v>
      </c>
      <c r="BA54">
        <v>61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Y54*Source!I35</f>
        <v>2.0478749999999999</v>
      </c>
      <c r="CY54">
        <f>AB54</f>
        <v>215.69</v>
      </c>
      <c r="CZ54">
        <f>AF54</f>
        <v>31.26</v>
      </c>
      <c r="DA54">
        <f>AJ54</f>
        <v>6.9</v>
      </c>
      <c r="DB54">
        <v>0</v>
      </c>
    </row>
    <row r="55" spans="1:106" x14ac:dyDescent="0.2">
      <c r="A55">
        <f>ROW(Source!A35)</f>
        <v>35</v>
      </c>
      <c r="B55">
        <v>39579451</v>
      </c>
      <c r="C55">
        <v>39579552</v>
      </c>
      <c r="D55">
        <v>36882569</v>
      </c>
      <c r="E55">
        <v>1</v>
      </c>
      <c r="F55">
        <v>1</v>
      </c>
      <c r="G55">
        <v>1</v>
      </c>
      <c r="H55">
        <v>2</v>
      </c>
      <c r="I55" t="s">
        <v>561</v>
      </c>
      <c r="J55" t="s">
        <v>562</v>
      </c>
      <c r="K55" t="s">
        <v>563</v>
      </c>
      <c r="L55">
        <v>1368</v>
      </c>
      <c r="N55">
        <v>1011</v>
      </c>
      <c r="O55" t="s">
        <v>525</v>
      </c>
      <c r="P55" t="s">
        <v>525</v>
      </c>
      <c r="Q55">
        <v>1</v>
      </c>
      <c r="W55">
        <v>0</v>
      </c>
      <c r="X55">
        <v>126902709</v>
      </c>
      <c r="Y55">
        <v>11.3375</v>
      </c>
      <c r="AA55">
        <v>0</v>
      </c>
      <c r="AB55">
        <v>3.45</v>
      </c>
      <c r="AC55">
        <v>0</v>
      </c>
      <c r="AD55">
        <v>0</v>
      </c>
      <c r="AE55">
        <v>0</v>
      </c>
      <c r="AF55">
        <v>0.5</v>
      </c>
      <c r="AG55">
        <v>0</v>
      </c>
      <c r="AH55">
        <v>0</v>
      </c>
      <c r="AI55">
        <v>1</v>
      </c>
      <c r="AJ55">
        <v>6.9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9.07</v>
      </c>
      <c r="AU55" t="s">
        <v>78</v>
      </c>
      <c r="AV55">
        <v>0</v>
      </c>
      <c r="AW55">
        <v>2</v>
      </c>
      <c r="AX55">
        <v>39579556</v>
      </c>
      <c r="AY55">
        <v>1</v>
      </c>
      <c r="AZ55">
        <v>0</v>
      </c>
      <c r="BA55">
        <v>62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Y55*Source!I35</f>
        <v>14.625375</v>
      </c>
      <c r="CY55">
        <f>AB55</f>
        <v>3.45</v>
      </c>
      <c r="CZ55">
        <f>AF55</f>
        <v>0.5</v>
      </c>
      <c r="DA55">
        <f>AJ55</f>
        <v>6.9</v>
      </c>
      <c r="DB55">
        <v>0</v>
      </c>
    </row>
    <row r="56" spans="1:106" x14ac:dyDescent="0.2">
      <c r="A56">
        <f>ROW(Source!A35)</f>
        <v>35</v>
      </c>
      <c r="B56">
        <v>39579451</v>
      </c>
      <c r="C56">
        <v>39579552</v>
      </c>
      <c r="D56">
        <v>36801792</v>
      </c>
      <c r="E56">
        <v>1</v>
      </c>
      <c r="F56">
        <v>1</v>
      </c>
      <c r="G56">
        <v>1</v>
      </c>
      <c r="H56">
        <v>3</v>
      </c>
      <c r="I56" t="s">
        <v>564</v>
      </c>
      <c r="J56" t="s">
        <v>565</v>
      </c>
      <c r="K56" t="s">
        <v>566</v>
      </c>
      <c r="L56">
        <v>1339</v>
      </c>
      <c r="N56">
        <v>1007</v>
      </c>
      <c r="O56" t="s">
        <v>86</v>
      </c>
      <c r="P56" t="s">
        <v>86</v>
      </c>
      <c r="Q56">
        <v>1</v>
      </c>
      <c r="W56">
        <v>0</v>
      </c>
      <c r="X56">
        <v>-1660354250</v>
      </c>
      <c r="Y56">
        <v>3.5</v>
      </c>
      <c r="AA56">
        <v>16.84</v>
      </c>
      <c r="AB56">
        <v>0</v>
      </c>
      <c r="AC56">
        <v>0</v>
      </c>
      <c r="AD56">
        <v>0</v>
      </c>
      <c r="AE56">
        <v>2.44</v>
      </c>
      <c r="AF56">
        <v>0</v>
      </c>
      <c r="AG56">
        <v>0</v>
      </c>
      <c r="AH56">
        <v>0</v>
      </c>
      <c r="AI56">
        <v>6.9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3.5</v>
      </c>
      <c r="AU56" t="s">
        <v>3</v>
      </c>
      <c r="AV56">
        <v>0</v>
      </c>
      <c r="AW56">
        <v>2</v>
      </c>
      <c r="AX56">
        <v>39579557</v>
      </c>
      <c r="AY56">
        <v>1</v>
      </c>
      <c r="AZ56">
        <v>0</v>
      </c>
      <c r="BA56">
        <v>63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Y56*Source!I35</f>
        <v>4.5150000000000006</v>
      </c>
      <c r="CY56">
        <f>AA56</f>
        <v>16.84</v>
      </c>
      <c r="CZ56">
        <f>AE56</f>
        <v>2.44</v>
      </c>
      <c r="DA56">
        <f>AI56</f>
        <v>6.9</v>
      </c>
      <c r="DB56">
        <v>0</v>
      </c>
    </row>
    <row r="57" spans="1:106" x14ac:dyDescent="0.2">
      <c r="A57">
        <f>ROW(Source!A35)</f>
        <v>35</v>
      </c>
      <c r="B57">
        <v>39579451</v>
      </c>
      <c r="C57">
        <v>39579552</v>
      </c>
      <c r="D57">
        <v>36797146</v>
      </c>
      <c r="E57">
        <v>17</v>
      </c>
      <c r="F57">
        <v>1</v>
      </c>
      <c r="G57">
        <v>1</v>
      </c>
      <c r="H57">
        <v>3</v>
      </c>
      <c r="I57" t="s">
        <v>89</v>
      </c>
      <c r="J57" t="s">
        <v>3</v>
      </c>
      <c r="K57" t="s">
        <v>90</v>
      </c>
      <c r="L57">
        <v>1339</v>
      </c>
      <c r="N57">
        <v>1007</v>
      </c>
      <c r="O57" t="s">
        <v>86</v>
      </c>
      <c r="P57" t="s">
        <v>86</v>
      </c>
      <c r="Q57">
        <v>1</v>
      </c>
      <c r="W57">
        <v>0</v>
      </c>
      <c r="X57">
        <v>-2113302258</v>
      </c>
      <c r="Y57">
        <v>2.04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6.9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3</v>
      </c>
      <c r="AT57">
        <v>2.04</v>
      </c>
      <c r="AU57" t="s">
        <v>3</v>
      </c>
      <c r="AV57">
        <v>0</v>
      </c>
      <c r="AW57">
        <v>2</v>
      </c>
      <c r="AX57">
        <v>39579558</v>
      </c>
      <c r="AY57">
        <v>1</v>
      </c>
      <c r="AZ57">
        <v>0</v>
      </c>
      <c r="BA57">
        <v>64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Y57*Source!I35</f>
        <v>2.6316000000000002</v>
      </c>
      <c r="CY57">
        <f>AA57</f>
        <v>0</v>
      </c>
      <c r="CZ57">
        <f>AE57</f>
        <v>0</v>
      </c>
      <c r="DA57">
        <f>AI57</f>
        <v>6.9</v>
      </c>
      <c r="DB57">
        <v>0</v>
      </c>
    </row>
    <row r="58" spans="1:106" x14ac:dyDescent="0.2">
      <c r="A58">
        <f>ROW(Source!A35)</f>
        <v>35</v>
      </c>
      <c r="B58">
        <v>39579451</v>
      </c>
      <c r="C58">
        <v>39579552</v>
      </c>
      <c r="D58">
        <v>36807342</v>
      </c>
      <c r="E58">
        <v>1</v>
      </c>
      <c r="F58">
        <v>1</v>
      </c>
      <c r="G58">
        <v>1</v>
      </c>
      <c r="H58">
        <v>3</v>
      </c>
      <c r="I58" t="s">
        <v>84</v>
      </c>
      <c r="J58" t="s">
        <v>87</v>
      </c>
      <c r="K58" t="s">
        <v>85</v>
      </c>
      <c r="L58">
        <v>1339</v>
      </c>
      <c r="N58">
        <v>1007</v>
      </c>
      <c r="O58" t="s">
        <v>86</v>
      </c>
      <c r="P58" t="s">
        <v>86</v>
      </c>
      <c r="Q58">
        <v>1</v>
      </c>
      <c r="W58">
        <v>0</v>
      </c>
      <c r="X58">
        <v>519185539</v>
      </c>
      <c r="Y58">
        <v>2.04</v>
      </c>
      <c r="AA58">
        <v>3586.62</v>
      </c>
      <c r="AB58">
        <v>0</v>
      </c>
      <c r="AC58">
        <v>0</v>
      </c>
      <c r="AD58">
        <v>0</v>
      </c>
      <c r="AE58">
        <v>519.79999999999995</v>
      </c>
      <c r="AF58">
        <v>0</v>
      </c>
      <c r="AG58">
        <v>0</v>
      </c>
      <c r="AH58">
        <v>0</v>
      </c>
      <c r="AI58">
        <v>6.9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3</v>
      </c>
      <c r="AT58">
        <v>2.04</v>
      </c>
      <c r="AU58" t="s">
        <v>3</v>
      </c>
      <c r="AV58">
        <v>0</v>
      </c>
      <c r="AW58">
        <v>1</v>
      </c>
      <c r="AX58">
        <v>-1</v>
      </c>
      <c r="AY58">
        <v>0</v>
      </c>
      <c r="AZ58">
        <v>0</v>
      </c>
      <c r="BA58" t="s">
        <v>3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Y58*Source!I35</f>
        <v>2.6316000000000002</v>
      </c>
      <c r="CY58">
        <f>AA58</f>
        <v>3586.62</v>
      </c>
      <c r="CZ58">
        <f>AE58</f>
        <v>519.79999999999995</v>
      </c>
      <c r="DA58">
        <f>AI58</f>
        <v>6.9</v>
      </c>
      <c r="DB58">
        <v>0</v>
      </c>
    </row>
    <row r="59" spans="1:106" x14ac:dyDescent="0.2">
      <c r="A59">
        <f>ROW(Source!A38)</f>
        <v>38</v>
      </c>
      <c r="B59">
        <v>39579451</v>
      </c>
      <c r="C59">
        <v>39579560</v>
      </c>
      <c r="D59">
        <v>37068121</v>
      </c>
      <c r="E59">
        <v>1</v>
      </c>
      <c r="F59">
        <v>1</v>
      </c>
      <c r="G59">
        <v>1</v>
      </c>
      <c r="H59">
        <v>1</v>
      </c>
      <c r="I59" t="s">
        <v>559</v>
      </c>
      <c r="J59" t="s">
        <v>3</v>
      </c>
      <c r="K59" t="s">
        <v>560</v>
      </c>
      <c r="L59">
        <v>1191</v>
      </c>
      <c r="N59">
        <v>1013</v>
      </c>
      <c r="O59" t="s">
        <v>519</v>
      </c>
      <c r="P59" t="s">
        <v>519</v>
      </c>
      <c r="Q59">
        <v>1</v>
      </c>
      <c r="W59">
        <v>0</v>
      </c>
      <c r="X59">
        <v>-1366118074</v>
      </c>
      <c r="Y59">
        <v>1.1499999999999999</v>
      </c>
      <c r="AA59">
        <v>0</v>
      </c>
      <c r="AB59">
        <v>0</v>
      </c>
      <c r="AC59">
        <v>0</v>
      </c>
      <c r="AD59">
        <v>54.79</v>
      </c>
      <c r="AE59">
        <v>0</v>
      </c>
      <c r="AF59">
        <v>0</v>
      </c>
      <c r="AG59">
        <v>0</v>
      </c>
      <c r="AH59">
        <v>7.94</v>
      </c>
      <c r="AI59">
        <v>1</v>
      </c>
      <c r="AJ59">
        <v>1</v>
      </c>
      <c r="AK59">
        <v>1</v>
      </c>
      <c r="AL59">
        <v>6.9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3</v>
      </c>
      <c r="AT59">
        <v>0.5</v>
      </c>
      <c r="AU59" t="s">
        <v>95</v>
      </c>
      <c r="AV59">
        <v>1</v>
      </c>
      <c r="AW59">
        <v>2</v>
      </c>
      <c r="AX59">
        <v>39579561</v>
      </c>
      <c r="AY59">
        <v>1</v>
      </c>
      <c r="AZ59">
        <v>0</v>
      </c>
      <c r="BA59">
        <v>65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Y59*Source!I38</f>
        <v>1.4834999999999998</v>
      </c>
      <c r="CY59">
        <f>AD59</f>
        <v>54.79</v>
      </c>
      <c r="CZ59">
        <f>AH59</f>
        <v>7.94</v>
      </c>
      <c r="DA59">
        <f>AL59</f>
        <v>6.9</v>
      </c>
      <c r="DB59">
        <v>0</v>
      </c>
    </row>
    <row r="60" spans="1:106" x14ac:dyDescent="0.2">
      <c r="A60">
        <f>ROW(Source!A38)</f>
        <v>38</v>
      </c>
      <c r="B60">
        <v>39579451</v>
      </c>
      <c r="C60">
        <v>39579560</v>
      </c>
      <c r="D60">
        <v>37064876</v>
      </c>
      <c r="E60">
        <v>1</v>
      </c>
      <c r="F60">
        <v>1</v>
      </c>
      <c r="G60">
        <v>1</v>
      </c>
      <c r="H60">
        <v>1</v>
      </c>
      <c r="I60" t="s">
        <v>520</v>
      </c>
      <c r="J60" t="s">
        <v>3</v>
      </c>
      <c r="K60" t="s">
        <v>521</v>
      </c>
      <c r="L60">
        <v>1191</v>
      </c>
      <c r="N60">
        <v>1013</v>
      </c>
      <c r="O60" t="s">
        <v>519</v>
      </c>
      <c r="P60" t="s">
        <v>519</v>
      </c>
      <c r="Q60">
        <v>1</v>
      </c>
      <c r="W60">
        <v>0</v>
      </c>
      <c r="X60">
        <v>-1417349443</v>
      </c>
      <c r="Y60">
        <v>0.21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6.9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0.21</v>
      </c>
      <c r="AU60" t="s">
        <v>3</v>
      </c>
      <c r="AV60">
        <v>2</v>
      </c>
      <c r="AW60">
        <v>2</v>
      </c>
      <c r="AX60">
        <v>39579562</v>
      </c>
      <c r="AY60">
        <v>1</v>
      </c>
      <c r="AZ60">
        <v>2048</v>
      </c>
      <c r="BA60">
        <v>66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Y60*Source!I38</f>
        <v>0.27089999999999997</v>
      </c>
      <c r="CY60">
        <f>AD60</f>
        <v>0</v>
      </c>
      <c r="CZ60">
        <f>AH60</f>
        <v>0</v>
      </c>
      <c r="DA60">
        <f>AL60</f>
        <v>1</v>
      </c>
      <c r="DB60">
        <v>0</v>
      </c>
    </row>
    <row r="61" spans="1:106" x14ac:dyDescent="0.2">
      <c r="A61">
        <f>ROW(Source!A38)</f>
        <v>38</v>
      </c>
      <c r="B61">
        <v>39579451</v>
      </c>
      <c r="C61">
        <v>39579560</v>
      </c>
      <c r="D61">
        <v>36882452</v>
      </c>
      <c r="E61">
        <v>1</v>
      </c>
      <c r="F61">
        <v>1</v>
      </c>
      <c r="G61">
        <v>1</v>
      </c>
      <c r="H61">
        <v>2</v>
      </c>
      <c r="I61" t="s">
        <v>522</v>
      </c>
      <c r="J61" t="s">
        <v>523</v>
      </c>
      <c r="K61" t="s">
        <v>524</v>
      </c>
      <c r="L61">
        <v>1368</v>
      </c>
      <c r="N61">
        <v>1011</v>
      </c>
      <c r="O61" t="s">
        <v>525</v>
      </c>
      <c r="P61" t="s">
        <v>525</v>
      </c>
      <c r="Q61">
        <v>1</v>
      </c>
      <c r="W61">
        <v>0</v>
      </c>
      <c r="X61">
        <v>1188625873</v>
      </c>
      <c r="Y61">
        <v>0.52500000000000002</v>
      </c>
      <c r="AA61">
        <v>0</v>
      </c>
      <c r="AB61">
        <v>215.69</v>
      </c>
      <c r="AC61">
        <v>13.5</v>
      </c>
      <c r="AD61">
        <v>0</v>
      </c>
      <c r="AE61">
        <v>0</v>
      </c>
      <c r="AF61">
        <v>31.26</v>
      </c>
      <c r="AG61">
        <v>13.5</v>
      </c>
      <c r="AH61">
        <v>0</v>
      </c>
      <c r="AI61">
        <v>1</v>
      </c>
      <c r="AJ61">
        <v>6.9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3</v>
      </c>
      <c r="AT61">
        <v>0.21</v>
      </c>
      <c r="AU61" t="s">
        <v>94</v>
      </c>
      <c r="AV61">
        <v>0</v>
      </c>
      <c r="AW61">
        <v>2</v>
      </c>
      <c r="AX61">
        <v>39579563</v>
      </c>
      <c r="AY61">
        <v>1</v>
      </c>
      <c r="AZ61">
        <v>0</v>
      </c>
      <c r="BA61">
        <v>67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Y61*Source!I38</f>
        <v>0.67725000000000002</v>
      </c>
      <c r="CY61">
        <f>AB61</f>
        <v>215.69</v>
      </c>
      <c r="CZ61">
        <f>AF61</f>
        <v>31.26</v>
      </c>
      <c r="DA61">
        <f>AJ61</f>
        <v>6.9</v>
      </c>
      <c r="DB61">
        <v>0</v>
      </c>
    </row>
    <row r="62" spans="1:106" x14ac:dyDescent="0.2">
      <c r="A62">
        <f>ROW(Source!A38)</f>
        <v>38</v>
      </c>
      <c r="B62">
        <v>39579451</v>
      </c>
      <c r="C62">
        <v>39579560</v>
      </c>
      <c r="D62">
        <v>36882569</v>
      </c>
      <c r="E62">
        <v>1</v>
      </c>
      <c r="F62">
        <v>1</v>
      </c>
      <c r="G62">
        <v>1</v>
      </c>
      <c r="H62">
        <v>2</v>
      </c>
      <c r="I62" t="s">
        <v>561</v>
      </c>
      <c r="J62" t="s">
        <v>562</v>
      </c>
      <c r="K62" t="s">
        <v>563</v>
      </c>
      <c r="L62">
        <v>1368</v>
      </c>
      <c r="N62">
        <v>1011</v>
      </c>
      <c r="O62" t="s">
        <v>525</v>
      </c>
      <c r="P62" t="s">
        <v>525</v>
      </c>
      <c r="Q62">
        <v>1</v>
      </c>
      <c r="W62">
        <v>0</v>
      </c>
      <c r="X62">
        <v>126902709</v>
      </c>
      <c r="Y62">
        <v>5.8</v>
      </c>
      <c r="AA62">
        <v>0</v>
      </c>
      <c r="AB62">
        <v>3.45</v>
      </c>
      <c r="AC62">
        <v>0</v>
      </c>
      <c r="AD62">
        <v>0</v>
      </c>
      <c r="AE62">
        <v>0</v>
      </c>
      <c r="AF62">
        <v>0.5</v>
      </c>
      <c r="AG62">
        <v>0</v>
      </c>
      <c r="AH62">
        <v>0</v>
      </c>
      <c r="AI62">
        <v>1</v>
      </c>
      <c r="AJ62">
        <v>6.9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3</v>
      </c>
      <c r="AT62">
        <v>2.3199999999999998</v>
      </c>
      <c r="AU62" t="s">
        <v>94</v>
      </c>
      <c r="AV62">
        <v>0</v>
      </c>
      <c r="AW62">
        <v>2</v>
      </c>
      <c r="AX62">
        <v>39579564</v>
      </c>
      <c r="AY62">
        <v>1</v>
      </c>
      <c r="AZ62">
        <v>0</v>
      </c>
      <c r="BA62">
        <v>68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Y62*Source!I38</f>
        <v>7.4820000000000002</v>
      </c>
      <c r="CY62">
        <f>AB62</f>
        <v>3.45</v>
      </c>
      <c r="CZ62">
        <f>AF62</f>
        <v>0.5</v>
      </c>
      <c r="DA62">
        <f>AJ62</f>
        <v>6.9</v>
      </c>
      <c r="DB62">
        <v>0</v>
      </c>
    </row>
    <row r="63" spans="1:106" x14ac:dyDescent="0.2">
      <c r="A63">
        <f>ROW(Source!A38)</f>
        <v>38</v>
      </c>
      <c r="B63">
        <v>39579451</v>
      </c>
      <c r="C63">
        <v>39579560</v>
      </c>
      <c r="D63">
        <v>36797146</v>
      </c>
      <c r="E63">
        <v>17</v>
      </c>
      <c r="F63">
        <v>1</v>
      </c>
      <c r="G63">
        <v>1</v>
      </c>
      <c r="H63">
        <v>3</v>
      </c>
      <c r="I63" t="s">
        <v>89</v>
      </c>
      <c r="J63" t="s">
        <v>3</v>
      </c>
      <c r="K63" t="s">
        <v>90</v>
      </c>
      <c r="L63">
        <v>1339</v>
      </c>
      <c r="N63">
        <v>1007</v>
      </c>
      <c r="O63" t="s">
        <v>86</v>
      </c>
      <c r="P63" t="s">
        <v>86</v>
      </c>
      <c r="Q63">
        <v>1</v>
      </c>
      <c r="W63">
        <v>0</v>
      </c>
      <c r="X63">
        <v>-2113302258</v>
      </c>
      <c r="Y63">
        <v>1.02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6.9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1</v>
      </c>
      <c r="AQ63">
        <v>0</v>
      </c>
      <c r="AR63">
        <v>0</v>
      </c>
      <c r="AS63" t="s">
        <v>3</v>
      </c>
      <c r="AT63">
        <v>0.51</v>
      </c>
      <c r="AU63" t="s">
        <v>93</v>
      </c>
      <c r="AV63">
        <v>0</v>
      </c>
      <c r="AW63">
        <v>2</v>
      </c>
      <c r="AX63">
        <v>39579565</v>
      </c>
      <c r="AY63">
        <v>1</v>
      </c>
      <c r="AZ63">
        <v>0</v>
      </c>
      <c r="BA63">
        <v>69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Y63*Source!I38</f>
        <v>1.3158000000000001</v>
      </c>
      <c r="CY63">
        <f>AA63</f>
        <v>0</v>
      </c>
      <c r="CZ63">
        <f>AE63</f>
        <v>0</v>
      </c>
      <c r="DA63">
        <f>AI63</f>
        <v>6.9</v>
      </c>
      <c r="DB63">
        <v>0</v>
      </c>
    </row>
    <row r="64" spans="1:106" x14ac:dyDescent="0.2">
      <c r="A64">
        <f>ROW(Source!A38)</f>
        <v>38</v>
      </c>
      <c r="B64">
        <v>39579451</v>
      </c>
      <c r="C64">
        <v>39579560</v>
      </c>
      <c r="D64">
        <v>36807342</v>
      </c>
      <c r="E64">
        <v>1</v>
      </c>
      <c r="F64">
        <v>1</v>
      </c>
      <c r="G64">
        <v>1</v>
      </c>
      <c r="H64">
        <v>3</v>
      </c>
      <c r="I64" t="s">
        <v>84</v>
      </c>
      <c r="J64" t="s">
        <v>87</v>
      </c>
      <c r="K64" t="s">
        <v>85</v>
      </c>
      <c r="L64">
        <v>1339</v>
      </c>
      <c r="N64">
        <v>1007</v>
      </c>
      <c r="O64" t="s">
        <v>86</v>
      </c>
      <c r="P64" t="s">
        <v>86</v>
      </c>
      <c r="Q64">
        <v>1</v>
      </c>
      <c r="W64">
        <v>0</v>
      </c>
      <c r="X64">
        <v>519185539</v>
      </c>
      <c r="Y64">
        <v>1.02</v>
      </c>
      <c r="AA64">
        <v>3586.62</v>
      </c>
      <c r="AB64">
        <v>0</v>
      </c>
      <c r="AC64">
        <v>0</v>
      </c>
      <c r="AD64">
        <v>0</v>
      </c>
      <c r="AE64">
        <v>519.79999999999995</v>
      </c>
      <c r="AF64">
        <v>0</v>
      </c>
      <c r="AG64">
        <v>0</v>
      </c>
      <c r="AH64">
        <v>0</v>
      </c>
      <c r="AI64">
        <v>6.9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3</v>
      </c>
      <c r="AT64">
        <v>1.02</v>
      </c>
      <c r="AU64" t="s">
        <v>3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Y64*Source!I38</f>
        <v>1.3158000000000001</v>
      </c>
      <c r="CY64">
        <f>AA64</f>
        <v>3586.62</v>
      </c>
      <c r="CZ64">
        <f>AE64</f>
        <v>519.79999999999995</v>
      </c>
      <c r="DA64">
        <f>AI64</f>
        <v>6.9</v>
      </c>
      <c r="DB64">
        <v>0</v>
      </c>
    </row>
    <row r="65" spans="1:106" x14ac:dyDescent="0.2">
      <c r="A65">
        <f>ROW(Source!A41)</f>
        <v>41</v>
      </c>
      <c r="B65">
        <v>39579451</v>
      </c>
      <c r="C65">
        <v>39579580</v>
      </c>
      <c r="D65">
        <v>37065248</v>
      </c>
      <c r="E65">
        <v>1</v>
      </c>
      <c r="F65">
        <v>1</v>
      </c>
      <c r="G65">
        <v>1</v>
      </c>
      <c r="H65">
        <v>1</v>
      </c>
      <c r="I65" t="s">
        <v>536</v>
      </c>
      <c r="J65" t="s">
        <v>3</v>
      </c>
      <c r="K65" t="s">
        <v>537</v>
      </c>
      <c r="L65">
        <v>1191</v>
      </c>
      <c r="N65">
        <v>1013</v>
      </c>
      <c r="O65" t="s">
        <v>519</v>
      </c>
      <c r="P65" t="s">
        <v>519</v>
      </c>
      <c r="Q65">
        <v>1</v>
      </c>
      <c r="W65">
        <v>0</v>
      </c>
      <c r="X65">
        <v>-400197608</v>
      </c>
      <c r="Y65">
        <v>35.339500000000001</v>
      </c>
      <c r="AA65">
        <v>0</v>
      </c>
      <c r="AB65">
        <v>0</v>
      </c>
      <c r="AC65">
        <v>0</v>
      </c>
      <c r="AD65">
        <v>58.86</v>
      </c>
      <c r="AE65">
        <v>0</v>
      </c>
      <c r="AF65">
        <v>0</v>
      </c>
      <c r="AG65">
        <v>0</v>
      </c>
      <c r="AH65">
        <v>8.5299999999999994</v>
      </c>
      <c r="AI65">
        <v>1</v>
      </c>
      <c r="AJ65">
        <v>1</v>
      </c>
      <c r="AK65">
        <v>1</v>
      </c>
      <c r="AL65">
        <v>6.9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30.73</v>
      </c>
      <c r="AU65" t="s">
        <v>79</v>
      </c>
      <c r="AV65">
        <v>1</v>
      </c>
      <c r="AW65">
        <v>2</v>
      </c>
      <c r="AX65">
        <v>39579581</v>
      </c>
      <c r="AY65">
        <v>1</v>
      </c>
      <c r="AZ65">
        <v>0</v>
      </c>
      <c r="BA65">
        <v>70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Y65*Source!I41</f>
        <v>45.587955000000001</v>
      </c>
      <c r="CY65">
        <f>AD65</f>
        <v>58.86</v>
      </c>
      <c r="CZ65">
        <f>AH65</f>
        <v>8.5299999999999994</v>
      </c>
      <c r="DA65">
        <f>AL65</f>
        <v>6.9</v>
      </c>
      <c r="DB65">
        <v>0</v>
      </c>
    </row>
    <row r="66" spans="1:106" x14ac:dyDescent="0.2">
      <c r="A66">
        <f>ROW(Source!A41)</f>
        <v>41</v>
      </c>
      <c r="B66">
        <v>39579451</v>
      </c>
      <c r="C66">
        <v>39579580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520</v>
      </c>
      <c r="J66" t="s">
        <v>3</v>
      </c>
      <c r="K66" t="s">
        <v>521</v>
      </c>
      <c r="L66">
        <v>1191</v>
      </c>
      <c r="N66">
        <v>1013</v>
      </c>
      <c r="O66" t="s">
        <v>519</v>
      </c>
      <c r="P66" t="s">
        <v>519</v>
      </c>
      <c r="Q66">
        <v>1</v>
      </c>
      <c r="W66">
        <v>0</v>
      </c>
      <c r="X66">
        <v>-1417349443</v>
      </c>
      <c r="Y66">
        <v>0.09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6.9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0.09</v>
      </c>
      <c r="AU66" t="s">
        <v>3</v>
      </c>
      <c r="AV66">
        <v>2</v>
      </c>
      <c r="AW66">
        <v>2</v>
      </c>
      <c r="AX66">
        <v>39579582</v>
      </c>
      <c r="AY66">
        <v>1</v>
      </c>
      <c r="AZ66">
        <v>2048</v>
      </c>
      <c r="BA66">
        <v>71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Y66*Source!I41</f>
        <v>0.11609999999999999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ROW(Source!A41)</f>
        <v>41</v>
      </c>
      <c r="B67">
        <v>39579451</v>
      </c>
      <c r="C67">
        <v>39579580</v>
      </c>
      <c r="D67">
        <v>36882448</v>
      </c>
      <c r="E67">
        <v>1</v>
      </c>
      <c r="F67">
        <v>1</v>
      </c>
      <c r="G67">
        <v>1</v>
      </c>
      <c r="H67">
        <v>2</v>
      </c>
      <c r="I67" t="s">
        <v>585</v>
      </c>
      <c r="J67" t="s">
        <v>586</v>
      </c>
      <c r="K67" t="s">
        <v>587</v>
      </c>
      <c r="L67">
        <v>1368</v>
      </c>
      <c r="N67">
        <v>1011</v>
      </c>
      <c r="O67" t="s">
        <v>525</v>
      </c>
      <c r="P67" t="s">
        <v>525</v>
      </c>
      <c r="Q67">
        <v>1</v>
      </c>
      <c r="W67">
        <v>0</v>
      </c>
      <c r="X67">
        <v>368031958</v>
      </c>
      <c r="Y67">
        <v>8.7500000000000008E-2</v>
      </c>
      <c r="AA67">
        <v>0</v>
      </c>
      <c r="AB67">
        <v>190.85</v>
      </c>
      <c r="AC67">
        <v>11.6</v>
      </c>
      <c r="AD67">
        <v>0</v>
      </c>
      <c r="AE67">
        <v>0</v>
      </c>
      <c r="AF67">
        <v>27.66</v>
      </c>
      <c r="AG67">
        <v>11.6</v>
      </c>
      <c r="AH67">
        <v>0</v>
      </c>
      <c r="AI67">
        <v>1</v>
      </c>
      <c r="AJ67">
        <v>6.9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7.0000000000000007E-2</v>
      </c>
      <c r="AU67" t="s">
        <v>78</v>
      </c>
      <c r="AV67">
        <v>0</v>
      </c>
      <c r="AW67">
        <v>2</v>
      </c>
      <c r="AX67">
        <v>39579583</v>
      </c>
      <c r="AY67">
        <v>1</v>
      </c>
      <c r="AZ67">
        <v>0</v>
      </c>
      <c r="BA67">
        <v>72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Y67*Source!I41</f>
        <v>0.11287500000000002</v>
      </c>
      <c r="CY67">
        <f>AB67</f>
        <v>190.85</v>
      </c>
      <c r="CZ67">
        <f>AF67</f>
        <v>27.66</v>
      </c>
      <c r="DA67">
        <f>AJ67</f>
        <v>6.9</v>
      </c>
      <c r="DB67">
        <v>0</v>
      </c>
    </row>
    <row r="68" spans="1:106" x14ac:dyDescent="0.2">
      <c r="A68">
        <f>ROW(Source!A41)</f>
        <v>41</v>
      </c>
      <c r="B68">
        <v>39579451</v>
      </c>
      <c r="C68">
        <v>39579580</v>
      </c>
      <c r="D68">
        <v>36883554</v>
      </c>
      <c r="E68">
        <v>1</v>
      </c>
      <c r="F68">
        <v>1</v>
      </c>
      <c r="G68">
        <v>1</v>
      </c>
      <c r="H68">
        <v>2</v>
      </c>
      <c r="I68" t="s">
        <v>526</v>
      </c>
      <c r="J68" t="s">
        <v>527</v>
      </c>
      <c r="K68" t="s">
        <v>528</v>
      </c>
      <c r="L68">
        <v>1368</v>
      </c>
      <c r="N68">
        <v>1011</v>
      </c>
      <c r="O68" t="s">
        <v>525</v>
      </c>
      <c r="P68" t="s">
        <v>525</v>
      </c>
      <c r="Q68">
        <v>1</v>
      </c>
      <c r="W68">
        <v>0</v>
      </c>
      <c r="X68">
        <v>1372534845</v>
      </c>
      <c r="Y68">
        <v>2.5000000000000001E-2</v>
      </c>
      <c r="AA68">
        <v>0</v>
      </c>
      <c r="AB68">
        <v>453.4</v>
      </c>
      <c r="AC68">
        <v>11.6</v>
      </c>
      <c r="AD68">
        <v>0</v>
      </c>
      <c r="AE68">
        <v>0</v>
      </c>
      <c r="AF68">
        <v>65.709999999999994</v>
      </c>
      <c r="AG68">
        <v>11.6</v>
      </c>
      <c r="AH68">
        <v>0</v>
      </c>
      <c r="AI68">
        <v>1</v>
      </c>
      <c r="AJ68">
        <v>6.9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3</v>
      </c>
      <c r="AT68">
        <v>0.02</v>
      </c>
      <c r="AU68" t="s">
        <v>78</v>
      </c>
      <c r="AV68">
        <v>0</v>
      </c>
      <c r="AW68">
        <v>2</v>
      </c>
      <c r="AX68">
        <v>39579584</v>
      </c>
      <c r="AY68">
        <v>1</v>
      </c>
      <c r="AZ68">
        <v>0</v>
      </c>
      <c r="BA68">
        <v>73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Y68*Source!I41</f>
        <v>3.2250000000000001E-2</v>
      </c>
      <c r="CY68">
        <f>AB68</f>
        <v>453.4</v>
      </c>
      <c r="CZ68">
        <f>AF68</f>
        <v>65.709999999999994</v>
      </c>
      <c r="DA68">
        <f>AJ68</f>
        <v>6.9</v>
      </c>
      <c r="DB68">
        <v>0</v>
      </c>
    </row>
    <row r="69" spans="1:106" x14ac:dyDescent="0.2">
      <c r="A69">
        <f>ROW(Source!A41)</f>
        <v>41</v>
      </c>
      <c r="B69">
        <v>39579451</v>
      </c>
      <c r="C69">
        <v>39579580</v>
      </c>
      <c r="D69">
        <v>36801792</v>
      </c>
      <c r="E69">
        <v>1</v>
      </c>
      <c r="F69">
        <v>1</v>
      </c>
      <c r="G69">
        <v>1</v>
      </c>
      <c r="H69">
        <v>3</v>
      </c>
      <c r="I69" t="s">
        <v>564</v>
      </c>
      <c r="J69" t="s">
        <v>565</v>
      </c>
      <c r="K69" t="s">
        <v>566</v>
      </c>
      <c r="L69">
        <v>1339</v>
      </c>
      <c r="N69">
        <v>1007</v>
      </c>
      <c r="O69" t="s">
        <v>86</v>
      </c>
      <c r="P69" t="s">
        <v>86</v>
      </c>
      <c r="Q69">
        <v>1</v>
      </c>
      <c r="W69">
        <v>0</v>
      </c>
      <c r="X69">
        <v>-1660354250</v>
      </c>
      <c r="Y69">
        <v>0.16</v>
      </c>
      <c r="AA69">
        <v>16.84</v>
      </c>
      <c r="AB69">
        <v>0</v>
      </c>
      <c r="AC69">
        <v>0</v>
      </c>
      <c r="AD69">
        <v>0</v>
      </c>
      <c r="AE69">
        <v>2.44</v>
      </c>
      <c r="AF69">
        <v>0</v>
      </c>
      <c r="AG69">
        <v>0</v>
      </c>
      <c r="AH69">
        <v>0</v>
      </c>
      <c r="AI69">
        <v>6.9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0.16</v>
      </c>
      <c r="AU69" t="s">
        <v>3</v>
      </c>
      <c r="AV69">
        <v>0</v>
      </c>
      <c r="AW69">
        <v>2</v>
      </c>
      <c r="AX69">
        <v>39579585</v>
      </c>
      <c r="AY69">
        <v>1</v>
      </c>
      <c r="AZ69">
        <v>0</v>
      </c>
      <c r="BA69">
        <v>74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Y69*Source!I41</f>
        <v>0.2064</v>
      </c>
      <c r="CY69">
        <f>AA69</f>
        <v>16.84</v>
      </c>
      <c r="CZ69">
        <f>AE69</f>
        <v>2.44</v>
      </c>
      <c r="DA69">
        <f>AI69</f>
        <v>6.9</v>
      </c>
      <c r="DB69">
        <v>0</v>
      </c>
    </row>
    <row r="70" spans="1:106" x14ac:dyDescent="0.2">
      <c r="A70">
        <f>ROW(Source!A41)</f>
        <v>41</v>
      </c>
      <c r="B70">
        <v>39579451</v>
      </c>
      <c r="C70">
        <v>39579580</v>
      </c>
      <c r="D70">
        <v>36807409</v>
      </c>
      <c r="E70">
        <v>1</v>
      </c>
      <c r="F70">
        <v>1</v>
      </c>
      <c r="G70">
        <v>1</v>
      </c>
      <c r="H70">
        <v>3</v>
      </c>
      <c r="I70" t="s">
        <v>103</v>
      </c>
      <c r="J70" t="s">
        <v>106</v>
      </c>
      <c r="K70" t="s">
        <v>104</v>
      </c>
      <c r="L70">
        <v>1348</v>
      </c>
      <c r="N70">
        <v>1009</v>
      </c>
      <c r="O70" t="s">
        <v>105</v>
      </c>
      <c r="P70" t="s">
        <v>105</v>
      </c>
      <c r="Q70">
        <v>1000</v>
      </c>
      <c r="W70">
        <v>1</v>
      </c>
      <c r="X70">
        <v>1150528328</v>
      </c>
      <c r="Y70">
        <v>-0.45</v>
      </c>
      <c r="AA70">
        <v>80633.399999999994</v>
      </c>
      <c r="AB70">
        <v>0</v>
      </c>
      <c r="AC70">
        <v>0</v>
      </c>
      <c r="AD70">
        <v>0</v>
      </c>
      <c r="AE70">
        <v>11686</v>
      </c>
      <c r="AF70">
        <v>0</v>
      </c>
      <c r="AG70">
        <v>0</v>
      </c>
      <c r="AH70">
        <v>0</v>
      </c>
      <c r="AI70">
        <v>6.9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-0.45</v>
      </c>
      <c r="AU70" t="s">
        <v>3</v>
      </c>
      <c r="AV70">
        <v>0</v>
      </c>
      <c r="AW70">
        <v>2</v>
      </c>
      <c r="AX70">
        <v>39579586</v>
      </c>
      <c r="AY70">
        <v>1</v>
      </c>
      <c r="AZ70">
        <v>6144</v>
      </c>
      <c r="BA70">
        <v>75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Y70*Source!I41</f>
        <v>-0.58050000000000002</v>
      </c>
      <c r="CY70">
        <f>AA70</f>
        <v>80633.399999999994</v>
      </c>
      <c r="CZ70">
        <f>AE70</f>
        <v>11686</v>
      </c>
      <c r="DA70">
        <f>AI70</f>
        <v>6.9</v>
      </c>
      <c r="DB70">
        <v>0</v>
      </c>
    </row>
    <row r="71" spans="1:106" x14ac:dyDescent="0.2">
      <c r="A71">
        <f>ROW(Source!A41)</f>
        <v>41</v>
      </c>
      <c r="B71">
        <v>39579451</v>
      </c>
      <c r="C71">
        <v>39579580</v>
      </c>
      <c r="D71">
        <v>36807411</v>
      </c>
      <c r="E71">
        <v>1</v>
      </c>
      <c r="F71">
        <v>1</v>
      </c>
      <c r="G71">
        <v>1</v>
      </c>
      <c r="H71">
        <v>3</v>
      </c>
      <c r="I71" t="s">
        <v>108</v>
      </c>
      <c r="J71" t="s">
        <v>110</v>
      </c>
      <c r="K71" t="s">
        <v>109</v>
      </c>
      <c r="L71">
        <v>1348</v>
      </c>
      <c r="N71">
        <v>1009</v>
      </c>
      <c r="O71" t="s">
        <v>105</v>
      </c>
      <c r="P71" t="s">
        <v>105</v>
      </c>
      <c r="Q71">
        <v>1000</v>
      </c>
      <c r="W71">
        <v>0</v>
      </c>
      <c r="X71">
        <v>-566653352</v>
      </c>
      <c r="Y71">
        <v>0.45</v>
      </c>
      <c r="AA71">
        <v>119568.72</v>
      </c>
      <c r="AB71">
        <v>0</v>
      </c>
      <c r="AC71">
        <v>0</v>
      </c>
      <c r="AD71">
        <v>0</v>
      </c>
      <c r="AE71">
        <v>17328.8</v>
      </c>
      <c r="AF71">
        <v>0</v>
      </c>
      <c r="AG71">
        <v>0</v>
      </c>
      <c r="AH71">
        <v>0</v>
      </c>
      <c r="AI71">
        <v>6.9</v>
      </c>
      <c r="AJ71">
        <v>1</v>
      </c>
      <c r="AK71">
        <v>1</v>
      </c>
      <c r="AL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3</v>
      </c>
      <c r="AT71">
        <v>0.45</v>
      </c>
      <c r="AU71" t="s">
        <v>3</v>
      </c>
      <c r="AV71">
        <v>0</v>
      </c>
      <c r="AW71">
        <v>1</v>
      </c>
      <c r="AX71">
        <v>-1</v>
      </c>
      <c r="AY71">
        <v>0</v>
      </c>
      <c r="AZ71">
        <v>0</v>
      </c>
      <c r="BA71" t="s">
        <v>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Y71*Source!I41</f>
        <v>0.58050000000000002</v>
      </c>
      <c r="CY71">
        <f>AA71</f>
        <v>119568.72</v>
      </c>
      <c r="CZ71">
        <f>AE71</f>
        <v>17328.8</v>
      </c>
      <c r="DA71">
        <f>AI71</f>
        <v>6.9</v>
      </c>
      <c r="DB71">
        <v>0</v>
      </c>
    </row>
    <row r="72" spans="1:106" x14ac:dyDescent="0.2">
      <c r="A72">
        <f>ROW(Source!A41)</f>
        <v>41</v>
      </c>
      <c r="B72">
        <v>39579451</v>
      </c>
      <c r="C72">
        <v>39579580</v>
      </c>
      <c r="D72">
        <v>36837972</v>
      </c>
      <c r="E72">
        <v>1</v>
      </c>
      <c r="F72">
        <v>1</v>
      </c>
      <c r="G72">
        <v>1</v>
      </c>
      <c r="H72">
        <v>3</v>
      </c>
      <c r="I72" t="s">
        <v>116</v>
      </c>
      <c r="J72" t="s">
        <v>119</v>
      </c>
      <c r="K72" t="s">
        <v>117</v>
      </c>
      <c r="L72">
        <v>1346</v>
      </c>
      <c r="N72">
        <v>1009</v>
      </c>
      <c r="O72" t="s">
        <v>118</v>
      </c>
      <c r="P72" t="s">
        <v>118</v>
      </c>
      <c r="Q72">
        <v>1</v>
      </c>
      <c r="W72">
        <v>0</v>
      </c>
      <c r="X72">
        <v>303141801</v>
      </c>
      <c r="Y72">
        <v>30</v>
      </c>
      <c r="AA72">
        <v>105.23</v>
      </c>
      <c r="AB72">
        <v>0</v>
      </c>
      <c r="AC72">
        <v>0</v>
      </c>
      <c r="AD72">
        <v>0</v>
      </c>
      <c r="AE72">
        <v>15.25</v>
      </c>
      <c r="AF72">
        <v>0</v>
      </c>
      <c r="AG72">
        <v>0</v>
      </c>
      <c r="AH72">
        <v>0</v>
      </c>
      <c r="AI72">
        <v>6.9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30</v>
      </c>
      <c r="AU72" t="s">
        <v>3</v>
      </c>
      <c r="AV72">
        <v>0</v>
      </c>
      <c r="AW72">
        <v>2</v>
      </c>
      <c r="AX72">
        <v>39579587</v>
      </c>
      <c r="AY72">
        <v>1</v>
      </c>
      <c r="AZ72">
        <v>0</v>
      </c>
      <c r="BA72">
        <v>76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Y72*Source!I41</f>
        <v>38.700000000000003</v>
      </c>
      <c r="CY72">
        <f>AA72</f>
        <v>105.23</v>
      </c>
      <c r="CZ72">
        <f>AE72</f>
        <v>15.25</v>
      </c>
      <c r="DA72">
        <f>AI72</f>
        <v>6.9</v>
      </c>
      <c r="DB72">
        <v>0</v>
      </c>
    </row>
    <row r="73" spans="1:106" x14ac:dyDescent="0.2">
      <c r="A73">
        <f>ROW(Source!A44)</f>
        <v>44</v>
      </c>
      <c r="B73">
        <v>39579451</v>
      </c>
      <c r="C73">
        <v>39579608</v>
      </c>
      <c r="D73">
        <v>37070495</v>
      </c>
      <c r="E73">
        <v>1</v>
      </c>
      <c r="F73">
        <v>1</v>
      </c>
      <c r="G73">
        <v>1</v>
      </c>
      <c r="H73">
        <v>1</v>
      </c>
      <c r="I73" t="s">
        <v>594</v>
      </c>
      <c r="J73" t="s">
        <v>3</v>
      </c>
      <c r="K73" t="s">
        <v>595</v>
      </c>
      <c r="L73">
        <v>1191</v>
      </c>
      <c r="N73">
        <v>1013</v>
      </c>
      <c r="O73" t="s">
        <v>519</v>
      </c>
      <c r="P73" t="s">
        <v>519</v>
      </c>
      <c r="Q73">
        <v>1</v>
      </c>
      <c r="W73">
        <v>0</v>
      </c>
      <c r="X73">
        <v>-784637506</v>
      </c>
      <c r="Y73">
        <v>270.15799999999996</v>
      </c>
      <c r="AA73">
        <v>0</v>
      </c>
      <c r="AB73">
        <v>0</v>
      </c>
      <c r="AC73">
        <v>0</v>
      </c>
      <c r="AD73">
        <v>60.31</v>
      </c>
      <c r="AE73">
        <v>0</v>
      </c>
      <c r="AF73">
        <v>0</v>
      </c>
      <c r="AG73">
        <v>0</v>
      </c>
      <c r="AH73">
        <v>8.74</v>
      </c>
      <c r="AI73">
        <v>1</v>
      </c>
      <c r="AJ73">
        <v>1</v>
      </c>
      <c r="AK73">
        <v>1</v>
      </c>
      <c r="AL73">
        <v>6.9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3</v>
      </c>
      <c r="AT73">
        <v>234.92</v>
      </c>
      <c r="AU73" t="s">
        <v>79</v>
      </c>
      <c r="AV73">
        <v>1</v>
      </c>
      <c r="AW73">
        <v>2</v>
      </c>
      <c r="AX73">
        <v>39579621</v>
      </c>
      <c r="AY73">
        <v>1</v>
      </c>
      <c r="AZ73">
        <v>0</v>
      </c>
      <c r="BA73">
        <v>77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Y73*Source!I44</f>
        <v>348.50381999999996</v>
      </c>
      <c r="CY73">
        <f>AD73</f>
        <v>60.31</v>
      </c>
      <c r="CZ73">
        <f>AH73</f>
        <v>8.74</v>
      </c>
      <c r="DA73">
        <f>AL73</f>
        <v>6.9</v>
      </c>
      <c r="DB73">
        <v>0</v>
      </c>
    </row>
    <row r="74" spans="1:106" x14ac:dyDescent="0.2">
      <c r="A74">
        <f>ROW(Source!A44)</f>
        <v>44</v>
      </c>
      <c r="B74">
        <v>39579451</v>
      </c>
      <c r="C74">
        <v>39579608</v>
      </c>
      <c r="D74">
        <v>37064876</v>
      </c>
      <c r="E74">
        <v>1</v>
      </c>
      <c r="F74">
        <v>1</v>
      </c>
      <c r="G74">
        <v>1</v>
      </c>
      <c r="H74">
        <v>1</v>
      </c>
      <c r="I74" t="s">
        <v>520</v>
      </c>
      <c r="J74" t="s">
        <v>3</v>
      </c>
      <c r="K74" t="s">
        <v>521</v>
      </c>
      <c r="L74">
        <v>1191</v>
      </c>
      <c r="N74">
        <v>1013</v>
      </c>
      <c r="O74" t="s">
        <v>519</v>
      </c>
      <c r="P74" t="s">
        <v>519</v>
      </c>
      <c r="Q74">
        <v>1</v>
      </c>
      <c r="W74">
        <v>0</v>
      </c>
      <c r="X74">
        <v>-1417349443</v>
      </c>
      <c r="Y74">
        <v>1.73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6.9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1.73</v>
      </c>
      <c r="AU74" t="s">
        <v>3</v>
      </c>
      <c r="AV74">
        <v>2</v>
      </c>
      <c r="AW74">
        <v>2</v>
      </c>
      <c r="AX74">
        <v>39579622</v>
      </c>
      <c r="AY74">
        <v>1</v>
      </c>
      <c r="AZ74">
        <v>2048</v>
      </c>
      <c r="BA74">
        <v>78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Y74*Source!I44</f>
        <v>2.2317</v>
      </c>
      <c r="CY74">
        <f>AD74</f>
        <v>0</v>
      </c>
      <c r="CZ74">
        <f>AH74</f>
        <v>0</v>
      </c>
      <c r="DA74">
        <f>AL74</f>
        <v>1</v>
      </c>
      <c r="DB74">
        <v>0</v>
      </c>
    </row>
    <row r="75" spans="1:106" x14ac:dyDescent="0.2">
      <c r="A75">
        <f>ROW(Source!A44)</f>
        <v>44</v>
      </c>
      <c r="B75">
        <v>39579451</v>
      </c>
      <c r="C75">
        <v>39579608</v>
      </c>
      <c r="D75">
        <v>36882055</v>
      </c>
      <c r="E75">
        <v>1</v>
      </c>
      <c r="F75">
        <v>1</v>
      </c>
      <c r="G75">
        <v>1</v>
      </c>
      <c r="H75">
        <v>2</v>
      </c>
      <c r="I75" t="s">
        <v>596</v>
      </c>
      <c r="J75" t="s">
        <v>597</v>
      </c>
      <c r="K75" t="s">
        <v>598</v>
      </c>
      <c r="L75">
        <v>1368</v>
      </c>
      <c r="N75">
        <v>1011</v>
      </c>
      <c r="O75" t="s">
        <v>525</v>
      </c>
      <c r="P75" t="s">
        <v>525</v>
      </c>
      <c r="Q75">
        <v>1</v>
      </c>
      <c r="W75">
        <v>0</v>
      </c>
      <c r="X75">
        <v>257150282</v>
      </c>
      <c r="Y75">
        <v>2.5000000000000001E-2</v>
      </c>
      <c r="AA75">
        <v>0</v>
      </c>
      <c r="AB75">
        <v>575.66999999999996</v>
      </c>
      <c r="AC75">
        <v>13.5</v>
      </c>
      <c r="AD75">
        <v>0</v>
      </c>
      <c r="AE75">
        <v>0</v>
      </c>
      <c r="AF75">
        <v>83.43</v>
      </c>
      <c r="AG75">
        <v>13.5</v>
      </c>
      <c r="AH75">
        <v>0</v>
      </c>
      <c r="AI75">
        <v>1</v>
      </c>
      <c r="AJ75">
        <v>6.9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3</v>
      </c>
      <c r="AT75">
        <v>0.02</v>
      </c>
      <c r="AU75" t="s">
        <v>78</v>
      </c>
      <c r="AV75">
        <v>0</v>
      </c>
      <c r="AW75">
        <v>2</v>
      </c>
      <c r="AX75">
        <v>39579623</v>
      </c>
      <c r="AY75">
        <v>1</v>
      </c>
      <c r="AZ75">
        <v>0</v>
      </c>
      <c r="BA75">
        <v>79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Y75*Source!I44</f>
        <v>3.2250000000000001E-2</v>
      </c>
      <c r="CY75">
        <f>AB75</f>
        <v>575.66999999999996</v>
      </c>
      <c r="CZ75">
        <f>AF75</f>
        <v>83.43</v>
      </c>
      <c r="DA75">
        <f>AJ75</f>
        <v>6.9</v>
      </c>
      <c r="DB75">
        <v>0</v>
      </c>
    </row>
    <row r="76" spans="1:106" x14ac:dyDescent="0.2">
      <c r="A76">
        <f>ROW(Source!A44)</f>
        <v>44</v>
      </c>
      <c r="B76">
        <v>39579451</v>
      </c>
      <c r="C76">
        <v>39579608</v>
      </c>
      <c r="D76">
        <v>36882157</v>
      </c>
      <c r="E76">
        <v>1</v>
      </c>
      <c r="F76">
        <v>1</v>
      </c>
      <c r="G76">
        <v>1</v>
      </c>
      <c r="H76">
        <v>2</v>
      </c>
      <c r="I76" t="s">
        <v>599</v>
      </c>
      <c r="J76" t="s">
        <v>600</v>
      </c>
      <c r="K76" t="s">
        <v>601</v>
      </c>
      <c r="L76">
        <v>1368</v>
      </c>
      <c r="N76">
        <v>1011</v>
      </c>
      <c r="O76" t="s">
        <v>525</v>
      </c>
      <c r="P76" t="s">
        <v>525</v>
      </c>
      <c r="Q76">
        <v>1</v>
      </c>
      <c r="W76">
        <v>0</v>
      </c>
      <c r="X76">
        <v>1330025190</v>
      </c>
      <c r="Y76">
        <v>1.2500000000000001E-2</v>
      </c>
      <c r="AA76">
        <v>0</v>
      </c>
      <c r="AB76">
        <v>607.27</v>
      </c>
      <c r="AC76">
        <v>11.6</v>
      </c>
      <c r="AD76">
        <v>0</v>
      </c>
      <c r="AE76">
        <v>0</v>
      </c>
      <c r="AF76">
        <v>88.01</v>
      </c>
      <c r="AG76">
        <v>11.6</v>
      </c>
      <c r="AH76">
        <v>0</v>
      </c>
      <c r="AI76">
        <v>1</v>
      </c>
      <c r="AJ76">
        <v>6.9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3</v>
      </c>
      <c r="AT76">
        <v>0.01</v>
      </c>
      <c r="AU76" t="s">
        <v>78</v>
      </c>
      <c r="AV76">
        <v>0</v>
      </c>
      <c r="AW76">
        <v>2</v>
      </c>
      <c r="AX76">
        <v>39579624</v>
      </c>
      <c r="AY76">
        <v>1</v>
      </c>
      <c r="AZ76">
        <v>0</v>
      </c>
      <c r="BA76">
        <v>80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Y76*Source!I44</f>
        <v>1.6125E-2</v>
      </c>
      <c r="CY76">
        <f>AB76</f>
        <v>607.27</v>
      </c>
      <c r="CZ76">
        <f>AF76</f>
        <v>88.01</v>
      </c>
      <c r="DA76">
        <f>AJ76</f>
        <v>6.9</v>
      </c>
      <c r="DB76">
        <v>0</v>
      </c>
    </row>
    <row r="77" spans="1:106" x14ac:dyDescent="0.2">
      <c r="A77">
        <f>ROW(Source!A44)</f>
        <v>44</v>
      </c>
      <c r="B77">
        <v>39579451</v>
      </c>
      <c r="C77">
        <v>39579608</v>
      </c>
      <c r="D77">
        <v>36882621</v>
      </c>
      <c r="E77">
        <v>1</v>
      </c>
      <c r="F77">
        <v>1</v>
      </c>
      <c r="G77">
        <v>1</v>
      </c>
      <c r="H77">
        <v>2</v>
      </c>
      <c r="I77" t="s">
        <v>602</v>
      </c>
      <c r="J77" t="s">
        <v>603</v>
      </c>
      <c r="K77" t="s">
        <v>604</v>
      </c>
      <c r="L77">
        <v>1368</v>
      </c>
      <c r="N77">
        <v>1011</v>
      </c>
      <c r="O77" t="s">
        <v>525</v>
      </c>
      <c r="P77" t="s">
        <v>525</v>
      </c>
      <c r="Q77">
        <v>1</v>
      </c>
      <c r="W77">
        <v>0</v>
      </c>
      <c r="X77">
        <v>983187852</v>
      </c>
      <c r="Y77">
        <v>2.1124999999999998</v>
      </c>
      <c r="AA77">
        <v>0</v>
      </c>
      <c r="AB77">
        <v>85.49</v>
      </c>
      <c r="AC77">
        <v>10.06</v>
      </c>
      <c r="AD77">
        <v>0</v>
      </c>
      <c r="AE77">
        <v>0</v>
      </c>
      <c r="AF77">
        <v>12.39</v>
      </c>
      <c r="AG77">
        <v>10.06</v>
      </c>
      <c r="AH77">
        <v>0</v>
      </c>
      <c r="AI77">
        <v>1</v>
      </c>
      <c r="AJ77">
        <v>6.9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3</v>
      </c>
      <c r="AT77">
        <v>1.69</v>
      </c>
      <c r="AU77" t="s">
        <v>78</v>
      </c>
      <c r="AV77">
        <v>0</v>
      </c>
      <c r="AW77">
        <v>2</v>
      </c>
      <c r="AX77">
        <v>39579625</v>
      </c>
      <c r="AY77">
        <v>1</v>
      </c>
      <c r="AZ77">
        <v>0</v>
      </c>
      <c r="BA77">
        <v>81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Y77*Source!I44</f>
        <v>2.7251249999999998</v>
      </c>
      <c r="CY77">
        <f>AB77</f>
        <v>85.49</v>
      </c>
      <c r="CZ77">
        <f>AF77</f>
        <v>12.39</v>
      </c>
      <c r="DA77">
        <f>AJ77</f>
        <v>6.9</v>
      </c>
      <c r="DB77">
        <v>0</v>
      </c>
    </row>
    <row r="78" spans="1:106" x14ac:dyDescent="0.2">
      <c r="A78">
        <f>ROW(Source!A44)</f>
        <v>44</v>
      </c>
      <c r="B78">
        <v>39579451</v>
      </c>
      <c r="C78">
        <v>39579608</v>
      </c>
      <c r="D78">
        <v>36883554</v>
      </c>
      <c r="E78">
        <v>1</v>
      </c>
      <c r="F78">
        <v>1</v>
      </c>
      <c r="G78">
        <v>1</v>
      </c>
      <c r="H78">
        <v>2</v>
      </c>
      <c r="I78" t="s">
        <v>526</v>
      </c>
      <c r="J78" t="s">
        <v>527</v>
      </c>
      <c r="K78" t="s">
        <v>528</v>
      </c>
      <c r="L78">
        <v>1368</v>
      </c>
      <c r="N78">
        <v>1011</v>
      </c>
      <c r="O78" t="s">
        <v>525</v>
      </c>
      <c r="P78" t="s">
        <v>525</v>
      </c>
      <c r="Q78">
        <v>1</v>
      </c>
      <c r="W78">
        <v>0</v>
      </c>
      <c r="X78">
        <v>1372534845</v>
      </c>
      <c r="Y78">
        <v>1.2500000000000001E-2</v>
      </c>
      <c r="AA78">
        <v>0</v>
      </c>
      <c r="AB78">
        <v>453.4</v>
      </c>
      <c r="AC78">
        <v>11.6</v>
      </c>
      <c r="AD78">
        <v>0</v>
      </c>
      <c r="AE78">
        <v>0</v>
      </c>
      <c r="AF78">
        <v>65.709999999999994</v>
      </c>
      <c r="AG78">
        <v>11.6</v>
      </c>
      <c r="AH78">
        <v>0</v>
      </c>
      <c r="AI78">
        <v>1</v>
      </c>
      <c r="AJ78">
        <v>6.9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0.01</v>
      </c>
      <c r="AU78" t="s">
        <v>78</v>
      </c>
      <c r="AV78">
        <v>0</v>
      </c>
      <c r="AW78">
        <v>2</v>
      </c>
      <c r="AX78">
        <v>39579626</v>
      </c>
      <c r="AY78">
        <v>1</v>
      </c>
      <c r="AZ78">
        <v>0</v>
      </c>
      <c r="BA78">
        <v>82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Y78*Source!I44</f>
        <v>1.6125E-2</v>
      </c>
      <c r="CY78">
        <f>AB78</f>
        <v>453.4</v>
      </c>
      <c r="CZ78">
        <f>AF78</f>
        <v>65.709999999999994</v>
      </c>
      <c r="DA78">
        <f>AJ78</f>
        <v>6.9</v>
      </c>
      <c r="DB78">
        <v>0</v>
      </c>
    </row>
    <row r="79" spans="1:106" x14ac:dyDescent="0.2">
      <c r="A79">
        <f>ROW(Source!A44)</f>
        <v>44</v>
      </c>
      <c r="B79">
        <v>39579451</v>
      </c>
      <c r="C79">
        <v>39579608</v>
      </c>
      <c r="D79">
        <v>36801792</v>
      </c>
      <c r="E79">
        <v>1</v>
      </c>
      <c r="F79">
        <v>1</v>
      </c>
      <c r="G79">
        <v>1</v>
      </c>
      <c r="H79">
        <v>3</v>
      </c>
      <c r="I79" t="s">
        <v>564</v>
      </c>
      <c r="J79" t="s">
        <v>565</v>
      </c>
      <c r="K79" t="s">
        <v>566</v>
      </c>
      <c r="L79">
        <v>1339</v>
      </c>
      <c r="N79">
        <v>1007</v>
      </c>
      <c r="O79" t="s">
        <v>86</v>
      </c>
      <c r="P79" t="s">
        <v>86</v>
      </c>
      <c r="Q79">
        <v>1</v>
      </c>
      <c r="W79">
        <v>0</v>
      </c>
      <c r="X79">
        <v>-1660354250</v>
      </c>
      <c r="Y79">
        <v>0.44</v>
      </c>
      <c r="AA79">
        <v>16.84</v>
      </c>
      <c r="AB79">
        <v>0</v>
      </c>
      <c r="AC79">
        <v>0</v>
      </c>
      <c r="AD79">
        <v>0</v>
      </c>
      <c r="AE79">
        <v>2.44</v>
      </c>
      <c r="AF79">
        <v>0</v>
      </c>
      <c r="AG79">
        <v>0</v>
      </c>
      <c r="AH79">
        <v>0</v>
      </c>
      <c r="AI79">
        <v>6.9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0.44</v>
      </c>
      <c r="AU79" t="s">
        <v>3</v>
      </c>
      <c r="AV79">
        <v>0</v>
      </c>
      <c r="AW79">
        <v>2</v>
      </c>
      <c r="AX79">
        <v>39579627</v>
      </c>
      <c r="AY79">
        <v>1</v>
      </c>
      <c r="AZ79">
        <v>0</v>
      </c>
      <c r="BA79">
        <v>83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Y79*Source!I44</f>
        <v>0.56759999999999999</v>
      </c>
      <c r="CY79">
        <f t="shared" ref="CY79:CY84" si="3">AA79</f>
        <v>16.84</v>
      </c>
      <c r="CZ79">
        <f t="shared" ref="CZ79:CZ84" si="4">AE79</f>
        <v>2.44</v>
      </c>
      <c r="DA79">
        <f t="shared" ref="DA79:DA84" si="5">AI79</f>
        <v>6.9</v>
      </c>
      <c r="DB79">
        <v>0</v>
      </c>
    </row>
    <row r="80" spans="1:106" x14ac:dyDescent="0.2">
      <c r="A80">
        <f>ROW(Source!A44)</f>
        <v>44</v>
      </c>
      <c r="B80">
        <v>39579451</v>
      </c>
      <c r="C80">
        <v>39579608</v>
      </c>
      <c r="D80">
        <v>36807549</v>
      </c>
      <c r="E80">
        <v>1</v>
      </c>
      <c r="F80">
        <v>1</v>
      </c>
      <c r="G80">
        <v>1</v>
      </c>
      <c r="H80">
        <v>3</v>
      </c>
      <c r="I80" t="s">
        <v>605</v>
      </c>
      <c r="J80" t="s">
        <v>606</v>
      </c>
      <c r="K80" t="s">
        <v>607</v>
      </c>
      <c r="L80">
        <v>1348</v>
      </c>
      <c r="N80">
        <v>1009</v>
      </c>
      <c r="O80" t="s">
        <v>105</v>
      </c>
      <c r="P80" t="s">
        <v>105</v>
      </c>
      <c r="Q80">
        <v>1000</v>
      </c>
      <c r="W80">
        <v>0</v>
      </c>
      <c r="X80">
        <v>2108657288</v>
      </c>
      <c r="Y80">
        <v>8.9999999999999993E-3</v>
      </c>
      <c r="AA80">
        <v>44939.7</v>
      </c>
      <c r="AB80">
        <v>0</v>
      </c>
      <c r="AC80">
        <v>0</v>
      </c>
      <c r="AD80">
        <v>0</v>
      </c>
      <c r="AE80">
        <v>6513</v>
      </c>
      <c r="AF80">
        <v>0</v>
      </c>
      <c r="AG80">
        <v>0</v>
      </c>
      <c r="AH80">
        <v>0</v>
      </c>
      <c r="AI80">
        <v>6.9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8.9999999999999993E-3</v>
      </c>
      <c r="AU80" t="s">
        <v>3</v>
      </c>
      <c r="AV80">
        <v>0</v>
      </c>
      <c r="AW80">
        <v>2</v>
      </c>
      <c r="AX80">
        <v>39579628</v>
      </c>
      <c r="AY80">
        <v>1</v>
      </c>
      <c r="AZ80">
        <v>0</v>
      </c>
      <c r="BA80">
        <v>84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Y80*Source!I44</f>
        <v>1.1609999999999999E-2</v>
      </c>
      <c r="CY80">
        <f t="shared" si="3"/>
        <v>44939.7</v>
      </c>
      <c r="CZ80">
        <f t="shared" si="4"/>
        <v>6513</v>
      </c>
      <c r="DA80">
        <f t="shared" si="5"/>
        <v>6.9</v>
      </c>
      <c r="DB80">
        <v>0</v>
      </c>
    </row>
    <row r="81" spans="1:106" x14ac:dyDescent="0.2">
      <c r="A81">
        <f>ROW(Source!A44)</f>
        <v>44</v>
      </c>
      <c r="B81">
        <v>39579451</v>
      </c>
      <c r="C81">
        <v>39579608</v>
      </c>
      <c r="D81">
        <v>36821594</v>
      </c>
      <c r="E81">
        <v>1</v>
      </c>
      <c r="F81">
        <v>1</v>
      </c>
      <c r="G81">
        <v>1</v>
      </c>
      <c r="H81">
        <v>3</v>
      </c>
      <c r="I81" t="s">
        <v>608</v>
      </c>
      <c r="J81" t="s">
        <v>609</v>
      </c>
      <c r="K81" t="s">
        <v>610</v>
      </c>
      <c r="L81">
        <v>1327</v>
      </c>
      <c r="N81">
        <v>1005</v>
      </c>
      <c r="O81" t="s">
        <v>154</v>
      </c>
      <c r="P81" t="s">
        <v>154</v>
      </c>
      <c r="Q81">
        <v>1</v>
      </c>
      <c r="W81">
        <v>0</v>
      </c>
      <c r="X81">
        <v>-331185013</v>
      </c>
      <c r="Y81">
        <v>102</v>
      </c>
      <c r="AA81">
        <v>1393.11</v>
      </c>
      <c r="AB81">
        <v>0</v>
      </c>
      <c r="AC81">
        <v>0</v>
      </c>
      <c r="AD81">
        <v>0</v>
      </c>
      <c r="AE81">
        <v>201.9</v>
      </c>
      <c r="AF81">
        <v>0</v>
      </c>
      <c r="AG81">
        <v>0</v>
      </c>
      <c r="AH81">
        <v>0</v>
      </c>
      <c r="AI81">
        <v>6.9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102</v>
      </c>
      <c r="AU81" t="s">
        <v>3</v>
      </c>
      <c r="AV81">
        <v>0</v>
      </c>
      <c r="AW81">
        <v>2</v>
      </c>
      <c r="AX81">
        <v>39579629</v>
      </c>
      <c r="AY81">
        <v>1</v>
      </c>
      <c r="AZ81">
        <v>0</v>
      </c>
      <c r="BA81">
        <v>85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Y81*Source!I44</f>
        <v>131.58000000000001</v>
      </c>
      <c r="CY81">
        <f t="shared" si="3"/>
        <v>1393.11</v>
      </c>
      <c r="CZ81">
        <f t="shared" si="4"/>
        <v>201.9</v>
      </c>
      <c r="DA81">
        <f t="shared" si="5"/>
        <v>6.9</v>
      </c>
      <c r="DB81">
        <v>0</v>
      </c>
    </row>
    <row r="82" spans="1:106" x14ac:dyDescent="0.2">
      <c r="A82">
        <f>ROW(Source!A44)</f>
        <v>44</v>
      </c>
      <c r="B82">
        <v>39579451</v>
      </c>
      <c r="C82">
        <v>39579608</v>
      </c>
      <c r="D82">
        <v>36837090</v>
      </c>
      <c r="E82">
        <v>1</v>
      </c>
      <c r="F82">
        <v>1</v>
      </c>
      <c r="G82">
        <v>1</v>
      </c>
      <c r="H82">
        <v>3</v>
      </c>
      <c r="I82" t="s">
        <v>611</v>
      </c>
      <c r="J82" t="s">
        <v>612</v>
      </c>
      <c r="K82" t="s">
        <v>613</v>
      </c>
      <c r="L82">
        <v>1346</v>
      </c>
      <c r="N82">
        <v>1009</v>
      </c>
      <c r="O82" t="s">
        <v>118</v>
      </c>
      <c r="P82" t="s">
        <v>118</v>
      </c>
      <c r="Q82">
        <v>1</v>
      </c>
      <c r="W82">
        <v>0</v>
      </c>
      <c r="X82">
        <v>830044740</v>
      </c>
      <c r="Y82">
        <v>1200</v>
      </c>
      <c r="AA82">
        <v>25.46</v>
      </c>
      <c r="AB82">
        <v>0</v>
      </c>
      <c r="AC82">
        <v>0</v>
      </c>
      <c r="AD82">
        <v>0</v>
      </c>
      <c r="AE82">
        <v>3.69</v>
      </c>
      <c r="AF82">
        <v>0</v>
      </c>
      <c r="AG82">
        <v>0</v>
      </c>
      <c r="AH82">
        <v>0</v>
      </c>
      <c r="AI82">
        <v>6.9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1200</v>
      </c>
      <c r="AU82" t="s">
        <v>3</v>
      </c>
      <c r="AV82">
        <v>0</v>
      </c>
      <c r="AW82">
        <v>2</v>
      </c>
      <c r="AX82">
        <v>39579631</v>
      </c>
      <c r="AY82">
        <v>1</v>
      </c>
      <c r="AZ82">
        <v>0</v>
      </c>
      <c r="BA82">
        <v>87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Y82*Source!I44</f>
        <v>1548</v>
      </c>
      <c r="CY82">
        <f t="shared" si="3"/>
        <v>25.46</v>
      </c>
      <c r="CZ82">
        <f t="shared" si="4"/>
        <v>3.69</v>
      </c>
      <c r="DA82">
        <f t="shared" si="5"/>
        <v>6.9</v>
      </c>
      <c r="DB82">
        <v>0</v>
      </c>
    </row>
    <row r="83" spans="1:106" x14ac:dyDescent="0.2">
      <c r="A83">
        <f>ROW(Source!A44)</f>
        <v>44</v>
      </c>
      <c r="B83">
        <v>39579451</v>
      </c>
      <c r="C83">
        <v>39579608</v>
      </c>
      <c r="D83">
        <v>36837972</v>
      </c>
      <c r="E83">
        <v>1</v>
      </c>
      <c r="F83">
        <v>1</v>
      </c>
      <c r="G83">
        <v>1</v>
      </c>
      <c r="H83">
        <v>3</v>
      </c>
      <c r="I83" t="s">
        <v>116</v>
      </c>
      <c r="J83" t="s">
        <v>119</v>
      </c>
      <c r="K83" t="s">
        <v>117</v>
      </c>
      <c r="L83">
        <v>1346</v>
      </c>
      <c r="N83">
        <v>1009</v>
      </c>
      <c r="O83" t="s">
        <v>118</v>
      </c>
      <c r="P83" t="s">
        <v>118</v>
      </c>
      <c r="Q83">
        <v>1</v>
      </c>
      <c r="W83">
        <v>0</v>
      </c>
      <c r="X83">
        <v>303141801</v>
      </c>
      <c r="Y83">
        <v>13.8</v>
      </c>
      <c r="AA83">
        <v>105.23</v>
      </c>
      <c r="AB83">
        <v>0</v>
      </c>
      <c r="AC83">
        <v>0</v>
      </c>
      <c r="AD83">
        <v>0</v>
      </c>
      <c r="AE83">
        <v>15.25</v>
      </c>
      <c r="AF83">
        <v>0</v>
      </c>
      <c r="AG83">
        <v>0</v>
      </c>
      <c r="AH83">
        <v>0</v>
      </c>
      <c r="AI83">
        <v>6.9</v>
      </c>
      <c r="AJ83">
        <v>1</v>
      </c>
      <c r="AK83">
        <v>1</v>
      </c>
      <c r="AL83">
        <v>1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3</v>
      </c>
      <c r="AT83">
        <v>13.8</v>
      </c>
      <c r="AU83" t="s">
        <v>3</v>
      </c>
      <c r="AV83">
        <v>0</v>
      </c>
      <c r="AW83">
        <v>1</v>
      </c>
      <c r="AX83">
        <v>-1</v>
      </c>
      <c r="AY83">
        <v>0</v>
      </c>
      <c r="AZ83">
        <v>0</v>
      </c>
      <c r="BA83" t="s">
        <v>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Y83*Source!I44</f>
        <v>17.802000000000003</v>
      </c>
      <c r="CY83">
        <f t="shared" si="3"/>
        <v>105.23</v>
      </c>
      <c r="CZ83">
        <f t="shared" si="4"/>
        <v>15.25</v>
      </c>
      <c r="DA83">
        <f t="shared" si="5"/>
        <v>6.9</v>
      </c>
      <c r="DB83">
        <v>0</v>
      </c>
    </row>
    <row r="84" spans="1:106" x14ac:dyDescent="0.2">
      <c r="A84">
        <f>ROW(Source!A44)</f>
        <v>44</v>
      </c>
      <c r="B84">
        <v>39579451</v>
      </c>
      <c r="C84">
        <v>39579608</v>
      </c>
      <c r="D84">
        <v>36797079</v>
      </c>
      <c r="E84">
        <v>17</v>
      </c>
      <c r="F84">
        <v>1</v>
      </c>
      <c r="G84">
        <v>1</v>
      </c>
      <c r="H84">
        <v>3</v>
      </c>
      <c r="I84" t="s">
        <v>121</v>
      </c>
      <c r="J84" t="s">
        <v>3</v>
      </c>
      <c r="K84" t="s">
        <v>122</v>
      </c>
      <c r="L84">
        <v>1348</v>
      </c>
      <c r="N84">
        <v>1009</v>
      </c>
      <c r="O84" t="s">
        <v>105</v>
      </c>
      <c r="P84" t="s">
        <v>105</v>
      </c>
      <c r="Q84">
        <v>1000</v>
      </c>
      <c r="W84">
        <v>0</v>
      </c>
      <c r="X84">
        <v>-1212923053</v>
      </c>
      <c r="Y84">
        <v>0.13800000000000001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6.9</v>
      </c>
      <c r="AJ84">
        <v>1</v>
      </c>
      <c r="AK84">
        <v>1</v>
      </c>
      <c r="AL84">
        <v>1</v>
      </c>
      <c r="AN84">
        <v>1</v>
      </c>
      <c r="AO84">
        <v>0</v>
      </c>
      <c r="AP84">
        <v>0</v>
      </c>
      <c r="AQ84">
        <v>0</v>
      </c>
      <c r="AR84">
        <v>0</v>
      </c>
      <c r="AS84" t="s">
        <v>3</v>
      </c>
      <c r="AT84">
        <v>0.13800000000000001</v>
      </c>
      <c r="AU84" t="s">
        <v>3</v>
      </c>
      <c r="AV84">
        <v>0</v>
      </c>
      <c r="AW84">
        <v>2</v>
      </c>
      <c r="AX84">
        <v>39579632</v>
      </c>
      <c r="AY84">
        <v>1</v>
      </c>
      <c r="AZ84">
        <v>6144</v>
      </c>
      <c r="BA84">
        <v>88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Y84*Source!I44</f>
        <v>0.17802000000000001</v>
      </c>
      <c r="CY84">
        <f t="shared" si="3"/>
        <v>0</v>
      </c>
      <c r="CZ84">
        <f t="shared" si="4"/>
        <v>0</v>
      </c>
      <c r="DA84">
        <f t="shared" si="5"/>
        <v>6.9</v>
      </c>
      <c r="DB84">
        <v>0</v>
      </c>
    </row>
    <row r="85" spans="1:106" x14ac:dyDescent="0.2">
      <c r="A85">
        <f>ROW(Source!A47)</f>
        <v>47</v>
      </c>
      <c r="B85">
        <v>39579451</v>
      </c>
      <c r="C85">
        <v>39579637</v>
      </c>
      <c r="D85">
        <v>37070202</v>
      </c>
      <c r="E85">
        <v>1</v>
      </c>
      <c r="F85">
        <v>1</v>
      </c>
      <c r="G85">
        <v>1</v>
      </c>
      <c r="H85">
        <v>1</v>
      </c>
      <c r="I85" t="s">
        <v>614</v>
      </c>
      <c r="J85" t="s">
        <v>3</v>
      </c>
      <c r="K85" t="s">
        <v>615</v>
      </c>
      <c r="L85">
        <v>1191</v>
      </c>
      <c r="N85">
        <v>1013</v>
      </c>
      <c r="O85" t="s">
        <v>519</v>
      </c>
      <c r="P85" t="s">
        <v>519</v>
      </c>
      <c r="Q85">
        <v>1</v>
      </c>
      <c r="W85">
        <v>0</v>
      </c>
      <c r="X85">
        <v>1983201532</v>
      </c>
      <c r="Y85">
        <v>27.392999999999997</v>
      </c>
      <c r="AA85">
        <v>0</v>
      </c>
      <c r="AB85">
        <v>0</v>
      </c>
      <c r="AC85">
        <v>0</v>
      </c>
      <c r="AD85">
        <v>65.62</v>
      </c>
      <c r="AE85">
        <v>0</v>
      </c>
      <c r="AF85">
        <v>0</v>
      </c>
      <c r="AG85">
        <v>0</v>
      </c>
      <c r="AH85">
        <v>9.51</v>
      </c>
      <c r="AI85">
        <v>1</v>
      </c>
      <c r="AJ85">
        <v>1</v>
      </c>
      <c r="AK85">
        <v>1</v>
      </c>
      <c r="AL85">
        <v>6.9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3</v>
      </c>
      <c r="AT85">
        <v>23.82</v>
      </c>
      <c r="AU85" t="s">
        <v>79</v>
      </c>
      <c r="AV85">
        <v>1</v>
      </c>
      <c r="AW85">
        <v>2</v>
      </c>
      <c r="AX85">
        <v>39579638</v>
      </c>
      <c r="AY85">
        <v>1</v>
      </c>
      <c r="AZ85">
        <v>0</v>
      </c>
      <c r="BA85">
        <v>89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Y85*Source!I47</f>
        <v>10.409339999999998</v>
      </c>
      <c r="CY85">
        <f>AD85</f>
        <v>65.62</v>
      </c>
      <c r="CZ85">
        <f>AH85</f>
        <v>9.51</v>
      </c>
      <c r="DA85">
        <f>AL85</f>
        <v>6.9</v>
      </c>
      <c r="DB85">
        <v>0</v>
      </c>
    </row>
    <row r="86" spans="1:106" x14ac:dyDescent="0.2">
      <c r="A86">
        <f>ROW(Source!A47)</f>
        <v>47</v>
      </c>
      <c r="B86">
        <v>39579451</v>
      </c>
      <c r="C86">
        <v>39579637</v>
      </c>
      <c r="D86">
        <v>37064876</v>
      </c>
      <c r="E86">
        <v>1</v>
      </c>
      <c r="F86">
        <v>1</v>
      </c>
      <c r="G86">
        <v>1</v>
      </c>
      <c r="H86">
        <v>1</v>
      </c>
      <c r="I86" t="s">
        <v>520</v>
      </c>
      <c r="J86" t="s">
        <v>3</v>
      </c>
      <c r="K86" t="s">
        <v>521</v>
      </c>
      <c r="L86">
        <v>1191</v>
      </c>
      <c r="N86">
        <v>1013</v>
      </c>
      <c r="O86" t="s">
        <v>519</v>
      </c>
      <c r="P86" t="s">
        <v>519</v>
      </c>
      <c r="Q86">
        <v>1</v>
      </c>
      <c r="W86">
        <v>0</v>
      </c>
      <c r="X86">
        <v>-1417349443</v>
      </c>
      <c r="Y86">
        <v>0.11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6.9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0.11</v>
      </c>
      <c r="AU86" t="s">
        <v>3</v>
      </c>
      <c r="AV86">
        <v>2</v>
      </c>
      <c r="AW86">
        <v>2</v>
      </c>
      <c r="AX86">
        <v>39579639</v>
      </c>
      <c r="AY86">
        <v>1</v>
      </c>
      <c r="AZ86">
        <v>2048</v>
      </c>
      <c r="BA86">
        <v>90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Y86*Source!I47</f>
        <v>4.1800000000000004E-2</v>
      </c>
      <c r="CY86">
        <f>AD86</f>
        <v>0</v>
      </c>
      <c r="CZ86">
        <f>AH86</f>
        <v>0</v>
      </c>
      <c r="DA86">
        <f>AL86</f>
        <v>1</v>
      </c>
      <c r="DB86">
        <v>0</v>
      </c>
    </row>
    <row r="87" spans="1:106" x14ac:dyDescent="0.2">
      <c r="A87">
        <f>ROW(Source!A47)</f>
        <v>47</v>
      </c>
      <c r="B87">
        <v>39579451</v>
      </c>
      <c r="C87">
        <v>39579637</v>
      </c>
      <c r="D87">
        <v>36882452</v>
      </c>
      <c r="E87">
        <v>1</v>
      </c>
      <c r="F87">
        <v>1</v>
      </c>
      <c r="G87">
        <v>1</v>
      </c>
      <c r="H87">
        <v>2</v>
      </c>
      <c r="I87" t="s">
        <v>522</v>
      </c>
      <c r="J87" t="s">
        <v>523</v>
      </c>
      <c r="K87" t="s">
        <v>524</v>
      </c>
      <c r="L87">
        <v>1368</v>
      </c>
      <c r="N87">
        <v>1011</v>
      </c>
      <c r="O87" t="s">
        <v>525</v>
      </c>
      <c r="P87" t="s">
        <v>525</v>
      </c>
      <c r="Q87">
        <v>1</v>
      </c>
      <c r="W87">
        <v>0</v>
      </c>
      <c r="X87">
        <v>1188625873</v>
      </c>
      <c r="Y87">
        <v>6.25E-2</v>
      </c>
      <c r="AA87">
        <v>0</v>
      </c>
      <c r="AB87">
        <v>215.69</v>
      </c>
      <c r="AC87">
        <v>13.5</v>
      </c>
      <c r="AD87">
        <v>0</v>
      </c>
      <c r="AE87">
        <v>0</v>
      </c>
      <c r="AF87">
        <v>31.26</v>
      </c>
      <c r="AG87">
        <v>13.5</v>
      </c>
      <c r="AH87">
        <v>0</v>
      </c>
      <c r="AI87">
        <v>1</v>
      </c>
      <c r="AJ87">
        <v>6.9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0.05</v>
      </c>
      <c r="AU87" t="s">
        <v>78</v>
      </c>
      <c r="AV87">
        <v>0</v>
      </c>
      <c r="AW87">
        <v>2</v>
      </c>
      <c r="AX87">
        <v>39579640</v>
      </c>
      <c r="AY87">
        <v>1</v>
      </c>
      <c r="AZ87">
        <v>0</v>
      </c>
      <c r="BA87">
        <v>91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Y87*Source!I47</f>
        <v>2.375E-2</v>
      </c>
      <c r="CY87">
        <f>AB87</f>
        <v>215.69</v>
      </c>
      <c r="CZ87">
        <f>AF87</f>
        <v>31.26</v>
      </c>
      <c r="DA87">
        <f>AJ87</f>
        <v>6.9</v>
      </c>
      <c r="DB87">
        <v>0</v>
      </c>
    </row>
    <row r="88" spans="1:106" x14ac:dyDescent="0.2">
      <c r="A88">
        <f>ROW(Source!A47)</f>
        <v>47</v>
      </c>
      <c r="B88">
        <v>39579451</v>
      </c>
      <c r="C88">
        <v>39579637</v>
      </c>
      <c r="D88">
        <v>36883554</v>
      </c>
      <c r="E88">
        <v>1</v>
      </c>
      <c r="F88">
        <v>1</v>
      </c>
      <c r="G88">
        <v>1</v>
      </c>
      <c r="H88">
        <v>2</v>
      </c>
      <c r="I88" t="s">
        <v>526</v>
      </c>
      <c r="J88" t="s">
        <v>527</v>
      </c>
      <c r="K88" t="s">
        <v>528</v>
      </c>
      <c r="L88">
        <v>1368</v>
      </c>
      <c r="N88">
        <v>1011</v>
      </c>
      <c r="O88" t="s">
        <v>525</v>
      </c>
      <c r="P88" t="s">
        <v>525</v>
      </c>
      <c r="Q88">
        <v>1</v>
      </c>
      <c r="W88">
        <v>0</v>
      </c>
      <c r="X88">
        <v>1372534845</v>
      </c>
      <c r="Y88">
        <v>7.4999999999999997E-2</v>
      </c>
      <c r="AA88">
        <v>0</v>
      </c>
      <c r="AB88">
        <v>453.4</v>
      </c>
      <c r="AC88">
        <v>11.6</v>
      </c>
      <c r="AD88">
        <v>0</v>
      </c>
      <c r="AE88">
        <v>0</v>
      </c>
      <c r="AF88">
        <v>65.709999999999994</v>
      </c>
      <c r="AG88">
        <v>11.6</v>
      </c>
      <c r="AH88">
        <v>0</v>
      </c>
      <c r="AI88">
        <v>1</v>
      </c>
      <c r="AJ88">
        <v>6.9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3</v>
      </c>
      <c r="AT88">
        <v>0.06</v>
      </c>
      <c r="AU88" t="s">
        <v>78</v>
      </c>
      <c r="AV88">
        <v>0</v>
      </c>
      <c r="AW88">
        <v>2</v>
      </c>
      <c r="AX88">
        <v>39579641</v>
      </c>
      <c r="AY88">
        <v>1</v>
      </c>
      <c r="AZ88">
        <v>0</v>
      </c>
      <c r="BA88">
        <v>92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Y88*Source!I47</f>
        <v>2.8499999999999998E-2</v>
      </c>
      <c r="CY88">
        <f>AB88</f>
        <v>453.4</v>
      </c>
      <c r="CZ88">
        <f>AF88</f>
        <v>65.709999999999994</v>
      </c>
      <c r="DA88">
        <f>AJ88</f>
        <v>6.9</v>
      </c>
      <c r="DB88">
        <v>0</v>
      </c>
    </row>
    <row r="89" spans="1:106" x14ac:dyDescent="0.2">
      <c r="A89">
        <f>ROW(Source!A47)</f>
        <v>47</v>
      </c>
      <c r="B89">
        <v>39579451</v>
      </c>
      <c r="C89">
        <v>39579637</v>
      </c>
      <c r="D89">
        <v>36797146</v>
      </c>
      <c r="E89">
        <v>17</v>
      </c>
      <c r="F89">
        <v>1</v>
      </c>
      <c r="G89">
        <v>1</v>
      </c>
      <c r="H89">
        <v>3</v>
      </c>
      <c r="I89" t="s">
        <v>89</v>
      </c>
      <c r="J89" t="s">
        <v>3</v>
      </c>
      <c r="K89" t="s">
        <v>90</v>
      </c>
      <c r="L89">
        <v>1339</v>
      </c>
      <c r="N89">
        <v>1007</v>
      </c>
      <c r="O89" t="s">
        <v>86</v>
      </c>
      <c r="P89" t="s">
        <v>86</v>
      </c>
      <c r="Q89">
        <v>1</v>
      </c>
      <c r="W89">
        <v>0</v>
      </c>
      <c r="X89">
        <v>-2113302258</v>
      </c>
      <c r="Y89">
        <v>0.16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6.9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3</v>
      </c>
      <c r="AT89">
        <v>0.16</v>
      </c>
      <c r="AU89" t="s">
        <v>3</v>
      </c>
      <c r="AV89">
        <v>0</v>
      </c>
      <c r="AW89">
        <v>2</v>
      </c>
      <c r="AX89">
        <v>39579642</v>
      </c>
      <c r="AY89">
        <v>1</v>
      </c>
      <c r="AZ89">
        <v>0</v>
      </c>
      <c r="BA89">
        <v>93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Y89*Source!I47</f>
        <v>6.08E-2</v>
      </c>
      <c r="CY89">
        <f>AA89</f>
        <v>0</v>
      </c>
      <c r="CZ89">
        <f>AE89</f>
        <v>0</v>
      </c>
      <c r="DA89">
        <f>AI89</f>
        <v>6.9</v>
      </c>
      <c r="DB89">
        <v>0</v>
      </c>
    </row>
    <row r="90" spans="1:106" x14ac:dyDescent="0.2">
      <c r="A90">
        <f>ROW(Source!A47)</f>
        <v>47</v>
      </c>
      <c r="B90">
        <v>39579451</v>
      </c>
      <c r="C90">
        <v>39579637</v>
      </c>
      <c r="D90">
        <v>36807342</v>
      </c>
      <c r="E90">
        <v>1</v>
      </c>
      <c r="F90">
        <v>1</v>
      </c>
      <c r="G90">
        <v>1</v>
      </c>
      <c r="H90">
        <v>3</v>
      </c>
      <c r="I90" t="s">
        <v>84</v>
      </c>
      <c r="J90" t="s">
        <v>87</v>
      </c>
      <c r="K90" t="s">
        <v>85</v>
      </c>
      <c r="L90">
        <v>1339</v>
      </c>
      <c r="N90">
        <v>1007</v>
      </c>
      <c r="O90" t="s">
        <v>86</v>
      </c>
      <c r="P90" t="s">
        <v>86</v>
      </c>
      <c r="Q90">
        <v>1</v>
      </c>
      <c r="W90">
        <v>0</v>
      </c>
      <c r="X90">
        <v>519185539</v>
      </c>
      <c r="Y90">
        <v>0.16</v>
      </c>
      <c r="AA90">
        <v>3586.62</v>
      </c>
      <c r="AB90">
        <v>0</v>
      </c>
      <c r="AC90">
        <v>0</v>
      </c>
      <c r="AD90">
        <v>0</v>
      </c>
      <c r="AE90">
        <v>519.79999999999995</v>
      </c>
      <c r="AF90">
        <v>0</v>
      </c>
      <c r="AG90">
        <v>0</v>
      </c>
      <c r="AH90">
        <v>0</v>
      </c>
      <c r="AI90">
        <v>6.9</v>
      </c>
      <c r="AJ90">
        <v>1</v>
      </c>
      <c r="AK90">
        <v>1</v>
      </c>
      <c r="AL90">
        <v>1</v>
      </c>
      <c r="AN90">
        <v>0</v>
      </c>
      <c r="AO90">
        <v>0</v>
      </c>
      <c r="AP90">
        <v>0</v>
      </c>
      <c r="AQ90">
        <v>0</v>
      </c>
      <c r="AR90">
        <v>0</v>
      </c>
      <c r="AS90" t="s">
        <v>3</v>
      </c>
      <c r="AT90">
        <v>0.16</v>
      </c>
      <c r="AU90" t="s">
        <v>3</v>
      </c>
      <c r="AV90">
        <v>0</v>
      </c>
      <c r="AW90">
        <v>1</v>
      </c>
      <c r="AX90">
        <v>-1</v>
      </c>
      <c r="AY90">
        <v>0</v>
      </c>
      <c r="AZ90">
        <v>0</v>
      </c>
      <c r="BA90" t="s">
        <v>3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Y90*Source!I47</f>
        <v>6.08E-2</v>
      </c>
      <c r="CY90">
        <f>AA90</f>
        <v>3586.62</v>
      </c>
      <c r="CZ90">
        <f>AE90</f>
        <v>519.79999999999995</v>
      </c>
      <c r="DA90">
        <f>AI90</f>
        <v>6.9</v>
      </c>
      <c r="DB90">
        <v>0</v>
      </c>
    </row>
    <row r="91" spans="1:106" x14ac:dyDescent="0.2">
      <c r="A91">
        <f>ROW(Source!A47)</f>
        <v>47</v>
      </c>
      <c r="B91">
        <v>39579451</v>
      </c>
      <c r="C91">
        <v>39579637</v>
      </c>
      <c r="D91">
        <v>36797260</v>
      </c>
      <c r="E91">
        <v>17</v>
      </c>
      <c r="F91">
        <v>1</v>
      </c>
      <c r="G91">
        <v>1</v>
      </c>
      <c r="H91">
        <v>3</v>
      </c>
      <c r="I91" t="s">
        <v>135</v>
      </c>
      <c r="J91" t="s">
        <v>3</v>
      </c>
      <c r="K91" t="s">
        <v>136</v>
      </c>
      <c r="L91">
        <v>1301</v>
      </c>
      <c r="N91">
        <v>1003</v>
      </c>
      <c r="O91" t="s">
        <v>131</v>
      </c>
      <c r="P91" t="s">
        <v>131</v>
      </c>
      <c r="Q91">
        <v>1</v>
      </c>
      <c r="W91">
        <v>0</v>
      </c>
      <c r="X91">
        <v>1949164399</v>
      </c>
      <c r="Y91">
        <v>101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6.9</v>
      </c>
      <c r="AJ91">
        <v>1</v>
      </c>
      <c r="AK91">
        <v>1</v>
      </c>
      <c r="AL91">
        <v>1</v>
      </c>
      <c r="AN91">
        <v>0</v>
      </c>
      <c r="AO91">
        <v>0</v>
      </c>
      <c r="AP91">
        <v>0</v>
      </c>
      <c r="AQ91">
        <v>0</v>
      </c>
      <c r="AR91">
        <v>0</v>
      </c>
      <c r="AS91" t="s">
        <v>3</v>
      </c>
      <c r="AT91">
        <v>101</v>
      </c>
      <c r="AU91" t="s">
        <v>3</v>
      </c>
      <c r="AV91">
        <v>0</v>
      </c>
      <c r="AW91">
        <v>2</v>
      </c>
      <c r="AX91">
        <v>39579643</v>
      </c>
      <c r="AY91">
        <v>1</v>
      </c>
      <c r="AZ91">
        <v>0</v>
      </c>
      <c r="BA91">
        <v>94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Y91*Source!I47</f>
        <v>38.380000000000003</v>
      </c>
      <c r="CY91">
        <f>AA91</f>
        <v>0</v>
      </c>
      <c r="CZ91">
        <f>AE91</f>
        <v>0</v>
      </c>
      <c r="DA91">
        <f>AI91</f>
        <v>6.9</v>
      </c>
      <c r="DB91">
        <v>0</v>
      </c>
    </row>
    <row r="92" spans="1:106" x14ac:dyDescent="0.2">
      <c r="A92">
        <f>ROW(Source!A47)</f>
        <v>47</v>
      </c>
      <c r="B92">
        <v>39579451</v>
      </c>
      <c r="C92">
        <v>39579637</v>
      </c>
      <c r="D92">
        <v>36821602</v>
      </c>
      <c r="E92">
        <v>1</v>
      </c>
      <c r="F92">
        <v>1</v>
      </c>
      <c r="G92">
        <v>1</v>
      </c>
      <c r="H92">
        <v>3</v>
      </c>
      <c r="I92" t="s">
        <v>129</v>
      </c>
      <c r="J92" t="s">
        <v>132</v>
      </c>
      <c r="K92" t="s">
        <v>130</v>
      </c>
      <c r="L92">
        <v>1301</v>
      </c>
      <c r="N92">
        <v>1003</v>
      </c>
      <c r="O92" t="s">
        <v>131</v>
      </c>
      <c r="P92" t="s">
        <v>131</v>
      </c>
      <c r="Q92">
        <v>1</v>
      </c>
      <c r="W92">
        <v>0</v>
      </c>
      <c r="X92">
        <v>831643793</v>
      </c>
      <c r="Y92">
        <v>101</v>
      </c>
      <c r="AA92">
        <v>163.74</v>
      </c>
      <c r="AB92">
        <v>0</v>
      </c>
      <c r="AC92">
        <v>0</v>
      </c>
      <c r="AD92">
        <v>0</v>
      </c>
      <c r="AE92">
        <v>23.73</v>
      </c>
      <c r="AF92">
        <v>0</v>
      </c>
      <c r="AG92">
        <v>0</v>
      </c>
      <c r="AH92">
        <v>0</v>
      </c>
      <c r="AI92">
        <v>6.9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3</v>
      </c>
      <c r="AT92">
        <v>101</v>
      </c>
      <c r="AU92" t="s">
        <v>3</v>
      </c>
      <c r="AV92">
        <v>0</v>
      </c>
      <c r="AW92">
        <v>1</v>
      </c>
      <c r="AX92">
        <v>-1</v>
      </c>
      <c r="AY92">
        <v>0</v>
      </c>
      <c r="AZ92">
        <v>0</v>
      </c>
      <c r="BA92" t="s">
        <v>3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Y92*Source!I47</f>
        <v>38.380000000000003</v>
      </c>
      <c r="CY92">
        <f>AA92</f>
        <v>163.74</v>
      </c>
      <c r="CZ92">
        <f>AE92</f>
        <v>23.73</v>
      </c>
      <c r="DA92">
        <f>AI92</f>
        <v>6.9</v>
      </c>
      <c r="DB92">
        <v>0</v>
      </c>
    </row>
    <row r="93" spans="1:106" x14ac:dyDescent="0.2">
      <c r="A93">
        <f>ROW(Source!A52)</f>
        <v>52</v>
      </c>
      <c r="B93">
        <v>39579451</v>
      </c>
      <c r="C93">
        <v>39579664</v>
      </c>
      <c r="D93">
        <v>37064878</v>
      </c>
      <c r="E93">
        <v>1</v>
      </c>
      <c r="F93">
        <v>1</v>
      </c>
      <c r="G93">
        <v>1</v>
      </c>
      <c r="H93">
        <v>1</v>
      </c>
      <c r="I93" t="s">
        <v>517</v>
      </c>
      <c r="J93" t="s">
        <v>3</v>
      </c>
      <c r="K93" t="s">
        <v>518</v>
      </c>
      <c r="L93">
        <v>1191</v>
      </c>
      <c r="N93">
        <v>1013</v>
      </c>
      <c r="O93" t="s">
        <v>519</v>
      </c>
      <c r="P93" t="s">
        <v>519</v>
      </c>
      <c r="Q93">
        <v>1</v>
      </c>
      <c r="W93">
        <v>0</v>
      </c>
      <c r="X93">
        <v>-1081351934</v>
      </c>
      <c r="Y93">
        <v>117.82899999999998</v>
      </c>
      <c r="AA93">
        <v>0</v>
      </c>
      <c r="AB93">
        <v>0</v>
      </c>
      <c r="AC93">
        <v>0</v>
      </c>
      <c r="AD93">
        <v>64.86</v>
      </c>
      <c r="AE93">
        <v>0</v>
      </c>
      <c r="AF93">
        <v>0</v>
      </c>
      <c r="AG93">
        <v>0</v>
      </c>
      <c r="AH93">
        <v>9.4</v>
      </c>
      <c r="AI93">
        <v>1</v>
      </c>
      <c r="AJ93">
        <v>1</v>
      </c>
      <c r="AK93">
        <v>1</v>
      </c>
      <c r="AL93">
        <v>6.9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3</v>
      </c>
      <c r="AT93">
        <v>102.46</v>
      </c>
      <c r="AU93" t="s">
        <v>79</v>
      </c>
      <c r="AV93">
        <v>1</v>
      </c>
      <c r="AW93">
        <v>2</v>
      </c>
      <c r="AX93">
        <v>39579665</v>
      </c>
      <c r="AY93">
        <v>1</v>
      </c>
      <c r="AZ93">
        <v>0</v>
      </c>
      <c r="BA93">
        <v>95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Y93*Source!I52</f>
        <v>13.573900799999997</v>
      </c>
      <c r="CY93">
        <f>AD93</f>
        <v>64.86</v>
      </c>
      <c r="CZ93">
        <f>AH93</f>
        <v>9.4</v>
      </c>
      <c r="DA93">
        <f>AL93</f>
        <v>6.9</v>
      </c>
      <c r="DB93">
        <v>0</v>
      </c>
    </row>
    <row r="94" spans="1:106" x14ac:dyDescent="0.2">
      <c r="A94">
        <f>ROW(Source!A52)</f>
        <v>52</v>
      </c>
      <c r="B94">
        <v>39579451</v>
      </c>
      <c r="C94">
        <v>39579664</v>
      </c>
      <c r="D94">
        <v>37064876</v>
      </c>
      <c r="E94">
        <v>1</v>
      </c>
      <c r="F94">
        <v>1</v>
      </c>
      <c r="G94">
        <v>1</v>
      </c>
      <c r="H94">
        <v>1</v>
      </c>
      <c r="I94" t="s">
        <v>520</v>
      </c>
      <c r="J94" t="s">
        <v>3</v>
      </c>
      <c r="K94" t="s">
        <v>521</v>
      </c>
      <c r="L94">
        <v>1191</v>
      </c>
      <c r="N94">
        <v>1013</v>
      </c>
      <c r="O94" t="s">
        <v>519</v>
      </c>
      <c r="P94" t="s">
        <v>519</v>
      </c>
      <c r="Q94">
        <v>1</v>
      </c>
      <c r="W94">
        <v>0</v>
      </c>
      <c r="X94">
        <v>-1417349443</v>
      </c>
      <c r="Y94">
        <v>5.34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6.9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5.34</v>
      </c>
      <c r="AU94" t="s">
        <v>3</v>
      </c>
      <c r="AV94">
        <v>2</v>
      </c>
      <c r="AW94">
        <v>2</v>
      </c>
      <c r="AX94">
        <v>39579666</v>
      </c>
      <c r="AY94">
        <v>1</v>
      </c>
      <c r="AZ94">
        <v>2048</v>
      </c>
      <c r="BA94">
        <v>96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Y94*Source!I52</f>
        <v>0.61516799999999994</v>
      </c>
      <c r="CY94">
        <f>AD94</f>
        <v>0</v>
      </c>
      <c r="CZ94">
        <f>AH94</f>
        <v>0</v>
      </c>
      <c r="DA94">
        <f>AL94</f>
        <v>1</v>
      </c>
      <c r="DB94">
        <v>0</v>
      </c>
    </row>
    <row r="95" spans="1:106" x14ac:dyDescent="0.2">
      <c r="A95">
        <f>ROW(Source!A52)</f>
        <v>52</v>
      </c>
      <c r="B95">
        <v>39579451</v>
      </c>
      <c r="C95">
        <v>39579664</v>
      </c>
      <c r="D95">
        <v>36882452</v>
      </c>
      <c r="E95">
        <v>1</v>
      </c>
      <c r="F95">
        <v>1</v>
      </c>
      <c r="G95">
        <v>1</v>
      </c>
      <c r="H95">
        <v>2</v>
      </c>
      <c r="I95" t="s">
        <v>522</v>
      </c>
      <c r="J95" t="s">
        <v>523</v>
      </c>
      <c r="K95" t="s">
        <v>524</v>
      </c>
      <c r="L95">
        <v>1368</v>
      </c>
      <c r="N95">
        <v>1011</v>
      </c>
      <c r="O95" t="s">
        <v>525</v>
      </c>
      <c r="P95" t="s">
        <v>525</v>
      </c>
      <c r="Q95">
        <v>1</v>
      </c>
      <c r="W95">
        <v>0</v>
      </c>
      <c r="X95">
        <v>1188625873</v>
      </c>
      <c r="Y95">
        <v>0.95</v>
      </c>
      <c r="AA95">
        <v>0</v>
      </c>
      <c r="AB95">
        <v>215.69</v>
      </c>
      <c r="AC95">
        <v>13.5</v>
      </c>
      <c r="AD95">
        <v>0</v>
      </c>
      <c r="AE95">
        <v>0</v>
      </c>
      <c r="AF95">
        <v>31.26</v>
      </c>
      <c r="AG95">
        <v>13.5</v>
      </c>
      <c r="AH95">
        <v>0</v>
      </c>
      <c r="AI95">
        <v>1</v>
      </c>
      <c r="AJ95">
        <v>6.9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3</v>
      </c>
      <c r="AT95">
        <v>0.76</v>
      </c>
      <c r="AU95" t="s">
        <v>78</v>
      </c>
      <c r="AV95">
        <v>0</v>
      </c>
      <c r="AW95">
        <v>2</v>
      </c>
      <c r="AX95">
        <v>39579667</v>
      </c>
      <c r="AY95">
        <v>1</v>
      </c>
      <c r="AZ95">
        <v>0</v>
      </c>
      <c r="BA95">
        <v>97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Y95*Source!I52</f>
        <v>0.10944</v>
      </c>
      <c r="CY95">
        <f>AB95</f>
        <v>215.69</v>
      </c>
      <c r="CZ95">
        <f>AF95</f>
        <v>31.26</v>
      </c>
      <c r="DA95">
        <f>AJ95</f>
        <v>6.9</v>
      </c>
      <c r="DB95">
        <v>0</v>
      </c>
    </row>
    <row r="96" spans="1:106" x14ac:dyDescent="0.2">
      <c r="A96">
        <f>ROW(Source!A52)</f>
        <v>52</v>
      </c>
      <c r="B96">
        <v>39579451</v>
      </c>
      <c r="C96">
        <v>39579664</v>
      </c>
      <c r="D96">
        <v>36883554</v>
      </c>
      <c r="E96">
        <v>1</v>
      </c>
      <c r="F96">
        <v>1</v>
      </c>
      <c r="G96">
        <v>1</v>
      </c>
      <c r="H96">
        <v>2</v>
      </c>
      <c r="I96" t="s">
        <v>526</v>
      </c>
      <c r="J96" t="s">
        <v>527</v>
      </c>
      <c r="K96" t="s">
        <v>528</v>
      </c>
      <c r="L96">
        <v>1368</v>
      </c>
      <c r="N96">
        <v>1011</v>
      </c>
      <c r="O96" t="s">
        <v>525</v>
      </c>
      <c r="P96" t="s">
        <v>525</v>
      </c>
      <c r="Q96">
        <v>1</v>
      </c>
      <c r="W96">
        <v>0</v>
      </c>
      <c r="X96">
        <v>1372534845</v>
      </c>
      <c r="Y96">
        <v>5.7249999999999996</v>
      </c>
      <c r="AA96">
        <v>0</v>
      </c>
      <c r="AB96">
        <v>453.4</v>
      </c>
      <c r="AC96">
        <v>11.6</v>
      </c>
      <c r="AD96">
        <v>0</v>
      </c>
      <c r="AE96">
        <v>0</v>
      </c>
      <c r="AF96">
        <v>65.709999999999994</v>
      </c>
      <c r="AG96">
        <v>11.6</v>
      </c>
      <c r="AH96">
        <v>0</v>
      </c>
      <c r="AI96">
        <v>1</v>
      </c>
      <c r="AJ96">
        <v>6.9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3</v>
      </c>
      <c r="AT96">
        <v>4.58</v>
      </c>
      <c r="AU96" t="s">
        <v>78</v>
      </c>
      <c r="AV96">
        <v>0</v>
      </c>
      <c r="AW96">
        <v>2</v>
      </c>
      <c r="AX96">
        <v>39579668</v>
      </c>
      <c r="AY96">
        <v>1</v>
      </c>
      <c r="AZ96">
        <v>0</v>
      </c>
      <c r="BA96">
        <v>98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Y96*Source!I52</f>
        <v>0.65952</v>
      </c>
      <c r="CY96">
        <f>AB96</f>
        <v>453.4</v>
      </c>
      <c r="CZ96">
        <f>AF96</f>
        <v>65.709999999999994</v>
      </c>
      <c r="DA96">
        <f>AJ96</f>
        <v>6.9</v>
      </c>
      <c r="DB96">
        <v>0</v>
      </c>
    </row>
    <row r="97" spans="1:106" x14ac:dyDescent="0.2">
      <c r="A97">
        <f>ROW(Source!A52)</f>
        <v>52</v>
      </c>
      <c r="B97">
        <v>39579451</v>
      </c>
      <c r="C97">
        <v>39579664</v>
      </c>
      <c r="D97">
        <v>36801649</v>
      </c>
      <c r="E97">
        <v>1</v>
      </c>
      <c r="F97">
        <v>1</v>
      </c>
      <c r="G97">
        <v>1</v>
      </c>
      <c r="H97">
        <v>3</v>
      </c>
      <c r="I97" t="s">
        <v>529</v>
      </c>
      <c r="J97" t="s">
        <v>530</v>
      </c>
      <c r="K97" t="s">
        <v>531</v>
      </c>
      <c r="L97">
        <v>1327</v>
      </c>
      <c r="N97">
        <v>1005</v>
      </c>
      <c r="O97" t="s">
        <v>154</v>
      </c>
      <c r="P97" t="s">
        <v>154</v>
      </c>
      <c r="Q97">
        <v>1</v>
      </c>
      <c r="W97">
        <v>0</v>
      </c>
      <c r="X97">
        <v>1385600515</v>
      </c>
      <c r="Y97">
        <v>103</v>
      </c>
      <c r="AA97">
        <v>357.42</v>
      </c>
      <c r="AB97">
        <v>0</v>
      </c>
      <c r="AC97">
        <v>0</v>
      </c>
      <c r="AD97">
        <v>0</v>
      </c>
      <c r="AE97">
        <v>51.8</v>
      </c>
      <c r="AF97">
        <v>0</v>
      </c>
      <c r="AG97">
        <v>0</v>
      </c>
      <c r="AH97">
        <v>0</v>
      </c>
      <c r="AI97">
        <v>6.9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103</v>
      </c>
      <c r="AU97" t="s">
        <v>3</v>
      </c>
      <c r="AV97">
        <v>0</v>
      </c>
      <c r="AW97">
        <v>2</v>
      </c>
      <c r="AX97">
        <v>39579669</v>
      </c>
      <c r="AY97">
        <v>1</v>
      </c>
      <c r="AZ97">
        <v>0</v>
      </c>
      <c r="BA97">
        <v>99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Y97*Source!I52</f>
        <v>11.865599999999999</v>
      </c>
      <c r="CY97">
        <f>AA97</f>
        <v>357.42</v>
      </c>
      <c r="CZ97">
        <f>AE97</f>
        <v>51.8</v>
      </c>
      <c r="DA97">
        <f>AI97</f>
        <v>6.9</v>
      </c>
      <c r="DB97">
        <v>0</v>
      </c>
    </row>
    <row r="98" spans="1:106" x14ac:dyDescent="0.2">
      <c r="A98">
        <f>ROW(Source!A53)</f>
        <v>53</v>
      </c>
      <c r="B98">
        <v>39579451</v>
      </c>
      <c r="C98">
        <v>39579654</v>
      </c>
      <c r="D98">
        <v>37071037</v>
      </c>
      <c r="E98">
        <v>1</v>
      </c>
      <c r="F98">
        <v>1</v>
      </c>
      <c r="G98">
        <v>1</v>
      </c>
      <c r="H98">
        <v>1</v>
      </c>
      <c r="I98" t="s">
        <v>616</v>
      </c>
      <c r="J98" t="s">
        <v>3</v>
      </c>
      <c r="K98" t="s">
        <v>617</v>
      </c>
      <c r="L98">
        <v>1191</v>
      </c>
      <c r="N98">
        <v>1013</v>
      </c>
      <c r="O98" t="s">
        <v>519</v>
      </c>
      <c r="P98" t="s">
        <v>519</v>
      </c>
      <c r="Q98">
        <v>1</v>
      </c>
      <c r="W98">
        <v>0</v>
      </c>
      <c r="X98">
        <v>1069510174</v>
      </c>
      <c r="Y98">
        <v>18.767999999999997</v>
      </c>
      <c r="AA98">
        <v>0</v>
      </c>
      <c r="AB98">
        <v>0</v>
      </c>
      <c r="AC98">
        <v>0</v>
      </c>
      <c r="AD98">
        <v>66.38</v>
      </c>
      <c r="AE98">
        <v>0</v>
      </c>
      <c r="AF98">
        <v>0</v>
      </c>
      <c r="AG98">
        <v>0</v>
      </c>
      <c r="AH98">
        <v>9.6199999999999992</v>
      </c>
      <c r="AI98">
        <v>1</v>
      </c>
      <c r="AJ98">
        <v>1</v>
      </c>
      <c r="AK98">
        <v>1</v>
      </c>
      <c r="AL98">
        <v>6.9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3</v>
      </c>
      <c r="AT98">
        <v>16.32</v>
      </c>
      <c r="AU98" t="s">
        <v>79</v>
      </c>
      <c r="AV98">
        <v>1</v>
      </c>
      <c r="AW98">
        <v>2</v>
      </c>
      <c r="AX98">
        <v>39579655</v>
      </c>
      <c r="AY98">
        <v>1</v>
      </c>
      <c r="AZ98">
        <v>0</v>
      </c>
      <c r="BA98">
        <v>100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Y98*Source!I53</f>
        <v>17.266559999999998</v>
      </c>
      <c r="CY98">
        <f>AD98</f>
        <v>66.38</v>
      </c>
      <c r="CZ98">
        <f>AH98</f>
        <v>9.6199999999999992</v>
      </c>
      <c r="DA98">
        <f>AL98</f>
        <v>6.9</v>
      </c>
      <c r="DB98">
        <v>0</v>
      </c>
    </row>
    <row r="99" spans="1:106" x14ac:dyDescent="0.2">
      <c r="A99">
        <f>ROW(Source!A53)</f>
        <v>53</v>
      </c>
      <c r="B99">
        <v>39579451</v>
      </c>
      <c r="C99">
        <v>39579654</v>
      </c>
      <c r="D99">
        <v>37064876</v>
      </c>
      <c r="E99">
        <v>1</v>
      </c>
      <c r="F99">
        <v>1</v>
      </c>
      <c r="G99">
        <v>1</v>
      </c>
      <c r="H99">
        <v>1</v>
      </c>
      <c r="I99" t="s">
        <v>520</v>
      </c>
      <c r="J99" t="s">
        <v>3</v>
      </c>
      <c r="K99" t="s">
        <v>521</v>
      </c>
      <c r="L99">
        <v>1191</v>
      </c>
      <c r="N99">
        <v>1013</v>
      </c>
      <c r="O99" t="s">
        <v>519</v>
      </c>
      <c r="P99" t="s">
        <v>519</v>
      </c>
      <c r="Q99">
        <v>1</v>
      </c>
      <c r="W99">
        <v>0</v>
      </c>
      <c r="X99">
        <v>-1417349443</v>
      </c>
      <c r="Y99">
        <v>0.03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6.9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0.03</v>
      </c>
      <c r="AU99" t="s">
        <v>3</v>
      </c>
      <c r="AV99">
        <v>2</v>
      </c>
      <c r="AW99">
        <v>2</v>
      </c>
      <c r="AX99">
        <v>39579656</v>
      </c>
      <c r="AY99">
        <v>1</v>
      </c>
      <c r="AZ99">
        <v>2048</v>
      </c>
      <c r="BA99">
        <v>101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Y99*Source!I53</f>
        <v>2.76E-2</v>
      </c>
      <c r="CY99">
        <f>AD99</f>
        <v>0</v>
      </c>
      <c r="CZ99">
        <f>AH99</f>
        <v>0</v>
      </c>
      <c r="DA99">
        <f>AL99</f>
        <v>1</v>
      </c>
      <c r="DB99">
        <v>0</v>
      </c>
    </row>
    <row r="100" spans="1:106" x14ac:dyDescent="0.2">
      <c r="A100">
        <f>ROW(Source!A53)</f>
        <v>53</v>
      </c>
      <c r="B100">
        <v>39579451</v>
      </c>
      <c r="C100">
        <v>39579654</v>
      </c>
      <c r="D100">
        <v>36882452</v>
      </c>
      <c r="E100">
        <v>1</v>
      </c>
      <c r="F100">
        <v>1</v>
      </c>
      <c r="G100">
        <v>1</v>
      </c>
      <c r="H100">
        <v>2</v>
      </c>
      <c r="I100" t="s">
        <v>522</v>
      </c>
      <c r="J100" t="s">
        <v>523</v>
      </c>
      <c r="K100" t="s">
        <v>524</v>
      </c>
      <c r="L100">
        <v>1368</v>
      </c>
      <c r="N100">
        <v>1011</v>
      </c>
      <c r="O100" t="s">
        <v>525</v>
      </c>
      <c r="P100" t="s">
        <v>525</v>
      </c>
      <c r="Q100">
        <v>1</v>
      </c>
      <c r="W100">
        <v>0</v>
      </c>
      <c r="X100">
        <v>1188625873</v>
      </c>
      <c r="Y100">
        <v>1.2500000000000001E-2</v>
      </c>
      <c r="AA100">
        <v>0</v>
      </c>
      <c r="AB100">
        <v>215.69</v>
      </c>
      <c r="AC100">
        <v>13.5</v>
      </c>
      <c r="AD100">
        <v>0</v>
      </c>
      <c r="AE100">
        <v>0</v>
      </c>
      <c r="AF100">
        <v>31.26</v>
      </c>
      <c r="AG100">
        <v>13.5</v>
      </c>
      <c r="AH100">
        <v>0</v>
      </c>
      <c r="AI100">
        <v>1</v>
      </c>
      <c r="AJ100">
        <v>6.9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3</v>
      </c>
      <c r="AT100">
        <v>0.01</v>
      </c>
      <c r="AU100" t="s">
        <v>78</v>
      </c>
      <c r="AV100">
        <v>0</v>
      </c>
      <c r="AW100">
        <v>2</v>
      </c>
      <c r="AX100">
        <v>39579657</v>
      </c>
      <c r="AY100">
        <v>1</v>
      </c>
      <c r="AZ100">
        <v>0</v>
      </c>
      <c r="BA100">
        <v>102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Y100*Source!I53</f>
        <v>1.1500000000000002E-2</v>
      </c>
      <c r="CY100">
        <f>AB100</f>
        <v>215.69</v>
      </c>
      <c r="CZ100">
        <f>AF100</f>
        <v>31.26</v>
      </c>
      <c r="DA100">
        <f>AJ100</f>
        <v>6.9</v>
      </c>
      <c r="DB100">
        <v>0</v>
      </c>
    </row>
    <row r="101" spans="1:106" x14ac:dyDescent="0.2">
      <c r="A101">
        <f>ROW(Source!A53)</f>
        <v>53</v>
      </c>
      <c r="B101">
        <v>39579451</v>
      </c>
      <c r="C101">
        <v>39579654</v>
      </c>
      <c r="D101">
        <v>36883554</v>
      </c>
      <c r="E101">
        <v>1</v>
      </c>
      <c r="F101">
        <v>1</v>
      </c>
      <c r="G101">
        <v>1</v>
      </c>
      <c r="H101">
        <v>2</v>
      </c>
      <c r="I101" t="s">
        <v>526</v>
      </c>
      <c r="J101" t="s">
        <v>527</v>
      </c>
      <c r="K101" t="s">
        <v>528</v>
      </c>
      <c r="L101">
        <v>1368</v>
      </c>
      <c r="N101">
        <v>1011</v>
      </c>
      <c r="O101" t="s">
        <v>525</v>
      </c>
      <c r="P101" t="s">
        <v>525</v>
      </c>
      <c r="Q101">
        <v>1</v>
      </c>
      <c r="W101">
        <v>0</v>
      </c>
      <c r="X101">
        <v>1372534845</v>
      </c>
      <c r="Y101">
        <v>2.5000000000000001E-2</v>
      </c>
      <c r="AA101">
        <v>0</v>
      </c>
      <c r="AB101">
        <v>453.4</v>
      </c>
      <c r="AC101">
        <v>11.6</v>
      </c>
      <c r="AD101">
        <v>0</v>
      </c>
      <c r="AE101">
        <v>0</v>
      </c>
      <c r="AF101">
        <v>65.709999999999994</v>
      </c>
      <c r="AG101">
        <v>11.6</v>
      </c>
      <c r="AH101">
        <v>0</v>
      </c>
      <c r="AI101">
        <v>1</v>
      </c>
      <c r="AJ101">
        <v>6.9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0.02</v>
      </c>
      <c r="AU101" t="s">
        <v>78</v>
      </c>
      <c r="AV101">
        <v>0</v>
      </c>
      <c r="AW101">
        <v>2</v>
      </c>
      <c r="AX101">
        <v>39579658</v>
      </c>
      <c r="AY101">
        <v>1</v>
      </c>
      <c r="AZ101">
        <v>0</v>
      </c>
      <c r="BA101">
        <v>103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Y101*Source!I53</f>
        <v>2.3000000000000003E-2</v>
      </c>
      <c r="CY101">
        <f>AB101</f>
        <v>453.4</v>
      </c>
      <c r="CZ101">
        <f>AF101</f>
        <v>65.709999999999994</v>
      </c>
      <c r="DA101">
        <f>AJ101</f>
        <v>6.9</v>
      </c>
      <c r="DB101">
        <v>0</v>
      </c>
    </row>
    <row r="102" spans="1:106" x14ac:dyDescent="0.2">
      <c r="A102">
        <f>ROW(Source!A53)</f>
        <v>53</v>
      </c>
      <c r="B102">
        <v>39579451</v>
      </c>
      <c r="C102">
        <v>39579654</v>
      </c>
      <c r="D102">
        <v>36805524</v>
      </c>
      <c r="E102">
        <v>1</v>
      </c>
      <c r="F102">
        <v>1</v>
      </c>
      <c r="G102">
        <v>1</v>
      </c>
      <c r="H102">
        <v>3</v>
      </c>
      <c r="I102" t="s">
        <v>591</v>
      </c>
      <c r="J102" t="s">
        <v>592</v>
      </c>
      <c r="K102" t="s">
        <v>593</v>
      </c>
      <c r="L102">
        <v>1346</v>
      </c>
      <c r="N102">
        <v>1009</v>
      </c>
      <c r="O102" t="s">
        <v>118</v>
      </c>
      <c r="P102" t="s">
        <v>118</v>
      </c>
      <c r="Q102">
        <v>1</v>
      </c>
      <c r="W102">
        <v>0</v>
      </c>
      <c r="X102">
        <v>813963326</v>
      </c>
      <c r="Y102">
        <v>0.2</v>
      </c>
      <c r="AA102">
        <v>12.56</v>
      </c>
      <c r="AB102">
        <v>0</v>
      </c>
      <c r="AC102">
        <v>0</v>
      </c>
      <c r="AD102">
        <v>0</v>
      </c>
      <c r="AE102">
        <v>1.82</v>
      </c>
      <c r="AF102">
        <v>0</v>
      </c>
      <c r="AG102">
        <v>0</v>
      </c>
      <c r="AH102">
        <v>0</v>
      </c>
      <c r="AI102">
        <v>6.9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0.2</v>
      </c>
      <c r="AU102" t="s">
        <v>3</v>
      </c>
      <c r="AV102">
        <v>0</v>
      </c>
      <c r="AW102">
        <v>2</v>
      </c>
      <c r="AX102">
        <v>39579659</v>
      </c>
      <c r="AY102">
        <v>1</v>
      </c>
      <c r="AZ102">
        <v>0</v>
      </c>
      <c r="BA102">
        <v>104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Y102*Source!I53</f>
        <v>0.18400000000000002</v>
      </c>
      <c r="CY102">
        <f>AA102</f>
        <v>12.56</v>
      </c>
      <c r="CZ102">
        <f>AE102</f>
        <v>1.82</v>
      </c>
      <c r="DA102">
        <f>AI102</f>
        <v>6.9</v>
      </c>
      <c r="DB102">
        <v>0</v>
      </c>
    </row>
    <row r="103" spans="1:106" x14ac:dyDescent="0.2">
      <c r="A103">
        <f>ROW(Source!A53)</f>
        <v>53</v>
      </c>
      <c r="B103">
        <v>39579451</v>
      </c>
      <c r="C103">
        <v>39579654</v>
      </c>
      <c r="D103">
        <v>36837972</v>
      </c>
      <c r="E103">
        <v>1</v>
      </c>
      <c r="F103">
        <v>1</v>
      </c>
      <c r="G103">
        <v>1</v>
      </c>
      <c r="H103">
        <v>3</v>
      </c>
      <c r="I103" t="s">
        <v>116</v>
      </c>
      <c r="J103" t="s">
        <v>119</v>
      </c>
      <c r="K103" t="s">
        <v>117</v>
      </c>
      <c r="L103">
        <v>1346</v>
      </c>
      <c r="N103">
        <v>1009</v>
      </c>
      <c r="O103" t="s">
        <v>118</v>
      </c>
      <c r="P103" t="s">
        <v>118</v>
      </c>
      <c r="Q103">
        <v>1</v>
      </c>
      <c r="W103">
        <v>0</v>
      </c>
      <c r="X103">
        <v>303141801</v>
      </c>
      <c r="Y103">
        <v>20</v>
      </c>
      <c r="AA103">
        <v>105.23</v>
      </c>
      <c r="AB103">
        <v>0</v>
      </c>
      <c r="AC103">
        <v>0</v>
      </c>
      <c r="AD103">
        <v>0</v>
      </c>
      <c r="AE103">
        <v>15.25</v>
      </c>
      <c r="AF103">
        <v>0</v>
      </c>
      <c r="AG103">
        <v>0</v>
      </c>
      <c r="AH103">
        <v>0</v>
      </c>
      <c r="AI103">
        <v>6.9</v>
      </c>
      <c r="AJ103">
        <v>1</v>
      </c>
      <c r="AK103">
        <v>1</v>
      </c>
      <c r="AL103">
        <v>1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3</v>
      </c>
      <c r="AT103">
        <v>20</v>
      </c>
      <c r="AU103" t="s">
        <v>3</v>
      </c>
      <c r="AV103">
        <v>0</v>
      </c>
      <c r="AW103">
        <v>1</v>
      </c>
      <c r="AX103">
        <v>-1</v>
      </c>
      <c r="AY103">
        <v>0</v>
      </c>
      <c r="AZ103">
        <v>0</v>
      </c>
      <c r="BA103" t="s">
        <v>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Y103*Source!I53</f>
        <v>18.400000000000002</v>
      </c>
      <c r="CY103">
        <f>AA103</f>
        <v>105.23</v>
      </c>
      <c r="CZ103">
        <f>AE103</f>
        <v>15.25</v>
      </c>
      <c r="DA103">
        <f>AI103</f>
        <v>6.9</v>
      </c>
      <c r="DB103">
        <v>0</v>
      </c>
    </row>
    <row r="104" spans="1:106" x14ac:dyDescent="0.2">
      <c r="A104">
        <f>ROW(Source!A53)</f>
        <v>53</v>
      </c>
      <c r="B104">
        <v>39579451</v>
      </c>
      <c r="C104">
        <v>39579654</v>
      </c>
      <c r="D104">
        <v>36797079</v>
      </c>
      <c r="E104">
        <v>17</v>
      </c>
      <c r="F104">
        <v>1</v>
      </c>
      <c r="G104">
        <v>1</v>
      </c>
      <c r="H104">
        <v>3</v>
      </c>
      <c r="I104" t="s">
        <v>121</v>
      </c>
      <c r="J104" t="s">
        <v>3</v>
      </c>
      <c r="K104" t="s">
        <v>122</v>
      </c>
      <c r="L104">
        <v>1348</v>
      </c>
      <c r="N104">
        <v>1009</v>
      </c>
      <c r="O104" t="s">
        <v>105</v>
      </c>
      <c r="P104" t="s">
        <v>105</v>
      </c>
      <c r="Q104">
        <v>1000</v>
      </c>
      <c r="W104">
        <v>0</v>
      </c>
      <c r="X104">
        <v>-1212923053</v>
      </c>
      <c r="Y104">
        <v>0.02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6.9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3</v>
      </c>
      <c r="AT104">
        <v>0.02</v>
      </c>
      <c r="AU104" t="s">
        <v>3</v>
      </c>
      <c r="AV104">
        <v>0</v>
      </c>
      <c r="AW104">
        <v>2</v>
      </c>
      <c r="AX104">
        <v>39579660</v>
      </c>
      <c r="AY104">
        <v>1</v>
      </c>
      <c r="AZ104">
        <v>0</v>
      </c>
      <c r="BA104">
        <v>105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Y104*Source!I53</f>
        <v>1.84E-2</v>
      </c>
      <c r="CY104">
        <f>AA104</f>
        <v>0</v>
      </c>
      <c r="CZ104">
        <f>AE104</f>
        <v>0</v>
      </c>
      <c r="DA104">
        <f>AI104</f>
        <v>6.9</v>
      </c>
      <c r="DB104">
        <v>0</v>
      </c>
    </row>
    <row r="105" spans="1:106" x14ac:dyDescent="0.2">
      <c r="A105">
        <f>ROW(Source!A56)</f>
        <v>56</v>
      </c>
      <c r="B105">
        <v>39579451</v>
      </c>
      <c r="C105">
        <v>39580095</v>
      </c>
      <c r="D105">
        <v>37065248</v>
      </c>
      <c r="E105">
        <v>1</v>
      </c>
      <c r="F105">
        <v>1</v>
      </c>
      <c r="G105">
        <v>1</v>
      </c>
      <c r="H105">
        <v>1</v>
      </c>
      <c r="I105" t="s">
        <v>536</v>
      </c>
      <c r="J105" t="s">
        <v>3</v>
      </c>
      <c r="K105" t="s">
        <v>537</v>
      </c>
      <c r="L105">
        <v>1191</v>
      </c>
      <c r="N105">
        <v>1013</v>
      </c>
      <c r="O105" t="s">
        <v>519</v>
      </c>
      <c r="P105" t="s">
        <v>519</v>
      </c>
      <c r="Q105">
        <v>1</v>
      </c>
      <c r="W105">
        <v>0</v>
      </c>
      <c r="X105">
        <v>-400197608</v>
      </c>
      <c r="Y105">
        <v>53.026499999999999</v>
      </c>
      <c r="AA105">
        <v>0</v>
      </c>
      <c r="AB105">
        <v>0</v>
      </c>
      <c r="AC105">
        <v>0</v>
      </c>
      <c r="AD105">
        <v>58.86</v>
      </c>
      <c r="AE105">
        <v>0</v>
      </c>
      <c r="AF105">
        <v>0</v>
      </c>
      <c r="AG105">
        <v>0</v>
      </c>
      <c r="AH105">
        <v>8.5299999999999994</v>
      </c>
      <c r="AI105">
        <v>1</v>
      </c>
      <c r="AJ105">
        <v>1</v>
      </c>
      <c r="AK105">
        <v>1</v>
      </c>
      <c r="AL105">
        <v>6.9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3</v>
      </c>
      <c r="AT105">
        <v>46.11</v>
      </c>
      <c r="AU105" t="s">
        <v>79</v>
      </c>
      <c r="AV105">
        <v>1</v>
      </c>
      <c r="AW105">
        <v>2</v>
      </c>
      <c r="AX105">
        <v>39580107</v>
      </c>
      <c r="AY105">
        <v>1</v>
      </c>
      <c r="AZ105">
        <v>0</v>
      </c>
      <c r="BA105">
        <v>106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Y105*Source!I56</f>
        <v>18.771380999999998</v>
      </c>
      <c r="CY105">
        <f>AD105</f>
        <v>58.86</v>
      </c>
      <c r="CZ105">
        <f>AH105</f>
        <v>8.5299999999999994</v>
      </c>
      <c r="DA105">
        <f>AL105</f>
        <v>6.9</v>
      </c>
      <c r="DB105">
        <v>0</v>
      </c>
    </row>
    <row r="106" spans="1:106" x14ac:dyDescent="0.2">
      <c r="A106">
        <f>ROW(Source!A56)</f>
        <v>56</v>
      </c>
      <c r="B106">
        <v>39579451</v>
      </c>
      <c r="C106">
        <v>39580095</v>
      </c>
      <c r="D106">
        <v>37064876</v>
      </c>
      <c r="E106">
        <v>1</v>
      </c>
      <c r="F106">
        <v>1</v>
      </c>
      <c r="G106">
        <v>1</v>
      </c>
      <c r="H106">
        <v>1</v>
      </c>
      <c r="I106" t="s">
        <v>520</v>
      </c>
      <c r="J106" t="s">
        <v>3</v>
      </c>
      <c r="K106" t="s">
        <v>521</v>
      </c>
      <c r="L106">
        <v>1191</v>
      </c>
      <c r="N106">
        <v>1013</v>
      </c>
      <c r="O106" t="s">
        <v>519</v>
      </c>
      <c r="P106" t="s">
        <v>519</v>
      </c>
      <c r="Q106">
        <v>1</v>
      </c>
      <c r="W106">
        <v>0</v>
      </c>
      <c r="X106">
        <v>-1417349443</v>
      </c>
      <c r="Y106">
        <v>0.04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6.9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3</v>
      </c>
      <c r="AT106">
        <v>0.04</v>
      </c>
      <c r="AU106" t="s">
        <v>3</v>
      </c>
      <c r="AV106">
        <v>2</v>
      </c>
      <c r="AW106">
        <v>2</v>
      </c>
      <c r="AX106">
        <v>39580108</v>
      </c>
      <c r="AY106">
        <v>1</v>
      </c>
      <c r="AZ106">
        <v>2048</v>
      </c>
      <c r="BA106">
        <v>107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Y106*Source!I56</f>
        <v>1.4159999999999999E-2</v>
      </c>
      <c r="CY106">
        <f>AD106</f>
        <v>0</v>
      </c>
      <c r="CZ106">
        <f>AH106</f>
        <v>0</v>
      </c>
      <c r="DA106">
        <f>AL106</f>
        <v>1</v>
      </c>
      <c r="DB106">
        <v>0</v>
      </c>
    </row>
    <row r="107" spans="1:106" x14ac:dyDescent="0.2">
      <c r="A107">
        <f>ROW(Source!A56)</f>
        <v>56</v>
      </c>
      <c r="B107">
        <v>39579451</v>
      </c>
      <c r="C107">
        <v>39580095</v>
      </c>
      <c r="D107">
        <v>36882452</v>
      </c>
      <c r="E107">
        <v>1</v>
      </c>
      <c r="F107">
        <v>1</v>
      </c>
      <c r="G107">
        <v>1</v>
      </c>
      <c r="H107">
        <v>2</v>
      </c>
      <c r="I107" t="s">
        <v>522</v>
      </c>
      <c r="J107" t="s">
        <v>523</v>
      </c>
      <c r="K107" t="s">
        <v>524</v>
      </c>
      <c r="L107">
        <v>1368</v>
      </c>
      <c r="N107">
        <v>1011</v>
      </c>
      <c r="O107" t="s">
        <v>525</v>
      </c>
      <c r="P107" t="s">
        <v>525</v>
      </c>
      <c r="Q107">
        <v>1</v>
      </c>
      <c r="W107">
        <v>0</v>
      </c>
      <c r="X107">
        <v>1188625873</v>
      </c>
      <c r="Y107">
        <v>0.05</v>
      </c>
      <c r="AA107">
        <v>0</v>
      </c>
      <c r="AB107">
        <v>215.69</v>
      </c>
      <c r="AC107">
        <v>13.5</v>
      </c>
      <c r="AD107">
        <v>0</v>
      </c>
      <c r="AE107">
        <v>0</v>
      </c>
      <c r="AF107">
        <v>31.26</v>
      </c>
      <c r="AG107">
        <v>13.5</v>
      </c>
      <c r="AH107">
        <v>0</v>
      </c>
      <c r="AI107">
        <v>1</v>
      </c>
      <c r="AJ107">
        <v>6.9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3</v>
      </c>
      <c r="AT107">
        <v>0.04</v>
      </c>
      <c r="AU107" t="s">
        <v>78</v>
      </c>
      <c r="AV107">
        <v>0</v>
      </c>
      <c r="AW107">
        <v>2</v>
      </c>
      <c r="AX107">
        <v>39580109</v>
      </c>
      <c r="AY107">
        <v>1</v>
      </c>
      <c r="AZ107">
        <v>0</v>
      </c>
      <c r="BA107">
        <v>108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Y107*Source!I56</f>
        <v>1.77E-2</v>
      </c>
      <c r="CY107">
        <f>AB107</f>
        <v>215.69</v>
      </c>
      <c r="CZ107">
        <f>AF107</f>
        <v>31.26</v>
      </c>
      <c r="DA107">
        <f>AJ107</f>
        <v>6.9</v>
      </c>
      <c r="DB107">
        <v>0</v>
      </c>
    </row>
    <row r="108" spans="1:106" x14ac:dyDescent="0.2">
      <c r="A108">
        <f>ROW(Source!A56)</f>
        <v>56</v>
      </c>
      <c r="B108">
        <v>39579451</v>
      </c>
      <c r="C108">
        <v>39580095</v>
      </c>
      <c r="D108">
        <v>36883554</v>
      </c>
      <c r="E108">
        <v>1</v>
      </c>
      <c r="F108">
        <v>1</v>
      </c>
      <c r="G108">
        <v>1</v>
      </c>
      <c r="H108">
        <v>2</v>
      </c>
      <c r="I108" t="s">
        <v>526</v>
      </c>
      <c r="J108" t="s">
        <v>527</v>
      </c>
      <c r="K108" t="s">
        <v>528</v>
      </c>
      <c r="L108">
        <v>1368</v>
      </c>
      <c r="N108">
        <v>1011</v>
      </c>
      <c r="O108" t="s">
        <v>525</v>
      </c>
      <c r="P108" t="s">
        <v>525</v>
      </c>
      <c r="Q108">
        <v>1</v>
      </c>
      <c r="W108">
        <v>0</v>
      </c>
      <c r="X108">
        <v>1372534845</v>
      </c>
      <c r="Y108">
        <v>5.0000000000000001E-3</v>
      </c>
      <c r="AA108">
        <v>0</v>
      </c>
      <c r="AB108">
        <v>453.4</v>
      </c>
      <c r="AC108">
        <v>11.6</v>
      </c>
      <c r="AD108">
        <v>0</v>
      </c>
      <c r="AE108">
        <v>0</v>
      </c>
      <c r="AF108">
        <v>65.709999999999994</v>
      </c>
      <c r="AG108">
        <v>11.6</v>
      </c>
      <c r="AH108">
        <v>0</v>
      </c>
      <c r="AI108">
        <v>1</v>
      </c>
      <c r="AJ108">
        <v>6.9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4.0000000000000001E-3</v>
      </c>
      <c r="AU108" t="s">
        <v>78</v>
      </c>
      <c r="AV108">
        <v>0</v>
      </c>
      <c r="AW108">
        <v>2</v>
      </c>
      <c r="AX108">
        <v>39580110</v>
      </c>
      <c r="AY108">
        <v>1</v>
      </c>
      <c r="AZ108">
        <v>0</v>
      </c>
      <c r="BA108">
        <v>109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Y108*Source!I56</f>
        <v>1.7699999999999999E-3</v>
      </c>
      <c r="CY108">
        <f>AB108</f>
        <v>453.4</v>
      </c>
      <c r="CZ108">
        <f>AF108</f>
        <v>65.709999999999994</v>
      </c>
      <c r="DA108">
        <f>AJ108</f>
        <v>6.9</v>
      </c>
      <c r="DB108">
        <v>0</v>
      </c>
    </row>
    <row r="109" spans="1:106" x14ac:dyDescent="0.2">
      <c r="A109">
        <f>ROW(Source!A56)</f>
        <v>56</v>
      </c>
      <c r="B109">
        <v>39579451</v>
      </c>
      <c r="C109">
        <v>39580095</v>
      </c>
      <c r="D109">
        <v>36804616</v>
      </c>
      <c r="E109">
        <v>1</v>
      </c>
      <c r="F109">
        <v>1</v>
      </c>
      <c r="G109">
        <v>1</v>
      </c>
      <c r="H109">
        <v>3</v>
      </c>
      <c r="I109" t="s">
        <v>538</v>
      </c>
      <c r="J109" t="s">
        <v>539</v>
      </c>
      <c r="K109" t="s">
        <v>540</v>
      </c>
      <c r="L109">
        <v>1355</v>
      </c>
      <c r="N109">
        <v>1010</v>
      </c>
      <c r="O109" t="s">
        <v>360</v>
      </c>
      <c r="P109" t="s">
        <v>360</v>
      </c>
      <c r="Q109">
        <v>100</v>
      </c>
      <c r="W109">
        <v>0</v>
      </c>
      <c r="X109">
        <v>1307649985</v>
      </c>
      <c r="Y109">
        <v>2.5099999999999998</v>
      </c>
      <c r="AA109">
        <v>483</v>
      </c>
      <c r="AB109">
        <v>0</v>
      </c>
      <c r="AC109">
        <v>0</v>
      </c>
      <c r="AD109">
        <v>0</v>
      </c>
      <c r="AE109">
        <v>70</v>
      </c>
      <c r="AF109">
        <v>0</v>
      </c>
      <c r="AG109">
        <v>0</v>
      </c>
      <c r="AH109">
        <v>0</v>
      </c>
      <c r="AI109">
        <v>6.9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2.5099999999999998</v>
      </c>
      <c r="AU109" t="s">
        <v>3</v>
      </c>
      <c r="AV109">
        <v>0</v>
      </c>
      <c r="AW109">
        <v>2</v>
      </c>
      <c r="AX109">
        <v>39580111</v>
      </c>
      <c r="AY109">
        <v>1</v>
      </c>
      <c r="AZ109">
        <v>0</v>
      </c>
      <c r="BA109">
        <v>110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Y109*Source!I56</f>
        <v>0.88853999999999989</v>
      </c>
      <c r="CY109">
        <f t="shared" ref="CY109:CY115" si="6">AA109</f>
        <v>483</v>
      </c>
      <c r="CZ109">
        <f t="shared" ref="CZ109:CZ115" si="7">AE109</f>
        <v>70</v>
      </c>
      <c r="DA109">
        <f t="shared" ref="DA109:DA115" si="8">AI109</f>
        <v>6.9</v>
      </c>
      <c r="DB109">
        <v>0</v>
      </c>
    </row>
    <row r="110" spans="1:106" x14ac:dyDescent="0.2">
      <c r="A110">
        <f>ROW(Source!A56)</f>
        <v>56</v>
      </c>
      <c r="B110">
        <v>39579451</v>
      </c>
      <c r="C110">
        <v>39580095</v>
      </c>
      <c r="D110">
        <v>36804661</v>
      </c>
      <c r="E110">
        <v>1</v>
      </c>
      <c r="F110">
        <v>1</v>
      </c>
      <c r="G110">
        <v>1</v>
      </c>
      <c r="H110">
        <v>3</v>
      </c>
      <c r="I110" t="s">
        <v>541</v>
      </c>
      <c r="J110" t="s">
        <v>542</v>
      </c>
      <c r="K110" t="s">
        <v>543</v>
      </c>
      <c r="L110">
        <v>1355</v>
      </c>
      <c r="N110">
        <v>1010</v>
      </c>
      <c r="O110" t="s">
        <v>360</v>
      </c>
      <c r="P110" t="s">
        <v>360</v>
      </c>
      <c r="Q110">
        <v>100</v>
      </c>
      <c r="W110">
        <v>0</v>
      </c>
      <c r="X110">
        <v>1135215184</v>
      </c>
      <c r="Y110">
        <v>1.51</v>
      </c>
      <c r="AA110">
        <v>55.2</v>
      </c>
      <c r="AB110">
        <v>0</v>
      </c>
      <c r="AC110">
        <v>0</v>
      </c>
      <c r="AD110">
        <v>0</v>
      </c>
      <c r="AE110">
        <v>8</v>
      </c>
      <c r="AF110">
        <v>0</v>
      </c>
      <c r="AG110">
        <v>0</v>
      </c>
      <c r="AH110">
        <v>0</v>
      </c>
      <c r="AI110">
        <v>6.9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1.51</v>
      </c>
      <c r="AU110" t="s">
        <v>3</v>
      </c>
      <c r="AV110">
        <v>0</v>
      </c>
      <c r="AW110">
        <v>2</v>
      </c>
      <c r="AX110">
        <v>39580112</v>
      </c>
      <c r="AY110">
        <v>1</v>
      </c>
      <c r="AZ110">
        <v>0</v>
      </c>
      <c r="BA110">
        <v>111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Y110*Source!I56</f>
        <v>0.53454000000000002</v>
      </c>
      <c r="CY110">
        <f t="shared" si="6"/>
        <v>55.2</v>
      </c>
      <c r="CZ110">
        <f t="shared" si="7"/>
        <v>8</v>
      </c>
      <c r="DA110">
        <f t="shared" si="8"/>
        <v>6.9</v>
      </c>
      <c r="DB110">
        <v>0</v>
      </c>
    </row>
    <row r="111" spans="1:106" x14ac:dyDescent="0.2">
      <c r="A111">
        <f>ROW(Source!A56)</f>
        <v>56</v>
      </c>
      <c r="B111">
        <v>39579451</v>
      </c>
      <c r="C111">
        <v>39580095</v>
      </c>
      <c r="D111">
        <v>36804889</v>
      </c>
      <c r="E111">
        <v>1</v>
      </c>
      <c r="F111">
        <v>1</v>
      </c>
      <c r="G111">
        <v>1</v>
      </c>
      <c r="H111">
        <v>3</v>
      </c>
      <c r="I111" t="s">
        <v>544</v>
      </c>
      <c r="J111" t="s">
        <v>545</v>
      </c>
      <c r="K111" t="s">
        <v>546</v>
      </c>
      <c r="L111">
        <v>1355</v>
      </c>
      <c r="N111">
        <v>1010</v>
      </c>
      <c r="O111" t="s">
        <v>360</v>
      </c>
      <c r="P111" t="s">
        <v>360</v>
      </c>
      <c r="Q111">
        <v>100</v>
      </c>
      <c r="W111">
        <v>0</v>
      </c>
      <c r="X111">
        <v>-144904215</v>
      </c>
      <c r="Y111">
        <v>5.0199999999999996</v>
      </c>
      <c r="AA111">
        <v>13.8</v>
      </c>
      <c r="AB111">
        <v>0</v>
      </c>
      <c r="AC111">
        <v>0</v>
      </c>
      <c r="AD111">
        <v>0</v>
      </c>
      <c r="AE111">
        <v>2</v>
      </c>
      <c r="AF111">
        <v>0</v>
      </c>
      <c r="AG111">
        <v>0</v>
      </c>
      <c r="AH111">
        <v>0</v>
      </c>
      <c r="AI111">
        <v>6.9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3</v>
      </c>
      <c r="AT111">
        <v>5.0199999999999996</v>
      </c>
      <c r="AU111" t="s">
        <v>3</v>
      </c>
      <c r="AV111">
        <v>0</v>
      </c>
      <c r="AW111">
        <v>2</v>
      </c>
      <c r="AX111">
        <v>39580113</v>
      </c>
      <c r="AY111">
        <v>1</v>
      </c>
      <c r="AZ111">
        <v>0</v>
      </c>
      <c r="BA111">
        <v>112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Y111*Source!I56</f>
        <v>1.7770799999999998</v>
      </c>
      <c r="CY111">
        <f t="shared" si="6"/>
        <v>13.8</v>
      </c>
      <c r="CZ111">
        <f t="shared" si="7"/>
        <v>2</v>
      </c>
      <c r="DA111">
        <f t="shared" si="8"/>
        <v>6.9</v>
      </c>
      <c r="DB111">
        <v>0</v>
      </c>
    </row>
    <row r="112" spans="1:106" x14ac:dyDescent="0.2">
      <c r="A112">
        <f>ROW(Source!A56)</f>
        <v>56</v>
      </c>
      <c r="B112">
        <v>39579451</v>
      </c>
      <c r="C112">
        <v>39580095</v>
      </c>
      <c r="D112">
        <v>36822895</v>
      </c>
      <c r="E112">
        <v>1</v>
      </c>
      <c r="F112">
        <v>1</v>
      </c>
      <c r="G112">
        <v>1</v>
      </c>
      <c r="H112">
        <v>3</v>
      </c>
      <c r="I112" t="s">
        <v>547</v>
      </c>
      <c r="J112" t="s">
        <v>548</v>
      </c>
      <c r="K112" t="s">
        <v>549</v>
      </c>
      <c r="L112">
        <v>1301</v>
      </c>
      <c r="N112">
        <v>1003</v>
      </c>
      <c r="O112" t="s">
        <v>131</v>
      </c>
      <c r="P112" t="s">
        <v>131</v>
      </c>
      <c r="Q112">
        <v>1</v>
      </c>
      <c r="W112">
        <v>0</v>
      </c>
      <c r="X112">
        <v>-180360835</v>
      </c>
      <c r="Y112">
        <v>121.5</v>
      </c>
      <c r="AA112">
        <v>47.68</v>
      </c>
      <c r="AB112">
        <v>0</v>
      </c>
      <c r="AC112">
        <v>0</v>
      </c>
      <c r="AD112">
        <v>0</v>
      </c>
      <c r="AE112">
        <v>6.91</v>
      </c>
      <c r="AF112">
        <v>0</v>
      </c>
      <c r="AG112">
        <v>0</v>
      </c>
      <c r="AH112">
        <v>0</v>
      </c>
      <c r="AI112">
        <v>6.9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121.5</v>
      </c>
      <c r="AU112" t="s">
        <v>3</v>
      </c>
      <c r="AV112">
        <v>0</v>
      </c>
      <c r="AW112">
        <v>2</v>
      </c>
      <c r="AX112">
        <v>39580114</v>
      </c>
      <c r="AY112">
        <v>1</v>
      </c>
      <c r="AZ112">
        <v>0</v>
      </c>
      <c r="BA112">
        <v>113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Y112*Source!I56</f>
        <v>43.010999999999996</v>
      </c>
      <c r="CY112">
        <f t="shared" si="6"/>
        <v>47.68</v>
      </c>
      <c r="CZ112">
        <f t="shared" si="7"/>
        <v>6.91</v>
      </c>
      <c r="DA112">
        <f t="shared" si="8"/>
        <v>6.9</v>
      </c>
      <c r="DB112">
        <v>0</v>
      </c>
    </row>
    <row r="113" spans="1:106" x14ac:dyDescent="0.2">
      <c r="A113">
        <f>ROW(Source!A56)</f>
        <v>56</v>
      </c>
      <c r="B113">
        <v>39579451</v>
      </c>
      <c r="C113">
        <v>39580095</v>
      </c>
      <c r="D113">
        <v>36822957</v>
      </c>
      <c r="E113">
        <v>1</v>
      </c>
      <c r="F113">
        <v>1</v>
      </c>
      <c r="G113">
        <v>1</v>
      </c>
      <c r="H113">
        <v>3</v>
      </c>
      <c r="I113" t="s">
        <v>550</v>
      </c>
      <c r="J113" t="s">
        <v>551</v>
      </c>
      <c r="K113" t="s">
        <v>552</v>
      </c>
      <c r="L113">
        <v>1301</v>
      </c>
      <c r="N113">
        <v>1003</v>
      </c>
      <c r="O113" t="s">
        <v>131</v>
      </c>
      <c r="P113" t="s">
        <v>131</v>
      </c>
      <c r="Q113">
        <v>1</v>
      </c>
      <c r="W113">
        <v>0</v>
      </c>
      <c r="X113">
        <v>-972512293</v>
      </c>
      <c r="Y113">
        <v>229.5</v>
      </c>
      <c r="AA113">
        <v>55.61</v>
      </c>
      <c r="AB113">
        <v>0</v>
      </c>
      <c r="AC113">
        <v>0</v>
      </c>
      <c r="AD113">
        <v>0</v>
      </c>
      <c r="AE113">
        <v>8.06</v>
      </c>
      <c r="AF113">
        <v>0</v>
      </c>
      <c r="AG113">
        <v>0</v>
      </c>
      <c r="AH113">
        <v>0</v>
      </c>
      <c r="AI113">
        <v>6.9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229.5</v>
      </c>
      <c r="AU113" t="s">
        <v>3</v>
      </c>
      <c r="AV113">
        <v>0</v>
      </c>
      <c r="AW113">
        <v>2</v>
      </c>
      <c r="AX113">
        <v>39580115</v>
      </c>
      <c r="AY113">
        <v>1</v>
      </c>
      <c r="AZ113">
        <v>0</v>
      </c>
      <c r="BA113">
        <v>114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Y113*Source!I56</f>
        <v>81.242999999999995</v>
      </c>
      <c r="CY113">
        <f t="shared" si="6"/>
        <v>55.61</v>
      </c>
      <c r="CZ113">
        <f t="shared" si="7"/>
        <v>8.06</v>
      </c>
      <c r="DA113">
        <f t="shared" si="8"/>
        <v>6.9</v>
      </c>
      <c r="DB113">
        <v>0</v>
      </c>
    </row>
    <row r="114" spans="1:106" x14ac:dyDescent="0.2">
      <c r="A114">
        <f>ROW(Source!A56)</f>
        <v>56</v>
      </c>
      <c r="B114">
        <v>39579451</v>
      </c>
      <c r="C114">
        <v>39580095</v>
      </c>
      <c r="D114">
        <v>36822998</v>
      </c>
      <c r="E114">
        <v>1</v>
      </c>
      <c r="F114">
        <v>1</v>
      </c>
      <c r="G114">
        <v>1</v>
      </c>
      <c r="H114">
        <v>3</v>
      </c>
      <c r="I114" t="s">
        <v>553</v>
      </c>
      <c r="J114" t="s">
        <v>554</v>
      </c>
      <c r="K114" t="s">
        <v>555</v>
      </c>
      <c r="L114">
        <v>1355</v>
      </c>
      <c r="N114">
        <v>1010</v>
      </c>
      <c r="O114" t="s">
        <v>360</v>
      </c>
      <c r="P114" t="s">
        <v>360</v>
      </c>
      <c r="Q114">
        <v>100</v>
      </c>
      <c r="W114">
        <v>0</v>
      </c>
      <c r="X114">
        <v>-1604878988</v>
      </c>
      <c r="Y114">
        <v>2.5099999999999998</v>
      </c>
      <c r="AA114">
        <v>301.94</v>
      </c>
      <c r="AB114">
        <v>0</v>
      </c>
      <c r="AC114">
        <v>0</v>
      </c>
      <c r="AD114">
        <v>0</v>
      </c>
      <c r="AE114">
        <v>43.76</v>
      </c>
      <c r="AF114">
        <v>0</v>
      </c>
      <c r="AG114">
        <v>0</v>
      </c>
      <c r="AH114">
        <v>0</v>
      </c>
      <c r="AI114">
        <v>6.9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3</v>
      </c>
      <c r="AT114">
        <v>2.5099999999999998</v>
      </c>
      <c r="AU114" t="s">
        <v>3</v>
      </c>
      <c r="AV114">
        <v>0</v>
      </c>
      <c r="AW114">
        <v>2</v>
      </c>
      <c r="AX114">
        <v>39580116</v>
      </c>
      <c r="AY114">
        <v>1</v>
      </c>
      <c r="AZ114">
        <v>0</v>
      </c>
      <c r="BA114">
        <v>115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Y114*Source!I56</f>
        <v>0.88853999999999989</v>
      </c>
      <c r="CY114">
        <f t="shared" si="6"/>
        <v>301.94</v>
      </c>
      <c r="CZ114">
        <f t="shared" si="7"/>
        <v>43.76</v>
      </c>
      <c r="DA114">
        <f t="shared" si="8"/>
        <v>6.9</v>
      </c>
      <c r="DB114">
        <v>0</v>
      </c>
    </row>
    <row r="115" spans="1:106" x14ac:dyDescent="0.2">
      <c r="A115">
        <f>ROW(Source!A56)</f>
        <v>56</v>
      </c>
      <c r="B115">
        <v>39579451</v>
      </c>
      <c r="C115">
        <v>39580095</v>
      </c>
      <c r="D115">
        <v>36830271</v>
      </c>
      <c r="E115">
        <v>1</v>
      </c>
      <c r="F115">
        <v>1</v>
      </c>
      <c r="G115">
        <v>1</v>
      </c>
      <c r="H115">
        <v>3</v>
      </c>
      <c r="I115" t="s">
        <v>556</v>
      </c>
      <c r="J115" t="s">
        <v>557</v>
      </c>
      <c r="K115" t="s">
        <v>558</v>
      </c>
      <c r="L115">
        <v>1301</v>
      </c>
      <c r="N115">
        <v>1003</v>
      </c>
      <c r="O115" t="s">
        <v>131</v>
      </c>
      <c r="P115" t="s">
        <v>131</v>
      </c>
      <c r="Q115">
        <v>1</v>
      </c>
      <c r="W115">
        <v>0</v>
      </c>
      <c r="X115">
        <v>-1691161750</v>
      </c>
      <c r="Y115">
        <v>37</v>
      </c>
      <c r="AA115">
        <v>43.19</v>
      </c>
      <c r="AB115">
        <v>0</v>
      </c>
      <c r="AC115">
        <v>0</v>
      </c>
      <c r="AD115">
        <v>0</v>
      </c>
      <c r="AE115">
        <v>6.26</v>
      </c>
      <c r="AF115">
        <v>0</v>
      </c>
      <c r="AG115">
        <v>0</v>
      </c>
      <c r="AH115">
        <v>0</v>
      </c>
      <c r="AI115">
        <v>6.9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37</v>
      </c>
      <c r="AU115" t="s">
        <v>3</v>
      </c>
      <c r="AV115">
        <v>0</v>
      </c>
      <c r="AW115">
        <v>2</v>
      </c>
      <c r="AX115">
        <v>39580117</v>
      </c>
      <c r="AY115">
        <v>1</v>
      </c>
      <c r="AZ115">
        <v>0</v>
      </c>
      <c r="BA115">
        <v>116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Y115*Source!I56</f>
        <v>13.097999999999999</v>
      </c>
      <c r="CY115">
        <f t="shared" si="6"/>
        <v>43.19</v>
      </c>
      <c r="CZ115">
        <f t="shared" si="7"/>
        <v>6.26</v>
      </c>
      <c r="DA115">
        <f t="shared" si="8"/>
        <v>6.9</v>
      </c>
      <c r="DB115">
        <v>0</v>
      </c>
    </row>
    <row r="116" spans="1:106" x14ac:dyDescent="0.2">
      <c r="A116">
        <f>ROW(Source!A57)</f>
        <v>57</v>
      </c>
      <c r="B116">
        <v>39579451</v>
      </c>
      <c r="C116">
        <v>39580054</v>
      </c>
      <c r="D116">
        <v>37070495</v>
      </c>
      <c r="E116">
        <v>1</v>
      </c>
      <c r="F116">
        <v>1</v>
      </c>
      <c r="G116">
        <v>1</v>
      </c>
      <c r="H116">
        <v>1</v>
      </c>
      <c r="I116" t="s">
        <v>594</v>
      </c>
      <c r="J116" t="s">
        <v>3</v>
      </c>
      <c r="K116" t="s">
        <v>595</v>
      </c>
      <c r="L116">
        <v>1191</v>
      </c>
      <c r="N116">
        <v>1013</v>
      </c>
      <c r="O116" t="s">
        <v>519</v>
      </c>
      <c r="P116" t="s">
        <v>519</v>
      </c>
      <c r="Q116">
        <v>1</v>
      </c>
      <c r="W116">
        <v>0</v>
      </c>
      <c r="X116">
        <v>-784637506</v>
      </c>
      <c r="Y116">
        <v>69.873999999999995</v>
      </c>
      <c r="AA116">
        <v>0</v>
      </c>
      <c r="AB116">
        <v>0</v>
      </c>
      <c r="AC116">
        <v>0</v>
      </c>
      <c r="AD116">
        <v>60.31</v>
      </c>
      <c r="AE116">
        <v>0</v>
      </c>
      <c r="AF116">
        <v>0</v>
      </c>
      <c r="AG116">
        <v>0</v>
      </c>
      <c r="AH116">
        <v>8.74</v>
      </c>
      <c r="AI116">
        <v>1</v>
      </c>
      <c r="AJ116">
        <v>1</v>
      </c>
      <c r="AK116">
        <v>1</v>
      </c>
      <c r="AL116">
        <v>6.9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3</v>
      </c>
      <c r="AT116">
        <v>60.76</v>
      </c>
      <c r="AU116" t="s">
        <v>79</v>
      </c>
      <c r="AV116">
        <v>1</v>
      </c>
      <c r="AW116">
        <v>2</v>
      </c>
      <c r="AX116">
        <v>39580055</v>
      </c>
      <c r="AY116">
        <v>1</v>
      </c>
      <c r="AZ116">
        <v>0</v>
      </c>
      <c r="BA116">
        <v>117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Y116*Source!I57</f>
        <v>24.735395999999998</v>
      </c>
      <c r="CY116">
        <f>AD116</f>
        <v>60.31</v>
      </c>
      <c r="CZ116">
        <f>AH116</f>
        <v>8.74</v>
      </c>
      <c r="DA116">
        <f>AL116</f>
        <v>6.9</v>
      </c>
      <c r="DB116">
        <v>0</v>
      </c>
    </row>
    <row r="117" spans="1:106" x14ac:dyDescent="0.2">
      <c r="A117">
        <f>ROW(Source!A57)</f>
        <v>57</v>
      </c>
      <c r="B117">
        <v>39579451</v>
      </c>
      <c r="C117">
        <v>39580054</v>
      </c>
      <c r="D117">
        <v>37064876</v>
      </c>
      <c r="E117">
        <v>1</v>
      </c>
      <c r="F117">
        <v>1</v>
      </c>
      <c r="G117">
        <v>1</v>
      </c>
      <c r="H117">
        <v>1</v>
      </c>
      <c r="I117" t="s">
        <v>520</v>
      </c>
      <c r="J117" t="s">
        <v>3</v>
      </c>
      <c r="K117" t="s">
        <v>521</v>
      </c>
      <c r="L117">
        <v>1191</v>
      </c>
      <c r="N117">
        <v>1013</v>
      </c>
      <c r="O117" t="s">
        <v>519</v>
      </c>
      <c r="P117" t="s">
        <v>519</v>
      </c>
      <c r="Q117">
        <v>1</v>
      </c>
      <c r="W117">
        <v>0</v>
      </c>
      <c r="X117">
        <v>-1417349443</v>
      </c>
      <c r="Y117">
        <v>2.78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6.9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2.78</v>
      </c>
      <c r="AU117" t="s">
        <v>3</v>
      </c>
      <c r="AV117">
        <v>2</v>
      </c>
      <c r="AW117">
        <v>2</v>
      </c>
      <c r="AX117">
        <v>39580056</v>
      </c>
      <c r="AY117">
        <v>1</v>
      </c>
      <c r="AZ117">
        <v>2048</v>
      </c>
      <c r="BA117">
        <v>118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Y117*Source!I57</f>
        <v>0.98411999999999988</v>
      </c>
      <c r="CY117">
        <f>AD117</f>
        <v>0</v>
      </c>
      <c r="CZ117">
        <f>AH117</f>
        <v>0</v>
      </c>
      <c r="DA117">
        <f>AL117</f>
        <v>1</v>
      </c>
      <c r="DB117">
        <v>0</v>
      </c>
    </row>
    <row r="118" spans="1:106" x14ac:dyDescent="0.2">
      <c r="A118">
        <f>ROW(Source!A57)</f>
        <v>57</v>
      </c>
      <c r="B118">
        <v>39579451</v>
      </c>
      <c r="C118">
        <v>39580054</v>
      </c>
      <c r="D118">
        <v>36882452</v>
      </c>
      <c r="E118">
        <v>1</v>
      </c>
      <c r="F118">
        <v>1</v>
      </c>
      <c r="G118">
        <v>1</v>
      </c>
      <c r="H118">
        <v>2</v>
      </c>
      <c r="I118" t="s">
        <v>522</v>
      </c>
      <c r="J118" t="s">
        <v>523</v>
      </c>
      <c r="K118" t="s">
        <v>524</v>
      </c>
      <c r="L118">
        <v>1368</v>
      </c>
      <c r="N118">
        <v>1011</v>
      </c>
      <c r="O118" t="s">
        <v>525</v>
      </c>
      <c r="P118" t="s">
        <v>525</v>
      </c>
      <c r="Q118">
        <v>1</v>
      </c>
      <c r="W118">
        <v>0</v>
      </c>
      <c r="X118">
        <v>1188625873</v>
      </c>
      <c r="Y118">
        <v>0.38750000000000001</v>
      </c>
      <c r="AA118">
        <v>0</v>
      </c>
      <c r="AB118">
        <v>215.69</v>
      </c>
      <c r="AC118">
        <v>13.5</v>
      </c>
      <c r="AD118">
        <v>0</v>
      </c>
      <c r="AE118">
        <v>0</v>
      </c>
      <c r="AF118">
        <v>31.26</v>
      </c>
      <c r="AG118">
        <v>13.5</v>
      </c>
      <c r="AH118">
        <v>0</v>
      </c>
      <c r="AI118">
        <v>1</v>
      </c>
      <c r="AJ118">
        <v>6.9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3</v>
      </c>
      <c r="AT118">
        <v>0.31</v>
      </c>
      <c r="AU118" t="s">
        <v>78</v>
      </c>
      <c r="AV118">
        <v>0</v>
      </c>
      <c r="AW118">
        <v>2</v>
      </c>
      <c r="AX118">
        <v>39580057</v>
      </c>
      <c r="AY118">
        <v>1</v>
      </c>
      <c r="AZ118">
        <v>0</v>
      </c>
      <c r="BA118">
        <v>119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Y118*Source!I57</f>
        <v>0.13717499999999999</v>
      </c>
      <c r="CY118">
        <f>AB118</f>
        <v>215.69</v>
      </c>
      <c r="CZ118">
        <f>AF118</f>
        <v>31.26</v>
      </c>
      <c r="DA118">
        <f>AJ118</f>
        <v>6.9</v>
      </c>
      <c r="DB118">
        <v>0</v>
      </c>
    </row>
    <row r="119" spans="1:106" x14ac:dyDescent="0.2">
      <c r="A119">
        <f>ROW(Source!A57)</f>
        <v>57</v>
      </c>
      <c r="B119">
        <v>39579451</v>
      </c>
      <c r="C119">
        <v>39580054</v>
      </c>
      <c r="D119">
        <v>36882621</v>
      </c>
      <c r="E119">
        <v>1</v>
      </c>
      <c r="F119">
        <v>1</v>
      </c>
      <c r="G119">
        <v>1</v>
      </c>
      <c r="H119">
        <v>2</v>
      </c>
      <c r="I119" t="s">
        <v>602</v>
      </c>
      <c r="J119" t="s">
        <v>603</v>
      </c>
      <c r="K119" t="s">
        <v>604</v>
      </c>
      <c r="L119">
        <v>1368</v>
      </c>
      <c r="N119">
        <v>1011</v>
      </c>
      <c r="O119" t="s">
        <v>525</v>
      </c>
      <c r="P119" t="s">
        <v>525</v>
      </c>
      <c r="Q119">
        <v>1</v>
      </c>
      <c r="W119">
        <v>0</v>
      </c>
      <c r="X119">
        <v>983187852</v>
      </c>
      <c r="Y119">
        <v>2.4624999999999999</v>
      </c>
      <c r="AA119">
        <v>0</v>
      </c>
      <c r="AB119">
        <v>85.49</v>
      </c>
      <c r="AC119">
        <v>10.06</v>
      </c>
      <c r="AD119">
        <v>0</v>
      </c>
      <c r="AE119">
        <v>0</v>
      </c>
      <c r="AF119">
        <v>12.39</v>
      </c>
      <c r="AG119">
        <v>10.06</v>
      </c>
      <c r="AH119">
        <v>0</v>
      </c>
      <c r="AI119">
        <v>1</v>
      </c>
      <c r="AJ119">
        <v>6.9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1.97</v>
      </c>
      <c r="AU119" t="s">
        <v>78</v>
      </c>
      <c r="AV119">
        <v>0</v>
      </c>
      <c r="AW119">
        <v>2</v>
      </c>
      <c r="AX119">
        <v>39580058</v>
      </c>
      <c r="AY119">
        <v>1</v>
      </c>
      <c r="AZ119">
        <v>0</v>
      </c>
      <c r="BA119">
        <v>120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Y119*Source!I57</f>
        <v>0.87172499999999997</v>
      </c>
      <c r="CY119">
        <f>AB119</f>
        <v>85.49</v>
      </c>
      <c r="CZ119">
        <f>AF119</f>
        <v>12.39</v>
      </c>
      <c r="DA119">
        <f>AJ119</f>
        <v>6.9</v>
      </c>
      <c r="DB119">
        <v>0</v>
      </c>
    </row>
    <row r="120" spans="1:106" x14ac:dyDescent="0.2">
      <c r="A120">
        <f>ROW(Source!A57)</f>
        <v>57</v>
      </c>
      <c r="B120">
        <v>39579451</v>
      </c>
      <c r="C120">
        <v>39580054</v>
      </c>
      <c r="D120">
        <v>36883554</v>
      </c>
      <c r="E120">
        <v>1</v>
      </c>
      <c r="F120">
        <v>1</v>
      </c>
      <c r="G120">
        <v>1</v>
      </c>
      <c r="H120">
        <v>2</v>
      </c>
      <c r="I120" t="s">
        <v>526</v>
      </c>
      <c r="J120" t="s">
        <v>527</v>
      </c>
      <c r="K120" t="s">
        <v>528</v>
      </c>
      <c r="L120">
        <v>1368</v>
      </c>
      <c r="N120">
        <v>1011</v>
      </c>
      <c r="O120" t="s">
        <v>525</v>
      </c>
      <c r="P120" t="s">
        <v>525</v>
      </c>
      <c r="Q120">
        <v>1</v>
      </c>
      <c r="W120">
        <v>0</v>
      </c>
      <c r="X120">
        <v>1372534845</v>
      </c>
      <c r="Y120">
        <v>0.625</v>
      </c>
      <c r="AA120">
        <v>0</v>
      </c>
      <c r="AB120">
        <v>453.4</v>
      </c>
      <c r="AC120">
        <v>11.6</v>
      </c>
      <c r="AD120">
        <v>0</v>
      </c>
      <c r="AE120">
        <v>0</v>
      </c>
      <c r="AF120">
        <v>65.709999999999994</v>
      </c>
      <c r="AG120">
        <v>11.6</v>
      </c>
      <c r="AH120">
        <v>0</v>
      </c>
      <c r="AI120">
        <v>1</v>
      </c>
      <c r="AJ120">
        <v>6.9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3</v>
      </c>
      <c r="AT120">
        <v>0.5</v>
      </c>
      <c r="AU120" t="s">
        <v>78</v>
      </c>
      <c r="AV120">
        <v>0</v>
      </c>
      <c r="AW120">
        <v>2</v>
      </c>
      <c r="AX120">
        <v>39580059</v>
      </c>
      <c r="AY120">
        <v>1</v>
      </c>
      <c r="AZ120">
        <v>0</v>
      </c>
      <c r="BA120">
        <v>121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Y120*Source!I57</f>
        <v>0.22125</v>
      </c>
      <c r="CY120">
        <f>AB120</f>
        <v>453.4</v>
      </c>
      <c r="CZ120">
        <f>AF120</f>
        <v>65.709999999999994</v>
      </c>
      <c r="DA120">
        <f>AJ120</f>
        <v>6.9</v>
      </c>
      <c r="DB120">
        <v>0</v>
      </c>
    </row>
    <row r="121" spans="1:106" x14ac:dyDescent="0.2">
      <c r="A121">
        <f>ROW(Source!A57)</f>
        <v>57</v>
      </c>
      <c r="B121">
        <v>39579451</v>
      </c>
      <c r="C121">
        <v>39580054</v>
      </c>
      <c r="D121">
        <v>36801311</v>
      </c>
      <c r="E121">
        <v>1</v>
      </c>
      <c r="F121">
        <v>1</v>
      </c>
      <c r="G121">
        <v>1</v>
      </c>
      <c r="H121">
        <v>3</v>
      </c>
      <c r="I121" t="s">
        <v>152</v>
      </c>
      <c r="J121" t="s">
        <v>155</v>
      </c>
      <c r="K121" t="s">
        <v>153</v>
      </c>
      <c r="L121">
        <v>1327</v>
      </c>
      <c r="N121">
        <v>1005</v>
      </c>
      <c r="O121" t="s">
        <v>154</v>
      </c>
      <c r="P121" t="s">
        <v>154</v>
      </c>
      <c r="Q121">
        <v>1</v>
      </c>
      <c r="W121">
        <v>0</v>
      </c>
      <c r="X121">
        <v>-27480056</v>
      </c>
      <c r="Y121">
        <v>105</v>
      </c>
      <c r="AA121">
        <v>188.3</v>
      </c>
      <c r="AB121">
        <v>0</v>
      </c>
      <c r="AC121">
        <v>0</v>
      </c>
      <c r="AD121">
        <v>0</v>
      </c>
      <c r="AE121">
        <v>27.29</v>
      </c>
      <c r="AF121">
        <v>0</v>
      </c>
      <c r="AG121">
        <v>0</v>
      </c>
      <c r="AH121">
        <v>0</v>
      </c>
      <c r="AI121">
        <v>6.9</v>
      </c>
      <c r="AJ121">
        <v>1</v>
      </c>
      <c r="AK121">
        <v>1</v>
      </c>
      <c r="AL121">
        <v>1</v>
      </c>
      <c r="AN121">
        <v>0</v>
      </c>
      <c r="AO121">
        <v>0</v>
      </c>
      <c r="AP121">
        <v>0</v>
      </c>
      <c r="AQ121">
        <v>0</v>
      </c>
      <c r="AR121">
        <v>0</v>
      </c>
      <c r="AS121" t="s">
        <v>3</v>
      </c>
      <c r="AT121">
        <v>105</v>
      </c>
      <c r="AU121" t="s">
        <v>3</v>
      </c>
      <c r="AV121">
        <v>0</v>
      </c>
      <c r="AW121">
        <v>1</v>
      </c>
      <c r="AX121">
        <v>-1</v>
      </c>
      <c r="AY121">
        <v>0</v>
      </c>
      <c r="AZ121">
        <v>0</v>
      </c>
      <c r="BA121" t="s">
        <v>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Y121*Source!I57</f>
        <v>37.169999999999995</v>
      </c>
      <c r="CY121">
        <f t="shared" ref="CY121:CY126" si="9">AA121</f>
        <v>188.3</v>
      </c>
      <c r="CZ121">
        <f t="shared" ref="CZ121:CZ126" si="10">AE121</f>
        <v>27.29</v>
      </c>
      <c r="DA121">
        <f t="shared" ref="DA121:DA126" si="11">AI121</f>
        <v>6.9</v>
      </c>
      <c r="DB121">
        <v>0</v>
      </c>
    </row>
    <row r="122" spans="1:106" x14ac:dyDescent="0.2">
      <c r="A122">
        <f>ROW(Source!A57)</f>
        <v>57</v>
      </c>
      <c r="B122">
        <v>39579451</v>
      </c>
      <c r="C122">
        <v>39580054</v>
      </c>
      <c r="D122">
        <v>36797095</v>
      </c>
      <c r="E122">
        <v>17</v>
      </c>
      <c r="F122">
        <v>1</v>
      </c>
      <c r="G122">
        <v>1</v>
      </c>
      <c r="H122">
        <v>3</v>
      </c>
      <c r="I122" t="s">
        <v>157</v>
      </c>
      <c r="J122" t="s">
        <v>3</v>
      </c>
      <c r="K122" t="s">
        <v>158</v>
      </c>
      <c r="L122">
        <v>1327</v>
      </c>
      <c r="N122">
        <v>1005</v>
      </c>
      <c r="O122" t="s">
        <v>154</v>
      </c>
      <c r="P122" t="s">
        <v>154</v>
      </c>
      <c r="Q122">
        <v>1</v>
      </c>
      <c r="W122">
        <v>0</v>
      </c>
      <c r="X122">
        <v>-354280000</v>
      </c>
      <c r="Y122">
        <v>105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6.9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3</v>
      </c>
      <c r="AT122">
        <v>105</v>
      </c>
      <c r="AU122" t="s">
        <v>3</v>
      </c>
      <c r="AV122">
        <v>0</v>
      </c>
      <c r="AW122">
        <v>2</v>
      </c>
      <c r="AX122">
        <v>39580060</v>
      </c>
      <c r="AY122">
        <v>1</v>
      </c>
      <c r="AZ122">
        <v>0</v>
      </c>
      <c r="BA122">
        <v>122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Y122*Source!I57</f>
        <v>37.169999999999995</v>
      </c>
      <c r="CY122">
        <f t="shared" si="9"/>
        <v>0</v>
      </c>
      <c r="CZ122">
        <f t="shared" si="10"/>
        <v>0</v>
      </c>
      <c r="DA122">
        <f t="shared" si="11"/>
        <v>6.9</v>
      </c>
      <c r="DB122">
        <v>0</v>
      </c>
    </row>
    <row r="123" spans="1:106" x14ac:dyDescent="0.2">
      <c r="A123">
        <f>ROW(Source!A57)</f>
        <v>57</v>
      </c>
      <c r="B123">
        <v>39579451</v>
      </c>
      <c r="C123">
        <v>39580054</v>
      </c>
      <c r="D123">
        <v>36804526</v>
      </c>
      <c r="E123">
        <v>1</v>
      </c>
      <c r="F123">
        <v>1</v>
      </c>
      <c r="G123">
        <v>1</v>
      </c>
      <c r="H123">
        <v>3</v>
      </c>
      <c r="I123" t="s">
        <v>168</v>
      </c>
      <c r="J123" t="s">
        <v>170</v>
      </c>
      <c r="K123" t="s">
        <v>169</v>
      </c>
      <c r="L123">
        <v>1348</v>
      </c>
      <c r="N123">
        <v>1009</v>
      </c>
      <c r="O123" t="s">
        <v>105</v>
      </c>
      <c r="P123" t="s">
        <v>105</v>
      </c>
      <c r="Q123">
        <v>1000</v>
      </c>
      <c r="W123">
        <v>1</v>
      </c>
      <c r="X123">
        <v>-41639361</v>
      </c>
      <c r="Y123">
        <v>-2E-3</v>
      </c>
      <c r="AA123">
        <v>67022.460000000006</v>
      </c>
      <c r="AB123">
        <v>0</v>
      </c>
      <c r="AC123">
        <v>0</v>
      </c>
      <c r="AD123">
        <v>0</v>
      </c>
      <c r="AE123">
        <v>9713.4</v>
      </c>
      <c r="AF123">
        <v>0</v>
      </c>
      <c r="AG123">
        <v>0</v>
      </c>
      <c r="AH123">
        <v>0</v>
      </c>
      <c r="AI123">
        <v>6.9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-2E-3</v>
      </c>
      <c r="AU123" t="s">
        <v>3</v>
      </c>
      <c r="AV123">
        <v>0</v>
      </c>
      <c r="AW123">
        <v>2</v>
      </c>
      <c r="AX123">
        <v>39580061</v>
      </c>
      <c r="AY123">
        <v>1</v>
      </c>
      <c r="AZ123">
        <v>6144</v>
      </c>
      <c r="BA123">
        <v>123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Y123*Source!I57</f>
        <v>-7.0799999999999997E-4</v>
      </c>
      <c r="CY123">
        <f t="shared" si="9"/>
        <v>67022.460000000006</v>
      </c>
      <c r="CZ123">
        <f t="shared" si="10"/>
        <v>9713.4</v>
      </c>
      <c r="DA123">
        <f t="shared" si="11"/>
        <v>6.9</v>
      </c>
      <c r="DB123">
        <v>0</v>
      </c>
    </row>
    <row r="124" spans="1:106" x14ac:dyDescent="0.2">
      <c r="A124">
        <f>ROW(Source!A57)</f>
        <v>57</v>
      </c>
      <c r="B124">
        <v>39579451</v>
      </c>
      <c r="C124">
        <v>39580054</v>
      </c>
      <c r="D124">
        <v>36806488</v>
      </c>
      <c r="E124">
        <v>1</v>
      </c>
      <c r="F124">
        <v>1</v>
      </c>
      <c r="G124">
        <v>1</v>
      </c>
      <c r="H124">
        <v>3</v>
      </c>
      <c r="I124" t="s">
        <v>160</v>
      </c>
      <c r="J124" t="s">
        <v>162</v>
      </c>
      <c r="K124" t="s">
        <v>161</v>
      </c>
      <c r="L124">
        <v>1348</v>
      </c>
      <c r="N124">
        <v>1009</v>
      </c>
      <c r="O124" t="s">
        <v>105</v>
      </c>
      <c r="P124" t="s">
        <v>105</v>
      </c>
      <c r="Q124">
        <v>1000</v>
      </c>
      <c r="W124">
        <v>1</v>
      </c>
      <c r="X124">
        <v>-1421715385</v>
      </c>
      <c r="Y124">
        <v>-0.49</v>
      </c>
      <c r="AA124">
        <v>5036.8599999999997</v>
      </c>
      <c r="AB124">
        <v>0</v>
      </c>
      <c r="AC124">
        <v>0</v>
      </c>
      <c r="AD124">
        <v>0</v>
      </c>
      <c r="AE124">
        <v>729.98</v>
      </c>
      <c r="AF124">
        <v>0</v>
      </c>
      <c r="AG124">
        <v>0</v>
      </c>
      <c r="AH124">
        <v>0</v>
      </c>
      <c r="AI124">
        <v>6.9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-0.49</v>
      </c>
      <c r="AU124" t="s">
        <v>3</v>
      </c>
      <c r="AV124">
        <v>0</v>
      </c>
      <c r="AW124">
        <v>2</v>
      </c>
      <c r="AX124">
        <v>39580062</v>
      </c>
      <c r="AY124">
        <v>1</v>
      </c>
      <c r="AZ124">
        <v>6144</v>
      </c>
      <c r="BA124">
        <v>124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Y124*Source!I57</f>
        <v>-0.17345999999999998</v>
      </c>
      <c r="CY124">
        <f t="shared" si="9"/>
        <v>5036.8599999999997</v>
      </c>
      <c r="CZ124">
        <f t="shared" si="10"/>
        <v>729.98</v>
      </c>
      <c r="DA124">
        <f t="shared" si="11"/>
        <v>6.9</v>
      </c>
      <c r="DB124">
        <v>0</v>
      </c>
    </row>
    <row r="125" spans="1:106" x14ac:dyDescent="0.2">
      <c r="A125">
        <f>ROW(Source!A57)</f>
        <v>57</v>
      </c>
      <c r="B125">
        <v>39579451</v>
      </c>
      <c r="C125">
        <v>39580054</v>
      </c>
      <c r="D125">
        <v>36807325</v>
      </c>
      <c r="E125">
        <v>1</v>
      </c>
      <c r="F125">
        <v>1</v>
      </c>
      <c r="G125">
        <v>1</v>
      </c>
      <c r="H125">
        <v>3</v>
      </c>
      <c r="I125" t="s">
        <v>164</v>
      </c>
      <c r="J125" t="s">
        <v>166</v>
      </c>
      <c r="K125" t="s">
        <v>165</v>
      </c>
      <c r="L125">
        <v>1339</v>
      </c>
      <c r="N125">
        <v>1007</v>
      </c>
      <c r="O125" t="s">
        <v>86</v>
      </c>
      <c r="P125" t="s">
        <v>86</v>
      </c>
      <c r="Q125">
        <v>1</v>
      </c>
      <c r="W125">
        <v>1</v>
      </c>
      <c r="X125">
        <v>-1813551736</v>
      </c>
      <c r="Y125">
        <v>-0.06</v>
      </c>
      <c r="AA125">
        <v>3521.76</v>
      </c>
      <c r="AB125">
        <v>0</v>
      </c>
      <c r="AC125">
        <v>0</v>
      </c>
      <c r="AD125">
        <v>0</v>
      </c>
      <c r="AE125">
        <v>510.4</v>
      </c>
      <c r="AF125">
        <v>0</v>
      </c>
      <c r="AG125">
        <v>0</v>
      </c>
      <c r="AH125">
        <v>0</v>
      </c>
      <c r="AI125">
        <v>6.9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-0.06</v>
      </c>
      <c r="AU125" t="s">
        <v>3</v>
      </c>
      <c r="AV125">
        <v>0</v>
      </c>
      <c r="AW125">
        <v>2</v>
      </c>
      <c r="AX125">
        <v>39580063</v>
      </c>
      <c r="AY125">
        <v>1</v>
      </c>
      <c r="AZ125">
        <v>6144</v>
      </c>
      <c r="BA125">
        <v>125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Y125*Source!I57</f>
        <v>-2.1239999999999998E-2</v>
      </c>
      <c r="CY125">
        <f t="shared" si="9"/>
        <v>3521.76</v>
      </c>
      <c r="CZ125">
        <f t="shared" si="10"/>
        <v>510.4</v>
      </c>
      <c r="DA125">
        <f t="shared" si="11"/>
        <v>6.9</v>
      </c>
      <c r="DB125">
        <v>0</v>
      </c>
    </row>
    <row r="126" spans="1:106" x14ac:dyDescent="0.2">
      <c r="A126">
        <f>ROW(Source!A57)</f>
        <v>57</v>
      </c>
      <c r="B126">
        <v>39579451</v>
      </c>
      <c r="C126">
        <v>39580054</v>
      </c>
      <c r="D126">
        <v>36836927</v>
      </c>
      <c r="E126">
        <v>1</v>
      </c>
      <c r="F126">
        <v>1</v>
      </c>
      <c r="G126">
        <v>1</v>
      </c>
      <c r="H126">
        <v>3</v>
      </c>
      <c r="I126" t="s">
        <v>172</v>
      </c>
      <c r="J126" t="s">
        <v>174</v>
      </c>
      <c r="K126" t="s">
        <v>173</v>
      </c>
      <c r="L126">
        <v>1348</v>
      </c>
      <c r="N126">
        <v>1009</v>
      </c>
      <c r="O126" t="s">
        <v>105</v>
      </c>
      <c r="P126" t="s">
        <v>105</v>
      </c>
      <c r="Q126">
        <v>1000</v>
      </c>
      <c r="W126">
        <v>1</v>
      </c>
      <c r="X126">
        <v>-350008690</v>
      </c>
      <c r="Y126">
        <v>-4.3E-3</v>
      </c>
      <c r="AA126">
        <v>182850</v>
      </c>
      <c r="AB126">
        <v>0</v>
      </c>
      <c r="AC126">
        <v>0</v>
      </c>
      <c r="AD126">
        <v>0</v>
      </c>
      <c r="AE126">
        <v>26500</v>
      </c>
      <c r="AF126">
        <v>0</v>
      </c>
      <c r="AG126">
        <v>0</v>
      </c>
      <c r="AH126">
        <v>0</v>
      </c>
      <c r="AI126">
        <v>6.9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-4.3E-3</v>
      </c>
      <c r="AU126" t="s">
        <v>3</v>
      </c>
      <c r="AV126">
        <v>0</v>
      </c>
      <c r="AW126">
        <v>2</v>
      </c>
      <c r="AX126">
        <v>39580064</v>
      </c>
      <c r="AY126">
        <v>1</v>
      </c>
      <c r="AZ126">
        <v>6144</v>
      </c>
      <c r="BA126">
        <v>126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Y126*Source!I57</f>
        <v>-1.5222E-3</v>
      </c>
      <c r="CY126">
        <f t="shared" si="9"/>
        <v>182850</v>
      </c>
      <c r="CZ126">
        <f t="shared" si="10"/>
        <v>26500</v>
      </c>
      <c r="DA126">
        <f t="shared" si="11"/>
        <v>6.9</v>
      </c>
      <c r="DB126">
        <v>0</v>
      </c>
    </row>
    <row r="127" spans="1:106" x14ac:dyDescent="0.2">
      <c r="A127">
        <f>ROW(Source!A64)</f>
        <v>64</v>
      </c>
      <c r="B127">
        <v>39579451</v>
      </c>
      <c r="C127">
        <v>39580343</v>
      </c>
      <c r="D127">
        <v>37070090</v>
      </c>
      <c r="E127">
        <v>1</v>
      </c>
      <c r="F127">
        <v>1</v>
      </c>
      <c r="G127">
        <v>1</v>
      </c>
      <c r="H127">
        <v>1</v>
      </c>
      <c r="I127" t="s">
        <v>618</v>
      </c>
      <c r="J127" t="s">
        <v>3</v>
      </c>
      <c r="K127" t="s">
        <v>619</v>
      </c>
      <c r="L127">
        <v>1191</v>
      </c>
      <c r="N127">
        <v>1013</v>
      </c>
      <c r="O127" t="s">
        <v>519</v>
      </c>
      <c r="P127" t="s">
        <v>519</v>
      </c>
      <c r="Q127">
        <v>1</v>
      </c>
      <c r="W127">
        <v>0</v>
      </c>
      <c r="X127">
        <v>-814890593</v>
      </c>
      <c r="Y127">
        <v>2.0469999999999997</v>
      </c>
      <c r="AA127">
        <v>0</v>
      </c>
      <c r="AB127">
        <v>0</v>
      </c>
      <c r="AC127">
        <v>0</v>
      </c>
      <c r="AD127">
        <v>61.89</v>
      </c>
      <c r="AE127">
        <v>0</v>
      </c>
      <c r="AF127">
        <v>0</v>
      </c>
      <c r="AG127">
        <v>0</v>
      </c>
      <c r="AH127">
        <v>8.9700000000000006</v>
      </c>
      <c r="AI127">
        <v>1</v>
      </c>
      <c r="AJ127">
        <v>1</v>
      </c>
      <c r="AK127">
        <v>1</v>
      </c>
      <c r="AL127">
        <v>6.9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3</v>
      </c>
      <c r="AT127">
        <v>1.78</v>
      </c>
      <c r="AU127" t="s">
        <v>79</v>
      </c>
      <c r="AV127">
        <v>1</v>
      </c>
      <c r="AW127">
        <v>2</v>
      </c>
      <c r="AX127">
        <v>39580344</v>
      </c>
      <c r="AY127">
        <v>1</v>
      </c>
      <c r="AZ127">
        <v>0</v>
      </c>
      <c r="BA127">
        <v>127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Y127*Source!I64</f>
        <v>16.375999999999998</v>
      </c>
      <c r="CY127">
        <f>AD127</f>
        <v>61.89</v>
      </c>
      <c r="CZ127">
        <f>AH127</f>
        <v>8.9700000000000006</v>
      </c>
      <c r="DA127">
        <f>AL127</f>
        <v>6.9</v>
      </c>
      <c r="DB127">
        <v>0</v>
      </c>
    </row>
    <row r="128" spans="1:106" x14ac:dyDescent="0.2">
      <c r="A128">
        <f>ROW(Source!A64)</f>
        <v>64</v>
      </c>
      <c r="B128">
        <v>39579451</v>
      </c>
      <c r="C128">
        <v>39580343</v>
      </c>
      <c r="D128">
        <v>37064876</v>
      </c>
      <c r="E128">
        <v>1</v>
      </c>
      <c r="F128">
        <v>1</v>
      </c>
      <c r="G128">
        <v>1</v>
      </c>
      <c r="H128">
        <v>1</v>
      </c>
      <c r="I128" t="s">
        <v>520</v>
      </c>
      <c r="J128" t="s">
        <v>3</v>
      </c>
      <c r="K128" t="s">
        <v>521</v>
      </c>
      <c r="L128">
        <v>1191</v>
      </c>
      <c r="N128">
        <v>1013</v>
      </c>
      <c r="O128" t="s">
        <v>519</v>
      </c>
      <c r="P128" t="s">
        <v>519</v>
      </c>
      <c r="Q128">
        <v>1</v>
      </c>
      <c r="W128">
        <v>0</v>
      </c>
      <c r="X128">
        <v>-1417349443</v>
      </c>
      <c r="Y128">
        <v>0.02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6.9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0.02</v>
      </c>
      <c r="AU128" t="s">
        <v>3</v>
      </c>
      <c r="AV128">
        <v>2</v>
      </c>
      <c r="AW128">
        <v>2</v>
      </c>
      <c r="AX128">
        <v>39580345</v>
      </c>
      <c r="AY128">
        <v>1</v>
      </c>
      <c r="AZ128">
        <v>2048</v>
      </c>
      <c r="BA128">
        <v>128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Y128*Source!I64</f>
        <v>0.16</v>
      </c>
      <c r="CY128">
        <f>AD128</f>
        <v>0</v>
      </c>
      <c r="CZ128">
        <f>AH128</f>
        <v>0</v>
      </c>
      <c r="DA128">
        <f>AL128</f>
        <v>1</v>
      </c>
      <c r="DB128">
        <v>0</v>
      </c>
    </row>
    <row r="129" spans="1:106" x14ac:dyDescent="0.2">
      <c r="A129">
        <f>ROW(Source!A64)</f>
        <v>64</v>
      </c>
      <c r="B129">
        <v>39579451</v>
      </c>
      <c r="C129">
        <v>39580343</v>
      </c>
      <c r="D129">
        <v>36882159</v>
      </c>
      <c r="E129">
        <v>1</v>
      </c>
      <c r="F129">
        <v>1</v>
      </c>
      <c r="G129">
        <v>1</v>
      </c>
      <c r="H129">
        <v>2</v>
      </c>
      <c r="I129" t="s">
        <v>620</v>
      </c>
      <c r="J129" t="s">
        <v>621</v>
      </c>
      <c r="K129" t="s">
        <v>622</v>
      </c>
      <c r="L129">
        <v>1368</v>
      </c>
      <c r="N129">
        <v>1011</v>
      </c>
      <c r="O129" t="s">
        <v>525</v>
      </c>
      <c r="P129" t="s">
        <v>525</v>
      </c>
      <c r="Q129">
        <v>1</v>
      </c>
      <c r="W129">
        <v>0</v>
      </c>
      <c r="X129">
        <v>-1718674368</v>
      </c>
      <c r="Y129">
        <v>1.2500000000000001E-2</v>
      </c>
      <c r="AA129">
        <v>0</v>
      </c>
      <c r="AB129">
        <v>772.73</v>
      </c>
      <c r="AC129">
        <v>13.5</v>
      </c>
      <c r="AD129">
        <v>0</v>
      </c>
      <c r="AE129">
        <v>0</v>
      </c>
      <c r="AF129">
        <v>111.99</v>
      </c>
      <c r="AG129">
        <v>13.5</v>
      </c>
      <c r="AH129">
        <v>0</v>
      </c>
      <c r="AI129">
        <v>1</v>
      </c>
      <c r="AJ129">
        <v>6.9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3</v>
      </c>
      <c r="AT129">
        <v>0.01</v>
      </c>
      <c r="AU129" t="s">
        <v>78</v>
      </c>
      <c r="AV129">
        <v>0</v>
      </c>
      <c r="AW129">
        <v>2</v>
      </c>
      <c r="AX129">
        <v>39580346</v>
      </c>
      <c r="AY129">
        <v>1</v>
      </c>
      <c r="AZ129">
        <v>0</v>
      </c>
      <c r="BA129">
        <v>129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Y129*Source!I64</f>
        <v>0.1</v>
      </c>
      <c r="CY129">
        <f>AB129</f>
        <v>772.73</v>
      </c>
      <c r="CZ129">
        <f>AF129</f>
        <v>111.99</v>
      </c>
      <c r="DA129">
        <f>AJ129</f>
        <v>6.9</v>
      </c>
      <c r="DB129">
        <v>0</v>
      </c>
    </row>
    <row r="130" spans="1:106" x14ac:dyDescent="0.2">
      <c r="A130">
        <f>ROW(Source!A64)</f>
        <v>64</v>
      </c>
      <c r="B130">
        <v>39579451</v>
      </c>
      <c r="C130">
        <v>39580343</v>
      </c>
      <c r="D130">
        <v>36883554</v>
      </c>
      <c r="E130">
        <v>1</v>
      </c>
      <c r="F130">
        <v>1</v>
      </c>
      <c r="G130">
        <v>1</v>
      </c>
      <c r="H130">
        <v>2</v>
      </c>
      <c r="I130" t="s">
        <v>526</v>
      </c>
      <c r="J130" t="s">
        <v>527</v>
      </c>
      <c r="K130" t="s">
        <v>528</v>
      </c>
      <c r="L130">
        <v>1368</v>
      </c>
      <c r="N130">
        <v>1011</v>
      </c>
      <c r="O130" t="s">
        <v>525</v>
      </c>
      <c r="P130" t="s">
        <v>525</v>
      </c>
      <c r="Q130">
        <v>1</v>
      </c>
      <c r="W130">
        <v>0</v>
      </c>
      <c r="X130">
        <v>1372534845</v>
      </c>
      <c r="Y130">
        <v>1.2500000000000001E-2</v>
      </c>
      <c r="AA130">
        <v>0</v>
      </c>
      <c r="AB130">
        <v>453.4</v>
      </c>
      <c r="AC130">
        <v>11.6</v>
      </c>
      <c r="AD130">
        <v>0</v>
      </c>
      <c r="AE130">
        <v>0</v>
      </c>
      <c r="AF130">
        <v>65.709999999999994</v>
      </c>
      <c r="AG130">
        <v>11.6</v>
      </c>
      <c r="AH130">
        <v>0</v>
      </c>
      <c r="AI130">
        <v>1</v>
      </c>
      <c r="AJ130">
        <v>6.9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3</v>
      </c>
      <c r="AT130">
        <v>0.01</v>
      </c>
      <c r="AU130" t="s">
        <v>78</v>
      </c>
      <c r="AV130">
        <v>0</v>
      </c>
      <c r="AW130">
        <v>2</v>
      </c>
      <c r="AX130">
        <v>39580347</v>
      </c>
      <c r="AY130">
        <v>1</v>
      </c>
      <c r="AZ130">
        <v>0</v>
      </c>
      <c r="BA130">
        <v>130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Y130*Source!I64</f>
        <v>0.1</v>
      </c>
      <c r="CY130">
        <f>AB130</f>
        <v>453.4</v>
      </c>
      <c r="CZ130">
        <f>AF130</f>
        <v>65.709999999999994</v>
      </c>
      <c r="DA130">
        <f>AJ130</f>
        <v>6.9</v>
      </c>
      <c r="DB130">
        <v>0</v>
      </c>
    </row>
    <row r="131" spans="1:106" x14ac:dyDescent="0.2">
      <c r="A131">
        <f>ROW(Source!A64)</f>
        <v>64</v>
      </c>
      <c r="B131">
        <v>39579451</v>
      </c>
      <c r="C131">
        <v>39580343</v>
      </c>
      <c r="D131">
        <v>36883858</v>
      </c>
      <c r="E131">
        <v>1</v>
      </c>
      <c r="F131">
        <v>1</v>
      </c>
      <c r="G131">
        <v>1</v>
      </c>
      <c r="H131">
        <v>2</v>
      </c>
      <c r="I131" t="s">
        <v>623</v>
      </c>
      <c r="J131" t="s">
        <v>624</v>
      </c>
      <c r="K131" t="s">
        <v>625</v>
      </c>
      <c r="L131">
        <v>1368</v>
      </c>
      <c r="N131">
        <v>1011</v>
      </c>
      <c r="O131" t="s">
        <v>525</v>
      </c>
      <c r="P131" t="s">
        <v>525</v>
      </c>
      <c r="Q131">
        <v>1</v>
      </c>
      <c r="W131">
        <v>0</v>
      </c>
      <c r="X131">
        <v>-353815937</v>
      </c>
      <c r="Y131">
        <v>0.15</v>
      </c>
      <c r="AA131">
        <v>0</v>
      </c>
      <c r="AB131">
        <v>55.89</v>
      </c>
      <c r="AC131">
        <v>0</v>
      </c>
      <c r="AD131">
        <v>0</v>
      </c>
      <c r="AE131">
        <v>0</v>
      </c>
      <c r="AF131">
        <v>8.1</v>
      </c>
      <c r="AG131">
        <v>0</v>
      </c>
      <c r="AH131">
        <v>0</v>
      </c>
      <c r="AI131">
        <v>1</v>
      </c>
      <c r="AJ131">
        <v>6.9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3</v>
      </c>
      <c r="AT131">
        <v>0.12</v>
      </c>
      <c r="AU131" t="s">
        <v>78</v>
      </c>
      <c r="AV131">
        <v>0</v>
      </c>
      <c r="AW131">
        <v>2</v>
      </c>
      <c r="AX131">
        <v>39580348</v>
      </c>
      <c r="AY131">
        <v>1</v>
      </c>
      <c r="AZ131">
        <v>0</v>
      </c>
      <c r="BA131">
        <v>131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Y131*Source!I64</f>
        <v>1.2</v>
      </c>
      <c r="CY131">
        <f>AB131</f>
        <v>55.89</v>
      </c>
      <c r="CZ131">
        <f>AF131</f>
        <v>8.1</v>
      </c>
      <c r="DA131">
        <f>AJ131</f>
        <v>6.9</v>
      </c>
      <c r="DB131">
        <v>0</v>
      </c>
    </row>
    <row r="132" spans="1:106" x14ac:dyDescent="0.2">
      <c r="A132">
        <f>ROW(Source!A64)</f>
        <v>64</v>
      </c>
      <c r="B132">
        <v>39579451</v>
      </c>
      <c r="C132">
        <v>39580343</v>
      </c>
      <c r="D132">
        <v>36803269</v>
      </c>
      <c r="E132">
        <v>1</v>
      </c>
      <c r="F132">
        <v>1</v>
      </c>
      <c r="G132">
        <v>1</v>
      </c>
      <c r="H132">
        <v>3</v>
      </c>
      <c r="I132" t="s">
        <v>626</v>
      </c>
      <c r="J132" t="s">
        <v>627</v>
      </c>
      <c r="K132" t="s">
        <v>628</v>
      </c>
      <c r="L132">
        <v>1348</v>
      </c>
      <c r="N132">
        <v>1009</v>
      </c>
      <c r="O132" t="s">
        <v>105</v>
      </c>
      <c r="P132" t="s">
        <v>105</v>
      </c>
      <c r="Q132">
        <v>1000</v>
      </c>
      <c r="W132">
        <v>0</v>
      </c>
      <c r="X132">
        <v>-1068056325</v>
      </c>
      <c r="Y132">
        <v>1.1E-4</v>
      </c>
      <c r="AA132">
        <v>71497.8</v>
      </c>
      <c r="AB132">
        <v>0</v>
      </c>
      <c r="AC132">
        <v>0</v>
      </c>
      <c r="AD132">
        <v>0</v>
      </c>
      <c r="AE132">
        <v>10362</v>
      </c>
      <c r="AF132">
        <v>0</v>
      </c>
      <c r="AG132">
        <v>0</v>
      </c>
      <c r="AH132">
        <v>0</v>
      </c>
      <c r="AI132">
        <v>6.9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1.1E-4</v>
      </c>
      <c r="AU132" t="s">
        <v>3</v>
      </c>
      <c r="AV132">
        <v>0</v>
      </c>
      <c r="AW132">
        <v>2</v>
      </c>
      <c r="AX132">
        <v>39580349</v>
      </c>
      <c r="AY132">
        <v>1</v>
      </c>
      <c r="AZ132">
        <v>0</v>
      </c>
      <c r="BA132">
        <v>132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Y132*Source!I64</f>
        <v>8.8000000000000003E-4</v>
      </c>
      <c r="CY132">
        <f>AA132</f>
        <v>71497.8</v>
      </c>
      <c r="CZ132">
        <f>AE132</f>
        <v>10362</v>
      </c>
      <c r="DA132">
        <f>AI132</f>
        <v>6.9</v>
      </c>
      <c r="DB132">
        <v>0</v>
      </c>
    </row>
    <row r="133" spans="1:106" x14ac:dyDescent="0.2">
      <c r="A133">
        <f>ROW(Source!A64)</f>
        <v>64</v>
      </c>
      <c r="B133">
        <v>39579451</v>
      </c>
      <c r="C133">
        <v>39580343</v>
      </c>
      <c r="D133">
        <v>36804447</v>
      </c>
      <c r="E133">
        <v>1</v>
      </c>
      <c r="F133">
        <v>1</v>
      </c>
      <c r="G133">
        <v>1</v>
      </c>
      <c r="H133">
        <v>3</v>
      </c>
      <c r="I133" t="s">
        <v>629</v>
      </c>
      <c r="J133" t="s">
        <v>630</v>
      </c>
      <c r="K133" t="s">
        <v>631</v>
      </c>
      <c r="L133">
        <v>1348</v>
      </c>
      <c r="N133">
        <v>1009</v>
      </c>
      <c r="O133" t="s">
        <v>105</v>
      </c>
      <c r="P133" t="s">
        <v>105</v>
      </c>
      <c r="Q133">
        <v>1000</v>
      </c>
      <c r="W133">
        <v>0</v>
      </c>
      <c r="X133">
        <v>-437906794</v>
      </c>
      <c r="Y133">
        <v>4.0000000000000002E-4</v>
      </c>
      <c r="AA133">
        <v>62376.07</v>
      </c>
      <c r="AB133">
        <v>0</v>
      </c>
      <c r="AC133">
        <v>0</v>
      </c>
      <c r="AD133">
        <v>0</v>
      </c>
      <c r="AE133">
        <v>9040.01</v>
      </c>
      <c r="AF133">
        <v>0</v>
      </c>
      <c r="AG133">
        <v>0</v>
      </c>
      <c r="AH133">
        <v>0</v>
      </c>
      <c r="AI133">
        <v>6.9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4.0000000000000002E-4</v>
      </c>
      <c r="AU133" t="s">
        <v>3</v>
      </c>
      <c r="AV133">
        <v>0</v>
      </c>
      <c r="AW133">
        <v>2</v>
      </c>
      <c r="AX133">
        <v>39580350</v>
      </c>
      <c r="AY133">
        <v>1</v>
      </c>
      <c r="AZ133">
        <v>0</v>
      </c>
      <c r="BA133">
        <v>133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Y133*Source!I64</f>
        <v>3.2000000000000002E-3</v>
      </c>
      <c r="CY133">
        <f>AA133</f>
        <v>62376.07</v>
      </c>
      <c r="CZ133">
        <f>AE133</f>
        <v>9040.01</v>
      </c>
      <c r="DA133">
        <f>AI133</f>
        <v>6.9</v>
      </c>
      <c r="DB133">
        <v>0</v>
      </c>
    </row>
    <row r="134" spans="1:106" x14ac:dyDescent="0.2">
      <c r="A134">
        <f>ROW(Source!A64)</f>
        <v>64</v>
      </c>
      <c r="B134">
        <v>39579451</v>
      </c>
      <c r="C134">
        <v>39580343</v>
      </c>
      <c r="D134">
        <v>36826587</v>
      </c>
      <c r="E134">
        <v>1</v>
      </c>
      <c r="F134">
        <v>1</v>
      </c>
      <c r="G134">
        <v>1</v>
      </c>
      <c r="H134">
        <v>3</v>
      </c>
      <c r="I134" t="s">
        <v>632</v>
      </c>
      <c r="J134" t="s">
        <v>633</v>
      </c>
      <c r="K134" t="s">
        <v>634</v>
      </c>
      <c r="L134">
        <v>1348</v>
      </c>
      <c r="N134">
        <v>1009</v>
      </c>
      <c r="O134" t="s">
        <v>105</v>
      </c>
      <c r="P134" t="s">
        <v>105</v>
      </c>
      <c r="Q134">
        <v>1000</v>
      </c>
      <c r="W134">
        <v>0</v>
      </c>
      <c r="X134">
        <v>1969538235</v>
      </c>
      <c r="Y134">
        <v>4.2999999999999999E-4</v>
      </c>
      <c r="AA134">
        <v>44910.38</v>
      </c>
      <c r="AB134">
        <v>0</v>
      </c>
      <c r="AC134">
        <v>0</v>
      </c>
      <c r="AD134">
        <v>0</v>
      </c>
      <c r="AE134">
        <v>6508.75</v>
      </c>
      <c r="AF134">
        <v>0</v>
      </c>
      <c r="AG134">
        <v>0</v>
      </c>
      <c r="AH134">
        <v>0</v>
      </c>
      <c r="AI134">
        <v>6.9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4.2999999999999999E-4</v>
      </c>
      <c r="AU134" t="s">
        <v>3</v>
      </c>
      <c r="AV134">
        <v>0</v>
      </c>
      <c r="AW134">
        <v>2</v>
      </c>
      <c r="AX134">
        <v>39580352</v>
      </c>
      <c r="AY134">
        <v>1</v>
      </c>
      <c r="AZ134">
        <v>0</v>
      </c>
      <c r="BA134">
        <v>135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Y134*Source!I64</f>
        <v>3.4399999999999999E-3</v>
      </c>
      <c r="CY134">
        <f>AA134</f>
        <v>44910.38</v>
      </c>
      <c r="CZ134">
        <f>AE134</f>
        <v>6508.75</v>
      </c>
      <c r="DA134">
        <f>AI134</f>
        <v>6.9</v>
      </c>
      <c r="DB134">
        <v>0</v>
      </c>
    </row>
    <row r="135" spans="1:106" x14ac:dyDescent="0.2">
      <c r="A135">
        <f>ROW(Source!A64)</f>
        <v>64</v>
      </c>
      <c r="B135">
        <v>39579451</v>
      </c>
      <c r="C135">
        <v>39580343</v>
      </c>
      <c r="D135">
        <v>36832231</v>
      </c>
      <c r="E135">
        <v>1</v>
      </c>
      <c r="F135">
        <v>1</v>
      </c>
      <c r="G135">
        <v>1</v>
      </c>
      <c r="H135">
        <v>3</v>
      </c>
      <c r="I135" t="s">
        <v>183</v>
      </c>
      <c r="J135" t="s">
        <v>185</v>
      </c>
      <c r="K135" t="s">
        <v>184</v>
      </c>
      <c r="L135">
        <v>1327</v>
      </c>
      <c r="N135">
        <v>1005</v>
      </c>
      <c r="O135" t="s">
        <v>154</v>
      </c>
      <c r="P135" t="s">
        <v>154</v>
      </c>
      <c r="Q135">
        <v>1</v>
      </c>
      <c r="W135">
        <v>0</v>
      </c>
      <c r="X135">
        <v>-771153432</v>
      </c>
      <c r="Y135">
        <v>0.54</v>
      </c>
      <c r="AA135">
        <v>448.5</v>
      </c>
      <c r="AB135">
        <v>0</v>
      </c>
      <c r="AC135">
        <v>0</v>
      </c>
      <c r="AD135">
        <v>0</v>
      </c>
      <c r="AE135">
        <v>65</v>
      </c>
      <c r="AF135">
        <v>0</v>
      </c>
      <c r="AG135">
        <v>0</v>
      </c>
      <c r="AH135">
        <v>0</v>
      </c>
      <c r="AI135">
        <v>6.9</v>
      </c>
      <c r="AJ135">
        <v>1</v>
      </c>
      <c r="AK135">
        <v>1</v>
      </c>
      <c r="AL135">
        <v>1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3</v>
      </c>
      <c r="AT135">
        <v>0.54</v>
      </c>
      <c r="AU135" t="s">
        <v>3</v>
      </c>
      <c r="AV135">
        <v>0</v>
      </c>
      <c r="AW135">
        <v>1</v>
      </c>
      <c r="AX135">
        <v>-1</v>
      </c>
      <c r="AY135">
        <v>0</v>
      </c>
      <c r="AZ135">
        <v>0</v>
      </c>
      <c r="BA135" t="s">
        <v>3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Y135*Source!I64</f>
        <v>4.32</v>
      </c>
      <c r="CY135">
        <f>AA135</f>
        <v>448.5</v>
      </c>
      <c r="CZ135">
        <f>AE135</f>
        <v>65</v>
      </c>
      <c r="DA135">
        <f>AI135</f>
        <v>6.9</v>
      </c>
      <c r="DB135">
        <v>0</v>
      </c>
    </row>
    <row r="136" spans="1:106" x14ac:dyDescent="0.2">
      <c r="A136">
        <f>ROW(Source!A64)</f>
        <v>64</v>
      </c>
      <c r="B136">
        <v>39579451</v>
      </c>
      <c r="C136">
        <v>39580343</v>
      </c>
      <c r="D136">
        <v>36797832</v>
      </c>
      <c r="E136">
        <v>17</v>
      </c>
      <c r="F136">
        <v>1</v>
      </c>
      <c r="G136">
        <v>1</v>
      </c>
      <c r="H136">
        <v>3</v>
      </c>
      <c r="I136" t="s">
        <v>187</v>
      </c>
      <c r="J136" t="s">
        <v>3</v>
      </c>
      <c r="K136" t="s">
        <v>188</v>
      </c>
      <c r="L136">
        <v>1354</v>
      </c>
      <c r="N136">
        <v>1010</v>
      </c>
      <c r="O136" t="s">
        <v>189</v>
      </c>
      <c r="P136" t="s">
        <v>189</v>
      </c>
      <c r="Q136">
        <v>1</v>
      </c>
      <c r="W136">
        <v>0</v>
      </c>
      <c r="X136">
        <v>-698526538</v>
      </c>
      <c r="Y136">
        <v>1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6.9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3</v>
      </c>
      <c r="AT136">
        <v>1</v>
      </c>
      <c r="AU136" t="s">
        <v>3</v>
      </c>
      <c r="AV136">
        <v>0</v>
      </c>
      <c r="AW136">
        <v>2</v>
      </c>
      <c r="AX136">
        <v>39580353</v>
      </c>
      <c r="AY136">
        <v>1</v>
      </c>
      <c r="AZ136">
        <v>0</v>
      </c>
      <c r="BA136">
        <v>136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Y136*Source!I64</f>
        <v>8</v>
      </c>
      <c r="CY136">
        <f>AA136</f>
        <v>0</v>
      </c>
      <c r="CZ136">
        <f>AE136</f>
        <v>0</v>
      </c>
      <c r="DA136">
        <f>AI136</f>
        <v>6.9</v>
      </c>
      <c r="DB136">
        <v>0</v>
      </c>
    </row>
    <row r="137" spans="1:106" x14ac:dyDescent="0.2">
      <c r="A137">
        <f>ROW(Source!A67)</f>
        <v>67</v>
      </c>
      <c r="B137">
        <v>39579451</v>
      </c>
      <c r="C137">
        <v>39579678</v>
      </c>
      <c r="D137">
        <v>37064978</v>
      </c>
      <c r="E137">
        <v>1</v>
      </c>
      <c r="F137">
        <v>1</v>
      </c>
      <c r="G137">
        <v>1</v>
      </c>
      <c r="H137">
        <v>1</v>
      </c>
      <c r="I137" t="s">
        <v>635</v>
      </c>
      <c r="J137" t="s">
        <v>3</v>
      </c>
      <c r="K137" t="s">
        <v>636</v>
      </c>
      <c r="L137">
        <v>1191</v>
      </c>
      <c r="N137">
        <v>1013</v>
      </c>
      <c r="O137" t="s">
        <v>519</v>
      </c>
      <c r="P137" t="s">
        <v>519</v>
      </c>
      <c r="Q137">
        <v>1</v>
      </c>
      <c r="W137">
        <v>0</v>
      </c>
      <c r="X137">
        <v>-719309759</v>
      </c>
      <c r="Y137">
        <v>38.674500000000002</v>
      </c>
      <c r="AA137">
        <v>0</v>
      </c>
      <c r="AB137">
        <v>0</v>
      </c>
      <c r="AC137">
        <v>0</v>
      </c>
      <c r="AD137">
        <v>61.13</v>
      </c>
      <c r="AE137">
        <v>0</v>
      </c>
      <c r="AF137">
        <v>0</v>
      </c>
      <c r="AG137">
        <v>0</v>
      </c>
      <c r="AH137">
        <v>8.86</v>
      </c>
      <c r="AI137">
        <v>1</v>
      </c>
      <c r="AJ137">
        <v>1</v>
      </c>
      <c r="AK137">
        <v>1</v>
      </c>
      <c r="AL137">
        <v>6.9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3</v>
      </c>
      <c r="AT137">
        <v>33.630000000000003</v>
      </c>
      <c r="AU137" t="s">
        <v>79</v>
      </c>
      <c r="AV137">
        <v>1</v>
      </c>
      <c r="AW137">
        <v>2</v>
      </c>
      <c r="AX137">
        <v>39580379</v>
      </c>
      <c r="AY137">
        <v>1</v>
      </c>
      <c r="AZ137">
        <v>0</v>
      </c>
      <c r="BA137">
        <v>137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Y137*Source!I67</f>
        <v>35.580540000000006</v>
      </c>
      <c r="CY137">
        <f>AD137</f>
        <v>61.13</v>
      </c>
      <c r="CZ137">
        <f>AH137</f>
        <v>8.86</v>
      </c>
      <c r="DA137">
        <f>AL137</f>
        <v>6.9</v>
      </c>
      <c r="DB137">
        <v>0</v>
      </c>
    </row>
    <row r="138" spans="1:106" x14ac:dyDescent="0.2">
      <c r="A138">
        <f>ROW(Source!A67)</f>
        <v>67</v>
      </c>
      <c r="B138">
        <v>39579451</v>
      </c>
      <c r="C138">
        <v>39579678</v>
      </c>
      <c r="D138">
        <v>37064876</v>
      </c>
      <c r="E138">
        <v>1</v>
      </c>
      <c r="F138">
        <v>1</v>
      </c>
      <c r="G138">
        <v>1</v>
      </c>
      <c r="H138">
        <v>1</v>
      </c>
      <c r="I138" t="s">
        <v>520</v>
      </c>
      <c r="J138" t="s">
        <v>3</v>
      </c>
      <c r="K138" t="s">
        <v>521</v>
      </c>
      <c r="L138">
        <v>1191</v>
      </c>
      <c r="N138">
        <v>1013</v>
      </c>
      <c r="O138" t="s">
        <v>519</v>
      </c>
      <c r="P138" t="s">
        <v>519</v>
      </c>
      <c r="Q138">
        <v>1</v>
      </c>
      <c r="W138">
        <v>0</v>
      </c>
      <c r="X138">
        <v>-1417349443</v>
      </c>
      <c r="Y138">
        <v>0.02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6.9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0.02</v>
      </c>
      <c r="AU138" t="s">
        <v>3</v>
      </c>
      <c r="AV138">
        <v>2</v>
      </c>
      <c r="AW138">
        <v>2</v>
      </c>
      <c r="AX138">
        <v>39580380</v>
      </c>
      <c r="AY138">
        <v>1</v>
      </c>
      <c r="AZ138">
        <v>2048</v>
      </c>
      <c r="BA138">
        <v>138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Y138*Source!I67</f>
        <v>1.84E-2</v>
      </c>
      <c r="CY138">
        <f>AD138</f>
        <v>0</v>
      </c>
      <c r="CZ138">
        <f>AH138</f>
        <v>0</v>
      </c>
      <c r="DA138">
        <f>AL138</f>
        <v>1</v>
      </c>
      <c r="DB138">
        <v>0</v>
      </c>
    </row>
    <row r="139" spans="1:106" x14ac:dyDescent="0.2">
      <c r="A139">
        <f>ROW(Source!A67)</f>
        <v>67</v>
      </c>
      <c r="B139">
        <v>39579451</v>
      </c>
      <c r="C139">
        <v>39579678</v>
      </c>
      <c r="D139">
        <v>36882452</v>
      </c>
      <c r="E139">
        <v>1</v>
      </c>
      <c r="F139">
        <v>1</v>
      </c>
      <c r="G139">
        <v>1</v>
      </c>
      <c r="H139">
        <v>2</v>
      </c>
      <c r="I139" t="s">
        <v>522</v>
      </c>
      <c r="J139" t="s">
        <v>523</v>
      </c>
      <c r="K139" t="s">
        <v>524</v>
      </c>
      <c r="L139">
        <v>1368</v>
      </c>
      <c r="N139">
        <v>1011</v>
      </c>
      <c r="O139" t="s">
        <v>525</v>
      </c>
      <c r="P139" t="s">
        <v>525</v>
      </c>
      <c r="Q139">
        <v>1</v>
      </c>
      <c r="W139">
        <v>0</v>
      </c>
      <c r="X139">
        <v>1188625873</v>
      </c>
      <c r="Y139">
        <v>1.2500000000000001E-2</v>
      </c>
      <c r="AA139">
        <v>0</v>
      </c>
      <c r="AB139">
        <v>215.69</v>
      </c>
      <c r="AC139">
        <v>13.5</v>
      </c>
      <c r="AD139">
        <v>0</v>
      </c>
      <c r="AE139">
        <v>0</v>
      </c>
      <c r="AF139">
        <v>31.26</v>
      </c>
      <c r="AG139">
        <v>13.5</v>
      </c>
      <c r="AH139">
        <v>0</v>
      </c>
      <c r="AI139">
        <v>1</v>
      </c>
      <c r="AJ139">
        <v>6.9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3</v>
      </c>
      <c r="AT139">
        <v>0.01</v>
      </c>
      <c r="AU139" t="s">
        <v>78</v>
      </c>
      <c r="AV139">
        <v>0</v>
      </c>
      <c r="AW139">
        <v>2</v>
      </c>
      <c r="AX139">
        <v>39580381</v>
      </c>
      <c r="AY139">
        <v>1</v>
      </c>
      <c r="AZ139">
        <v>0</v>
      </c>
      <c r="BA139">
        <v>139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Y139*Source!I67</f>
        <v>1.1500000000000002E-2</v>
      </c>
      <c r="CY139">
        <f>AB139</f>
        <v>215.69</v>
      </c>
      <c r="CZ139">
        <f>AF139</f>
        <v>31.26</v>
      </c>
      <c r="DA139">
        <f>AJ139</f>
        <v>6.9</v>
      </c>
      <c r="DB139">
        <v>0</v>
      </c>
    </row>
    <row r="140" spans="1:106" x14ac:dyDescent="0.2">
      <c r="A140">
        <f>ROW(Source!A67)</f>
        <v>67</v>
      </c>
      <c r="B140">
        <v>39579451</v>
      </c>
      <c r="C140">
        <v>39579678</v>
      </c>
      <c r="D140">
        <v>36883554</v>
      </c>
      <c r="E140">
        <v>1</v>
      </c>
      <c r="F140">
        <v>1</v>
      </c>
      <c r="G140">
        <v>1</v>
      </c>
      <c r="H140">
        <v>2</v>
      </c>
      <c r="I140" t="s">
        <v>526</v>
      </c>
      <c r="J140" t="s">
        <v>527</v>
      </c>
      <c r="K140" t="s">
        <v>528</v>
      </c>
      <c r="L140">
        <v>1368</v>
      </c>
      <c r="N140">
        <v>1011</v>
      </c>
      <c r="O140" t="s">
        <v>525</v>
      </c>
      <c r="P140" t="s">
        <v>525</v>
      </c>
      <c r="Q140">
        <v>1</v>
      </c>
      <c r="W140">
        <v>0</v>
      </c>
      <c r="X140">
        <v>1372534845</v>
      </c>
      <c r="Y140">
        <v>1.2500000000000001E-2</v>
      </c>
      <c r="AA140">
        <v>0</v>
      </c>
      <c r="AB140">
        <v>453.4</v>
      </c>
      <c r="AC140">
        <v>11.6</v>
      </c>
      <c r="AD140">
        <v>0</v>
      </c>
      <c r="AE140">
        <v>0</v>
      </c>
      <c r="AF140">
        <v>65.709999999999994</v>
      </c>
      <c r="AG140">
        <v>11.6</v>
      </c>
      <c r="AH140">
        <v>0</v>
      </c>
      <c r="AI140">
        <v>1</v>
      </c>
      <c r="AJ140">
        <v>6.9</v>
      </c>
      <c r="AK140">
        <v>1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3</v>
      </c>
      <c r="AT140">
        <v>0.01</v>
      </c>
      <c r="AU140" t="s">
        <v>78</v>
      </c>
      <c r="AV140">
        <v>0</v>
      </c>
      <c r="AW140">
        <v>2</v>
      </c>
      <c r="AX140">
        <v>39580382</v>
      </c>
      <c r="AY140">
        <v>1</v>
      </c>
      <c r="AZ140">
        <v>0</v>
      </c>
      <c r="BA140">
        <v>140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Y140*Source!I67</f>
        <v>1.1500000000000002E-2</v>
      </c>
      <c r="CY140">
        <f>AB140</f>
        <v>453.4</v>
      </c>
      <c r="CZ140">
        <f>AF140</f>
        <v>65.709999999999994</v>
      </c>
      <c r="DA140">
        <f>AJ140</f>
        <v>6.9</v>
      </c>
      <c r="DB140">
        <v>0</v>
      </c>
    </row>
    <row r="141" spans="1:106" x14ac:dyDescent="0.2">
      <c r="A141">
        <f>ROW(Source!A67)</f>
        <v>67</v>
      </c>
      <c r="B141">
        <v>39579451</v>
      </c>
      <c r="C141">
        <v>39579678</v>
      </c>
      <c r="D141">
        <v>36797604</v>
      </c>
      <c r="E141">
        <v>17</v>
      </c>
      <c r="F141">
        <v>1</v>
      </c>
      <c r="G141">
        <v>1</v>
      </c>
      <c r="H141">
        <v>3</v>
      </c>
      <c r="I141" t="s">
        <v>200</v>
      </c>
      <c r="J141" t="s">
        <v>3</v>
      </c>
      <c r="K141" t="s">
        <v>201</v>
      </c>
      <c r="L141">
        <v>1328</v>
      </c>
      <c r="N141">
        <v>1005</v>
      </c>
      <c r="O141" t="s">
        <v>15</v>
      </c>
      <c r="P141" t="s">
        <v>15</v>
      </c>
      <c r="Q141">
        <v>100</v>
      </c>
      <c r="W141">
        <v>0</v>
      </c>
      <c r="X141">
        <v>-93777278</v>
      </c>
      <c r="Y141">
        <v>1.1299999999999999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6.9</v>
      </c>
      <c r="AJ141">
        <v>1</v>
      </c>
      <c r="AK141">
        <v>1</v>
      </c>
      <c r="AL141">
        <v>1</v>
      </c>
      <c r="AN141">
        <v>0</v>
      </c>
      <c r="AO141">
        <v>0</v>
      </c>
      <c r="AP141">
        <v>0</v>
      </c>
      <c r="AQ141">
        <v>0</v>
      </c>
      <c r="AR141">
        <v>0</v>
      </c>
      <c r="AS141" t="s">
        <v>3</v>
      </c>
      <c r="AT141">
        <v>1.1299999999999999</v>
      </c>
      <c r="AU141" t="s">
        <v>3</v>
      </c>
      <c r="AV141">
        <v>0</v>
      </c>
      <c r="AW141">
        <v>2</v>
      </c>
      <c r="AX141">
        <v>39580383</v>
      </c>
      <c r="AY141">
        <v>1</v>
      </c>
      <c r="AZ141">
        <v>0</v>
      </c>
      <c r="BA141">
        <v>141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Y141*Source!I67</f>
        <v>1.0395999999999999</v>
      </c>
      <c r="CY141">
        <f t="shared" ref="CY141:CY148" si="12">AA141</f>
        <v>0</v>
      </c>
      <c r="CZ141">
        <f t="shared" ref="CZ141:CZ148" si="13">AE141</f>
        <v>0</v>
      </c>
      <c r="DA141">
        <f t="shared" ref="DA141:DA148" si="14">AI141</f>
        <v>6.9</v>
      </c>
      <c r="DB141">
        <v>0</v>
      </c>
    </row>
    <row r="142" spans="1:106" x14ac:dyDescent="0.2">
      <c r="A142">
        <f>ROW(Source!A67)</f>
        <v>67</v>
      </c>
      <c r="B142">
        <v>39579451</v>
      </c>
      <c r="C142">
        <v>39579678</v>
      </c>
      <c r="D142">
        <v>36801446</v>
      </c>
      <c r="E142">
        <v>1</v>
      </c>
      <c r="F142">
        <v>1</v>
      </c>
      <c r="G142">
        <v>1</v>
      </c>
      <c r="H142">
        <v>3</v>
      </c>
      <c r="I142" t="s">
        <v>195</v>
      </c>
      <c r="J142" t="s">
        <v>198</v>
      </c>
      <c r="K142" t="s">
        <v>196</v>
      </c>
      <c r="L142">
        <v>1330</v>
      </c>
      <c r="N142">
        <v>1005</v>
      </c>
      <c r="O142" t="s">
        <v>197</v>
      </c>
      <c r="P142" t="s">
        <v>197</v>
      </c>
      <c r="Q142">
        <v>10</v>
      </c>
      <c r="W142">
        <v>0</v>
      </c>
      <c r="X142">
        <v>401891962</v>
      </c>
      <c r="Y142">
        <v>11.3</v>
      </c>
      <c r="AA142">
        <v>330.86</v>
      </c>
      <c r="AB142">
        <v>0</v>
      </c>
      <c r="AC142">
        <v>0</v>
      </c>
      <c r="AD142">
        <v>0</v>
      </c>
      <c r="AE142">
        <v>47.95</v>
      </c>
      <c r="AF142">
        <v>0</v>
      </c>
      <c r="AG142">
        <v>0</v>
      </c>
      <c r="AH142">
        <v>0</v>
      </c>
      <c r="AI142">
        <v>6.9</v>
      </c>
      <c r="AJ142">
        <v>1</v>
      </c>
      <c r="AK142">
        <v>1</v>
      </c>
      <c r="AL142">
        <v>1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3</v>
      </c>
      <c r="AT142">
        <v>11.3</v>
      </c>
      <c r="AU142" t="s">
        <v>3</v>
      </c>
      <c r="AV142">
        <v>0</v>
      </c>
      <c r="AW142">
        <v>1</v>
      </c>
      <c r="AX142">
        <v>-1</v>
      </c>
      <c r="AY142">
        <v>0</v>
      </c>
      <c r="AZ142">
        <v>0</v>
      </c>
      <c r="BA142" t="s">
        <v>3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Y142*Source!I67</f>
        <v>10.396000000000001</v>
      </c>
      <c r="CY142">
        <f t="shared" si="12"/>
        <v>330.86</v>
      </c>
      <c r="CZ142">
        <f t="shared" si="13"/>
        <v>47.95</v>
      </c>
      <c r="DA142">
        <f t="shared" si="14"/>
        <v>6.9</v>
      </c>
      <c r="DB142">
        <v>0</v>
      </c>
    </row>
    <row r="143" spans="1:106" x14ac:dyDescent="0.2">
      <c r="A143">
        <f>ROW(Source!A67)</f>
        <v>67</v>
      </c>
      <c r="B143">
        <v>39579451</v>
      </c>
      <c r="C143">
        <v>39579678</v>
      </c>
      <c r="D143">
        <v>36801783</v>
      </c>
      <c r="E143">
        <v>1</v>
      </c>
      <c r="F143">
        <v>1</v>
      </c>
      <c r="G143">
        <v>1</v>
      </c>
      <c r="H143">
        <v>3</v>
      </c>
      <c r="I143" t="s">
        <v>637</v>
      </c>
      <c r="J143" t="s">
        <v>638</v>
      </c>
      <c r="K143" t="s">
        <v>639</v>
      </c>
      <c r="L143">
        <v>1348</v>
      </c>
      <c r="N143">
        <v>1009</v>
      </c>
      <c r="O143" t="s">
        <v>105</v>
      </c>
      <c r="P143" t="s">
        <v>105</v>
      </c>
      <c r="Q143">
        <v>1000</v>
      </c>
      <c r="W143">
        <v>0</v>
      </c>
      <c r="X143">
        <v>-107449080</v>
      </c>
      <c r="Y143">
        <v>7.1000000000000004E-3</v>
      </c>
      <c r="AA143">
        <v>38985</v>
      </c>
      <c r="AB143">
        <v>0</v>
      </c>
      <c r="AC143">
        <v>0</v>
      </c>
      <c r="AD143">
        <v>0</v>
      </c>
      <c r="AE143">
        <v>5650</v>
      </c>
      <c r="AF143">
        <v>0</v>
      </c>
      <c r="AG143">
        <v>0</v>
      </c>
      <c r="AH143">
        <v>0</v>
      </c>
      <c r="AI143">
        <v>6.9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7.1000000000000004E-3</v>
      </c>
      <c r="AU143" t="s">
        <v>3</v>
      </c>
      <c r="AV143">
        <v>0</v>
      </c>
      <c r="AW143">
        <v>2</v>
      </c>
      <c r="AX143">
        <v>39580384</v>
      </c>
      <c r="AY143">
        <v>1</v>
      </c>
      <c r="AZ143">
        <v>0</v>
      </c>
      <c r="BA143">
        <v>142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Y143*Source!I67</f>
        <v>6.5320000000000005E-3</v>
      </c>
      <c r="CY143">
        <f t="shared" si="12"/>
        <v>38985</v>
      </c>
      <c r="CZ143">
        <f t="shared" si="13"/>
        <v>5650</v>
      </c>
      <c r="DA143">
        <f t="shared" si="14"/>
        <v>6.9</v>
      </c>
      <c r="DB143">
        <v>0</v>
      </c>
    </row>
    <row r="144" spans="1:106" x14ac:dyDescent="0.2">
      <c r="A144">
        <f>ROW(Source!A67)</f>
        <v>67</v>
      </c>
      <c r="B144">
        <v>39579451</v>
      </c>
      <c r="C144">
        <v>39579678</v>
      </c>
      <c r="D144">
        <v>36801792</v>
      </c>
      <c r="E144">
        <v>1</v>
      </c>
      <c r="F144">
        <v>1</v>
      </c>
      <c r="G144">
        <v>1</v>
      </c>
      <c r="H144">
        <v>3</v>
      </c>
      <c r="I144" t="s">
        <v>564</v>
      </c>
      <c r="J144" t="s">
        <v>565</v>
      </c>
      <c r="K144" t="s">
        <v>566</v>
      </c>
      <c r="L144">
        <v>1339</v>
      </c>
      <c r="N144">
        <v>1007</v>
      </c>
      <c r="O144" t="s">
        <v>86</v>
      </c>
      <c r="P144" t="s">
        <v>86</v>
      </c>
      <c r="Q144">
        <v>1</v>
      </c>
      <c r="W144">
        <v>0</v>
      </c>
      <c r="X144">
        <v>-1660354250</v>
      </c>
      <c r="Y144">
        <v>0.01</v>
      </c>
      <c r="AA144">
        <v>16.84</v>
      </c>
      <c r="AB144">
        <v>0</v>
      </c>
      <c r="AC144">
        <v>0</v>
      </c>
      <c r="AD144">
        <v>0</v>
      </c>
      <c r="AE144">
        <v>2.44</v>
      </c>
      <c r="AF144">
        <v>0</v>
      </c>
      <c r="AG144">
        <v>0</v>
      </c>
      <c r="AH144">
        <v>0</v>
      </c>
      <c r="AI144">
        <v>6.9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0.01</v>
      </c>
      <c r="AU144" t="s">
        <v>3</v>
      </c>
      <c r="AV144">
        <v>0</v>
      </c>
      <c r="AW144">
        <v>2</v>
      </c>
      <c r="AX144">
        <v>39580385</v>
      </c>
      <c r="AY144">
        <v>1</v>
      </c>
      <c r="AZ144">
        <v>0</v>
      </c>
      <c r="BA144">
        <v>143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Y144*Source!I67</f>
        <v>9.1999999999999998E-3</v>
      </c>
      <c r="CY144">
        <f t="shared" si="12"/>
        <v>16.84</v>
      </c>
      <c r="CZ144">
        <f t="shared" si="13"/>
        <v>2.44</v>
      </c>
      <c r="DA144">
        <f t="shared" si="14"/>
        <v>6.9</v>
      </c>
      <c r="DB144">
        <v>0</v>
      </c>
    </row>
    <row r="145" spans="1:106" x14ac:dyDescent="0.2">
      <c r="A145">
        <f>ROW(Source!A67)</f>
        <v>67</v>
      </c>
      <c r="B145">
        <v>39579451</v>
      </c>
      <c r="C145">
        <v>39579678</v>
      </c>
      <c r="D145">
        <v>36805524</v>
      </c>
      <c r="E145">
        <v>1</v>
      </c>
      <c r="F145">
        <v>1</v>
      </c>
      <c r="G145">
        <v>1</v>
      </c>
      <c r="H145">
        <v>3</v>
      </c>
      <c r="I145" t="s">
        <v>591</v>
      </c>
      <c r="J145" t="s">
        <v>592</v>
      </c>
      <c r="K145" t="s">
        <v>593</v>
      </c>
      <c r="L145">
        <v>1346</v>
      </c>
      <c r="N145">
        <v>1009</v>
      </c>
      <c r="O145" t="s">
        <v>118</v>
      </c>
      <c r="P145" t="s">
        <v>118</v>
      </c>
      <c r="Q145">
        <v>1</v>
      </c>
      <c r="W145">
        <v>0</v>
      </c>
      <c r="X145">
        <v>813963326</v>
      </c>
      <c r="Y145">
        <v>0.01</v>
      </c>
      <c r="AA145">
        <v>12.56</v>
      </c>
      <c r="AB145">
        <v>0</v>
      </c>
      <c r="AC145">
        <v>0</v>
      </c>
      <c r="AD145">
        <v>0</v>
      </c>
      <c r="AE145">
        <v>1.82</v>
      </c>
      <c r="AF145">
        <v>0</v>
      </c>
      <c r="AG145">
        <v>0</v>
      </c>
      <c r="AH145">
        <v>0</v>
      </c>
      <c r="AI145">
        <v>6.9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0.01</v>
      </c>
      <c r="AU145" t="s">
        <v>3</v>
      </c>
      <c r="AV145">
        <v>0</v>
      </c>
      <c r="AW145">
        <v>2</v>
      </c>
      <c r="AX145">
        <v>39580386</v>
      </c>
      <c r="AY145">
        <v>1</v>
      </c>
      <c r="AZ145">
        <v>0</v>
      </c>
      <c r="BA145">
        <v>144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Y145*Source!I67</f>
        <v>9.1999999999999998E-3</v>
      </c>
      <c r="CY145">
        <f t="shared" si="12"/>
        <v>12.56</v>
      </c>
      <c r="CZ145">
        <f t="shared" si="13"/>
        <v>1.82</v>
      </c>
      <c r="DA145">
        <f t="shared" si="14"/>
        <v>6.9</v>
      </c>
      <c r="DB145">
        <v>0</v>
      </c>
    </row>
    <row r="146" spans="1:106" x14ac:dyDescent="0.2">
      <c r="A146">
        <f>ROW(Source!A67)</f>
        <v>67</v>
      </c>
      <c r="B146">
        <v>39579451</v>
      </c>
      <c r="C146">
        <v>39579678</v>
      </c>
      <c r="D146">
        <v>36806413</v>
      </c>
      <c r="E146">
        <v>1</v>
      </c>
      <c r="F146">
        <v>1</v>
      </c>
      <c r="G146">
        <v>1</v>
      </c>
      <c r="H146">
        <v>3</v>
      </c>
      <c r="I146" t="s">
        <v>640</v>
      </c>
      <c r="J146" t="s">
        <v>641</v>
      </c>
      <c r="K146" t="s">
        <v>642</v>
      </c>
      <c r="L146">
        <v>1339</v>
      </c>
      <c r="N146">
        <v>1007</v>
      </c>
      <c r="O146" t="s">
        <v>86</v>
      </c>
      <c r="P146" t="s">
        <v>86</v>
      </c>
      <c r="Q146">
        <v>1</v>
      </c>
      <c r="W146">
        <v>0</v>
      </c>
      <c r="X146">
        <v>1795918813</v>
      </c>
      <c r="Y146">
        <v>4.0000000000000002E-4</v>
      </c>
      <c r="AA146">
        <v>514.6</v>
      </c>
      <c r="AB146">
        <v>0</v>
      </c>
      <c r="AC146">
        <v>0</v>
      </c>
      <c r="AD146">
        <v>0</v>
      </c>
      <c r="AE146">
        <v>74.58</v>
      </c>
      <c r="AF146">
        <v>0</v>
      </c>
      <c r="AG146">
        <v>0</v>
      </c>
      <c r="AH146">
        <v>0</v>
      </c>
      <c r="AI146">
        <v>6.9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4.0000000000000002E-4</v>
      </c>
      <c r="AU146" t="s">
        <v>3</v>
      </c>
      <c r="AV146">
        <v>0</v>
      </c>
      <c r="AW146">
        <v>2</v>
      </c>
      <c r="AX146">
        <v>39580387</v>
      </c>
      <c r="AY146">
        <v>1</v>
      </c>
      <c r="AZ146">
        <v>0</v>
      </c>
      <c r="BA146">
        <v>145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Y146*Source!I67</f>
        <v>3.6800000000000005E-4</v>
      </c>
      <c r="CY146">
        <f t="shared" si="12"/>
        <v>514.6</v>
      </c>
      <c r="CZ146">
        <f t="shared" si="13"/>
        <v>74.58</v>
      </c>
      <c r="DA146">
        <f t="shared" si="14"/>
        <v>6.9</v>
      </c>
      <c r="DB146">
        <v>0</v>
      </c>
    </row>
    <row r="147" spans="1:106" x14ac:dyDescent="0.2">
      <c r="A147">
        <f>ROW(Source!A67)</f>
        <v>67</v>
      </c>
      <c r="B147">
        <v>39579451</v>
      </c>
      <c r="C147">
        <v>39579678</v>
      </c>
      <c r="D147">
        <v>36836966</v>
      </c>
      <c r="E147">
        <v>1</v>
      </c>
      <c r="F147">
        <v>1</v>
      </c>
      <c r="G147">
        <v>1</v>
      </c>
      <c r="H147">
        <v>3</v>
      </c>
      <c r="I147" t="s">
        <v>643</v>
      </c>
      <c r="J147" t="s">
        <v>644</v>
      </c>
      <c r="K147" t="s">
        <v>645</v>
      </c>
      <c r="L147">
        <v>1348</v>
      </c>
      <c r="N147">
        <v>1009</v>
      </c>
      <c r="O147" t="s">
        <v>105</v>
      </c>
      <c r="P147" t="s">
        <v>105</v>
      </c>
      <c r="Q147">
        <v>1000</v>
      </c>
      <c r="W147">
        <v>0</v>
      </c>
      <c r="X147">
        <v>1034009243</v>
      </c>
      <c r="Y147">
        <v>2E-3</v>
      </c>
      <c r="AA147">
        <v>179331</v>
      </c>
      <c r="AB147">
        <v>0</v>
      </c>
      <c r="AC147">
        <v>0</v>
      </c>
      <c r="AD147">
        <v>0</v>
      </c>
      <c r="AE147">
        <v>25990</v>
      </c>
      <c r="AF147">
        <v>0</v>
      </c>
      <c r="AG147">
        <v>0</v>
      </c>
      <c r="AH147">
        <v>0</v>
      </c>
      <c r="AI147">
        <v>6.9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2E-3</v>
      </c>
      <c r="AU147" t="s">
        <v>3</v>
      </c>
      <c r="AV147">
        <v>0</v>
      </c>
      <c r="AW147">
        <v>2</v>
      </c>
      <c r="AX147">
        <v>39580388</v>
      </c>
      <c r="AY147">
        <v>1</v>
      </c>
      <c r="AZ147">
        <v>0</v>
      </c>
      <c r="BA147">
        <v>146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Y147*Source!I67</f>
        <v>1.8400000000000001E-3</v>
      </c>
      <c r="CY147">
        <f t="shared" si="12"/>
        <v>179331</v>
      </c>
      <c r="CZ147">
        <f t="shared" si="13"/>
        <v>25990</v>
      </c>
      <c r="DA147">
        <f t="shared" si="14"/>
        <v>6.9</v>
      </c>
      <c r="DB147">
        <v>0</v>
      </c>
    </row>
    <row r="148" spans="1:106" x14ac:dyDescent="0.2">
      <c r="A148">
        <f>ROW(Source!A67)</f>
        <v>67</v>
      </c>
      <c r="B148">
        <v>39579451</v>
      </c>
      <c r="C148">
        <v>39579678</v>
      </c>
      <c r="D148">
        <v>36839212</v>
      </c>
      <c r="E148">
        <v>1</v>
      </c>
      <c r="F148">
        <v>1</v>
      </c>
      <c r="G148">
        <v>1</v>
      </c>
      <c r="H148">
        <v>3</v>
      </c>
      <c r="I148" t="s">
        <v>646</v>
      </c>
      <c r="J148" t="s">
        <v>647</v>
      </c>
      <c r="K148" t="s">
        <v>648</v>
      </c>
      <c r="L148">
        <v>1348</v>
      </c>
      <c r="N148">
        <v>1009</v>
      </c>
      <c r="O148" t="s">
        <v>105</v>
      </c>
      <c r="P148" t="s">
        <v>105</v>
      </c>
      <c r="Q148">
        <v>1000</v>
      </c>
      <c r="W148">
        <v>0</v>
      </c>
      <c r="X148">
        <v>-2084827333</v>
      </c>
      <c r="Y148">
        <v>6.7000000000000002E-3</v>
      </c>
      <c r="AA148">
        <v>29628.6</v>
      </c>
      <c r="AB148">
        <v>0</v>
      </c>
      <c r="AC148">
        <v>0</v>
      </c>
      <c r="AD148">
        <v>0</v>
      </c>
      <c r="AE148">
        <v>4294</v>
      </c>
      <c r="AF148">
        <v>0</v>
      </c>
      <c r="AG148">
        <v>0</v>
      </c>
      <c r="AH148">
        <v>0</v>
      </c>
      <c r="AI148">
        <v>6.9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6.7000000000000002E-3</v>
      </c>
      <c r="AU148" t="s">
        <v>3</v>
      </c>
      <c r="AV148">
        <v>0</v>
      </c>
      <c r="AW148">
        <v>2</v>
      </c>
      <c r="AX148">
        <v>39580389</v>
      </c>
      <c r="AY148">
        <v>1</v>
      </c>
      <c r="AZ148">
        <v>0</v>
      </c>
      <c r="BA148">
        <v>147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Y148*Source!I67</f>
        <v>6.1640000000000002E-3</v>
      </c>
      <c r="CY148">
        <f t="shared" si="12"/>
        <v>29628.6</v>
      </c>
      <c r="CZ148">
        <f t="shared" si="13"/>
        <v>4294</v>
      </c>
      <c r="DA148">
        <f t="shared" si="14"/>
        <v>6.9</v>
      </c>
      <c r="DB148">
        <v>0</v>
      </c>
    </row>
    <row r="149" spans="1:106" x14ac:dyDescent="0.2">
      <c r="A149">
        <f>ROW(Source!A70)</f>
        <v>70</v>
      </c>
      <c r="B149">
        <v>39579451</v>
      </c>
      <c r="C149">
        <v>39580118</v>
      </c>
      <c r="D149">
        <v>37064978</v>
      </c>
      <c r="E149">
        <v>1</v>
      </c>
      <c r="F149">
        <v>1</v>
      </c>
      <c r="G149">
        <v>1</v>
      </c>
      <c r="H149">
        <v>1</v>
      </c>
      <c r="I149" t="s">
        <v>635</v>
      </c>
      <c r="J149" t="s">
        <v>3</v>
      </c>
      <c r="K149" t="s">
        <v>636</v>
      </c>
      <c r="L149">
        <v>1191</v>
      </c>
      <c r="N149">
        <v>1013</v>
      </c>
      <c r="O149" t="s">
        <v>519</v>
      </c>
      <c r="P149" t="s">
        <v>519</v>
      </c>
      <c r="Q149">
        <v>1</v>
      </c>
      <c r="W149">
        <v>0</v>
      </c>
      <c r="X149">
        <v>-719309759</v>
      </c>
      <c r="Y149">
        <v>31.785999999999998</v>
      </c>
      <c r="AA149">
        <v>0</v>
      </c>
      <c r="AB149">
        <v>0</v>
      </c>
      <c r="AC149">
        <v>0</v>
      </c>
      <c r="AD149">
        <v>61.13</v>
      </c>
      <c r="AE149">
        <v>0</v>
      </c>
      <c r="AF149">
        <v>0</v>
      </c>
      <c r="AG149">
        <v>0</v>
      </c>
      <c r="AH149">
        <v>8.86</v>
      </c>
      <c r="AI149">
        <v>1</v>
      </c>
      <c r="AJ149">
        <v>1</v>
      </c>
      <c r="AK149">
        <v>1</v>
      </c>
      <c r="AL149">
        <v>6.9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3</v>
      </c>
      <c r="AT149">
        <v>27.64</v>
      </c>
      <c r="AU149" t="s">
        <v>79</v>
      </c>
      <c r="AV149">
        <v>1</v>
      </c>
      <c r="AW149">
        <v>2</v>
      </c>
      <c r="AX149">
        <v>39580404</v>
      </c>
      <c r="AY149">
        <v>1</v>
      </c>
      <c r="AZ149">
        <v>0</v>
      </c>
      <c r="BA149">
        <v>148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Y149*Source!I70</f>
        <v>9.8790887999999999</v>
      </c>
      <c r="CY149">
        <f>AD149</f>
        <v>61.13</v>
      </c>
      <c r="CZ149">
        <f>AH149</f>
        <v>8.86</v>
      </c>
      <c r="DA149">
        <f>AL149</f>
        <v>6.9</v>
      </c>
      <c r="DB149">
        <v>0</v>
      </c>
    </row>
    <row r="150" spans="1:106" x14ac:dyDescent="0.2">
      <c r="A150">
        <f>ROW(Source!A70)</f>
        <v>70</v>
      </c>
      <c r="B150">
        <v>39579451</v>
      </c>
      <c r="C150">
        <v>39580118</v>
      </c>
      <c r="D150">
        <v>37064876</v>
      </c>
      <c r="E150">
        <v>1</v>
      </c>
      <c r="F150">
        <v>1</v>
      </c>
      <c r="G150">
        <v>1</v>
      </c>
      <c r="H150">
        <v>1</v>
      </c>
      <c r="I150" t="s">
        <v>520</v>
      </c>
      <c r="J150" t="s">
        <v>3</v>
      </c>
      <c r="K150" t="s">
        <v>521</v>
      </c>
      <c r="L150">
        <v>1191</v>
      </c>
      <c r="N150">
        <v>1013</v>
      </c>
      <c r="O150" t="s">
        <v>519</v>
      </c>
      <c r="P150" t="s">
        <v>519</v>
      </c>
      <c r="Q150">
        <v>1</v>
      </c>
      <c r="W150">
        <v>0</v>
      </c>
      <c r="X150">
        <v>-1417349443</v>
      </c>
      <c r="Y150">
        <v>0.02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6.9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0.02</v>
      </c>
      <c r="AU150" t="s">
        <v>3</v>
      </c>
      <c r="AV150">
        <v>2</v>
      </c>
      <c r="AW150">
        <v>2</v>
      </c>
      <c r="AX150">
        <v>39580405</v>
      </c>
      <c r="AY150">
        <v>1</v>
      </c>
      <c r="AZ150">
        <v>2048</v>
      </c>
      <c r="BA150">
        <v>149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Y150*Source!I70</f>
        <v>6.2160000000000002E-3</v>
      </c>
      <c r="CY150">
        <f>AD150</f>
        <v>0</v>
      </c>
      <c r="CZ150">
        <f>AH150</f>
        <v>0</v>
      </c>
      <c r="DA150">
        <f>AL150</f>
        <v>1</v>
      </c>
      <c r="DB150">
        <v>0</v>
      </c>
    </row>
    <row r="151" spans="1:106" x14ac:dyDescent="0.2">
      <c r="A151">
        <f>ROW(Source!A70)</f>
        <v>70</v>
      </c>
      <c r="B151">
        <v>39579451</v>
      </c>
      <c r="C151">
        <v>39580118</v>
      </c>
      <c r="D151">
        <v>36882452</v>
      </c>
      <c r="E151">
        <v>1</v>
      </c>
      <c r="F151">
        <v>1</v>
      </c>
      <c r="G151">
        <v>1</v>
      </c>
      <c r="H151">
        <v>2</v>
      </c>
      <c r="I151" t="s">
        <v>522</v>
      </c>
      <c r="J151" t="s">
        <v>523</v>
      </c>
      <c r="K151" t="s">
        <v>524</v>
      </c>
      <c r="L151">
        <v>1368</v>
      </c>
      <c r="N151">
        <v>1011</v>
      </c>
      <c r="O151" t="s">
        <v>525</v>
      </c>
      <c r="P151" t="s">
        <v>525</v>
      </c>
      <c r="Q151">
        <v>1</v>
      </c>
      <c r="W151">
        <v>0</v>
      </c>
      <c r="X151">
        <v>1188625873</v>
      </c>
      <c r="Y151">
        <v>1.2500000000000001E-2</v>
      </c>
      <c r="AA151">
        <v>0</v>
      </c>
      <c r="AB151">
        <v>215.69</v>
      </c>
      <c r="AC151">
        <v>13.5</v>
      </c>
      <c r="AD151">
        <v>0</v>
      </c>
      <c r="AE151">
        <v>0</v>
      </c>
      <c r="AF151">
        <v>31.26</v>
      </c>
      <c r="AG151">
        <v>13.5</v>
      </c>
      <c r="AH151">
        <v>0</v>
      </c>
      <c r="AI151">
        <v>1</v>
      </c>
      <c r="AJ151">
        <v>6.9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3</v>
      </c>
      <c r="AT151">
        <v>0.01</v>
      </c>
      <c r="AU151" t="s">
        <v>78</v>
      </c>
      <c r="AV151">
        <v>0</v>
      </c>
      <c r="AW151">
        <v>2</v>
      </c>
      <c r="AX151">
        <v>39580406</v>
      </c>
      <c r="AY151">
        <v>1</v>
      </c>
      <c r="AZ151">
        <v>0</v>
      </c>
      <c r="BA151">
        <v>150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Y151*Source!I70</f>
        <v>3.8850000000000004E-3</v>
      </c>
      <c r="CY151">
        <f>AB151</f>
        <v>215.69</v>
      </c>
      <c r="CZ151">
        <f>AF151</f>
        <v>31.26</v>
      </c>
      <c r="DA151">
        <f>AJ151</f>
        <v>6.9</v>
      </c>
      <c r="DB151">
        <v>0</v>
      </c>
    </row>
    <row r="152" spans="1:106" x14ac:dyDescent="0.2">
      <c r="A152">
        <f>ROW(Source!A70)</f>
        <v>70</v>
      </c>
      <c r="B152">
        <v>39579451</v>
      </c>
      <c r="C152">
        <v>39580118</v>
      </c>
      <c r="D152">
        <v>36883554</v>
      </c>
      <c r="E152">
        <v>1</v>
      </c>
      <c r="F152">
        <v>1</v>
      </c>
      <c r="G152">
        <v>1</v>
      </c>
      <c r="H152">
        <v>2</v>
      </c>
      <c r="I152" t="s">
        <v>526</v>
      </c>
      <c r="J152" t="s">
        <v>527</v>
      </c>
      <c r="K152" t="s">
        <v>528</v>
      </c>
      <c r="L152">
        <v>1368</v>
      </c>
      <c r="N152">
        <v>1011</v>
      </c>
      <c r="O152" t="s">
        <v>525</v>
      </c>
      <c r="P152" t="s">
        <v>525</v>
      </c>
      <c r="Q152">
        <v>1</v>
      </c>
      <c r="W152">
        <v>0</v>
      </c>
      <c r="X152">
        <v>1372534845</v>
      </c>
      <c r="Y152">
        <v>1.2500000000000001E-2</v>
      </c>
      <c r="AA152">
        <v>0</v>
      </c>
      <c r="AB152">
        <v>453.4</v>
      </c>
      <c r="AC152">
        <v>11.6</v>
      </c>
      <c r="AD152">
        <v>0</v>
      </c>
      <c r="AE152">
        <v>0</v>
      </c>
      <c r="AF152">
        <v>65.709999999999994</v>
      </c>
      <c r="AG152">
        <v>11.6</v>
      </c>
      <c r="AH152">
        <v>0</v>
      </c>
      <c r="AI152">
        <v>1</v>
      </c>
      <c r="AJ152">
        <v>6.9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3</v>
      </c>
      <c r="AT152">
        <v>0.01</v>
      </c>
      <c r="AU152" t="s">
        <v>78</v>
      </c>
      <c r="AV152">
        <v>0</v>
      </c>
      <c r="AW152">
        <v>2</v>
      </c>
      <c r="AX152">
        <v>39580407</v>
      </c>
      <c r="AY152">
        <v>1</v>
      </c>
      <c r="AZ152">
        <v>0</v>
      </c>
      <c r="BA152">
        <v>151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Y152*Source!I70</f>
        <v>3.8850000000000004E-3</v>
      </c>
      <c r="CY152">
        <f>AB152</f>
        <v>453.4</v>
      </c>
      <c r="CZ152">
        <f>AF152</f>
        <v>65.709999999999994</v>
      </c>
      <c r="DA152">
        <f>AJ152</f>
        <v>6.9</v>
      </c>
      <c r="DB152">
        <v>0</v>
      </c>
    </row>
    <row r="153" spans="1:106" x14ac:dyDescent="0.2">
      <c r="A153">
        <f>ROW(Source!A70)</f>
        <v>70</v>
      </c>
      <c r="B153">
        <v>39579451</v>
      </c>
      <c r="C153">
        <v>39580118</v>
      </c>
      <c r="D153">
        <v>36797604</v>
      </c>
      <c r="E153">
        <v>17</v>
      </c>
      <c r="F153">
        <v>1</v>
      </c>
      <c r="G153">
        <v>1</v>
      </c>
      <c r="H153">
        <v>3</v>
      </c>
      <c r="I153" t="s">
        <v>200</v>
      </c>
      <c r="J153" t="s">
        <v>3</v>
      </c>
      <c r="K153" t="s">
        <v>201</v>
      </c>
      <c r="L153">
        <v>1328</v>
      </c>
      <c r="N153">
        <v>1005</v>
      </c>
      <c r="O153" t="s">
        <v>15</v>
      </c>
      <c r="P153" t="s">
        <v>15</v>
      </c>
      <c r="Q153">
        <v>100</v>
      </c>
      <c r="W153">
        <v>0</v>
      </c>
      <c r="X153">
        <v>-93777278</v>
      </c>
      <c r="Y153">
        <v>1.1299999999999999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6.9</v>
      </c>
      <c r="AJ153">
        <v>1</v>
      </c>
      <c r="AK153">
        <v>1</v>
      </c>
      <c r="AL153">
        <v>1</v>
      </c>
      <c r="AN153">
        <v>0</v>
      </c>
      <c r="AO153">
        <v>0</v>
      </c>
      <c r="AP153">
        <v>0</v>
      </c>
      <c r="AQ153">
        <v>0</v>
      </c>
      <c r="AR153">
        <v>0</v>
      </c>
      <c r="AS153" t="s">
        <v>3</v>
      </c>
      <c r="AT153">
        <v>1.1299999999999999</v>
      </c>
      <c r="AU153" t="s">
        <v>3</v>
      </c>
      <c r="AV153">
        <v>0</v>
      </c>
      <c r="AW153">
        <v>2</v>
      </c>
      <c r="AX153">
        <v>39580408</v>
      </c>
      <c r="AY153">
        <v>1</v>
      </c>
      <c r="AZ153">
        <v>0</v>
      </c>
      <c r="BA153">
        <v>152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Y153*Source!I70</f>
        <v>0.35120400000000002</v>
      </c>
      <c r="CY153">
        <f t="shared" ref="CY153:CY159" si="15">AA153</f>
        <v>0</v>
      </c>
      <c r="CZ153">
        <f t="shared" ref="CZ153:CZ159" si="16">AE153</f>
        <v>0</v>
      </c>
      <c r="DA153">
        <f t="shared" ref="DA153:DA159" si="17">AI153</f>
        <v>6.9</v>
      </c>
      <c r="DB153">
        <v>0</v>
      </c>
    </row>
    <row r="154" spans="1:106" x14ac:dyDescent="0.2">
      <c r="A154">
        <f>ROW(Source!A70)</f>
        <v>70</v>
      </c>
      <c r="B154">
        <v>39579451</v>
      </c>
      <c r="C154">
        <v>39580118</v>
      </c>
      <c r="D154">
        <v>36801446</v>
      </c>
      <c r="E154">
        <v>1</v>
      </c>
      <c r="F154">
        <v>1</v>
      </c>
      <c r="G154">
        <v>1</v>
      </c>
      <c r="H154">
        <v>3</v>
      </c>
      <c r="I154" t="s">
        <v>195</v>
      </c>
      <c r="J154" t="s">
        <v>198</v>
      </c>
      <c r="K154" t="s">
        <v>196</v>
      </c>
      <c r="L154">
        <v>1330</v>
      </c>
      <c r="N154">
        <v>1005</v>
      </c>
      <c r="O154" t="s">
        <v>197</v>
      </c>
      <c r="P154" t="s">
        <v>197</v>
      </c>
      <c r="Q154">
        <v>10</v>
      </c>
      <c r="W154">
        <v>0</v>
      </c>
      <c r="X154">
        <v>401891962</v>
      </c>
      <c r="Y154">
        <v>11.3</v>
      </c>
      <c r="AA154">
        <v>330.86</v>
      </c>
      <c r="AB154">
        <v>0</v>
      </c>
      <c r="AC154">
        <v>0</v>
      </c>
      <c r="AD154">
        <v>0</v>
      </c>
      <c r="AE154">
        <v>47.95</v>
      </c>
      <c r="AF154">
        <v>0</v>
      </c>
      <c r="AG154">
        <v>0</v>
      </c>
      <c r="AH154">
        <v>0</v>
      </c>
      <c r="AI154">
        <v>6.9</v>
      </c>
      <c r="AJ154">
        <v>1</v>
      </c>
      <c r="AK154">
        <v>1</v>
      </c>
      <c r="AL154">
        <v>1</v>
      </c>
      <c r="AN154">
        <v>0</v>
      </c>
      <c r="AO154">
        <v>0</v>
      </c>
      <c r="AP154">
        <v>0</v>
      </c>
      <c r="AQ154">
        <v>0</v>
      </c>
      <c r="AR154">
        <v>0</v>
      </c>
      <c r="AS154" t="s">
        <v>3</v>
      </c>
      <c r="AT154">
        <v>11.3</v>
      </c>
      <c r="AU154" t="s">
        <v>3</v>
      </c>
      <c r="AV154">
        <v>0</v>
      </c>
      <c r="AW154">
        <v>1</v>
      </c>
      <c r="AX154">
        <v>-1</v>
      </c>
      <c r="AY154">
        <v>0</v>
      </c>
      <c r="AZ154">
        <v>0</v>
      </c>
      <c r="BA154" t="s">
        <v>3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Y154*Source!I70</f>
        <v>3.5120400000000003</v>
      </c>
      <c r="CY154">
        <f t="shared" si="15"/>
        <v>330.86</v>
      </c>
      <c r="CZ154">
        <f t="shared" si="16"/>
        <v>47.95</v>
      </c>
      <c r="DA154">
        <f t="shared" si="17"/>
        <v>6.9</v>
      </c>
      <c r="DB154">
        <v>0</v>
      </c>
    </row>
    <row r="155" spans="1:106" x14ac:dyDescent="0.2">
      <c r="A155">
        <f>ROW(Source!A70)</f>
        <v>70</v>
      </c>
      <c r="B155">
        <v>39579451</v>
      </c>
      <c r="C155">
        <v>39580118</v>
      </c>
      <c r="D155">
        <v>36801783</v>
      </c>
      <c r="E155">
        <v>1</v>
      </c>
      <c r="F155">
        <v>1</v>
      </c>
      <c r="G155">
        <v>1</v>
      </c>
      <c r="H155">
        <v>3</v>
      </c>
      <c r="I155" t="s">
        <v>637</v>
      </c>
      <c r="J155" t="s">
        <v>638</v>
      </c>
      <c r="K155" t="s">
        <v>639</v>
      </c>
      <c r="L155">
        <v>1348</v>
      </c>
      <c r="N155">
        <v>1009</v>
      </c>
      <c r="O155" t="s">
        <v>105</v>
      </c>
      <c r="P155" t="s">
        <v>105</v>
      </c>
      <c r="Q155">
        <v>1000</v>
      </c>
      <c r="W155">
        <v>0</v>
      </c>
      <c r="X155">
        <v>-107449080</v>
      </c>
      <c r="Y155">
        <v>8.4999999999999995E-4</v>
      </c>
      <c r="AA155">
        <v>38985</v>
      </c>
      <c r="AB155">
        <v>0</v>
      </c>
      <c r="AC155">
        <v>0</v>
      </c>
      <c r="AD155">
        <v>0</v>
      </c>
      <c r="AE155">
        <v>5650</v>
      </c>
      <c r="AF155">
        <v>0</v>
      </c>
      <c r="AG155">
        <v>0</v>
      </c>
      <c r="AH155">
        <v>0</v>
      </c>
      <c r="AI155">
        <v>6.9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8.4999999999999995E-4</v>
      </c>
      <c r="AU155" t="s">
        <v>3</v>
      </c>
      <c r="AV155">
        <v>0</v>
      </c>
      <c r="AW155">
        <v>2</v>
      </c>
      <c r="AX155">
        <v>39580409</v>
      </c>
      <c r="AY155">
        <v>1</v>
      </c>
      <c r="AZ155">
        <v>0</v>
      </c>
      <c r="BA155">
        <v>153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Y155*Source!I70</f>
        <v>2.6417999999999998E-4</v>
      </c>
      <c r="CY155">
        <f t="shared" si="15"/>
        <v>38985</v>
      </c>
      <c r="CZ155">
        <f t="shared" si="16"/>
        <v>5650</v>
      </c>
      <c r="DA155">
        <f t="shared" si="17"/>
        <v>6.9</v>
      </c>
      <c r="DB155">
        <v>0</v>
      </c>
    </row>
    <row r="156" spans="1:106" x14ac:dyDescent="0.2">
      <c r="A156">
        <f>ROW(Source!A70)</f>
        <v>70</v>
      </c>
      <c r="B156">
        <v>39579451</v>
      </c>
      <c r="C156">
        <v>39580118</v>
      </c>
      <c r="D156">
        <v>36801792</v>
      </c>
      <c r="E156">
        <v>1</v>
      </c>
      <c r="F156">
        <v>1</v>
      </c>
      <c r="G156">
        <v>1</v>
      </c>
      <c r="H156">
        <v>3</v>
      </c>
      <c r="I156" t="s">
        <v>564</v>
      </c>
      <c r="J156" t="s">
        <v>565</v>
      </c>
      <c r="K156" t="s">
        <v>566</v>
      </c>
      <c r="L156">
        <v>1339</v>
      </c>
      <c r="N156">
        <v>1007</v>
      </c>
      <c r="O156" t="s">
        <v>86</v>
      </c>
      <c r="P156" t="s">
        <v>86</v>
      </c>
      <c r="Q156">
        <v>1</v>
      </c>
      <c r="W156">
        <v>0</v>
      </c>
      <c r="X156">
        <v>-1660354250</v>
      </c>
      <c r="Y156">
        <v>0.01</v>
      </c>
      <c r="AA156">
        <v>16.84</v>
      </c>
      <c r="AB156">
        <v>0</v>
      </c>
      <c r="AC156">
        <v>0</v>
      </c>
      <c r="AD156">
        <v>0</v>
      </c>
      <c r="AE156">
        <v>2.44</v>
      </c>
      <c r="AF156">
        <v>0</v>
      </c>
      <c r="AG156">
        <v>0</v>
      </c>
      <c r="AH156">
        <v>0</v>
      </c>
      <c r="AI156">
        <v>6.9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3</v>
      </c>
      <c r="AT156">
        <v>0.01</v>
      </c>
      <c r="AU156" t="s">
        <v>3</v>
      </c>
      <c r="AV156">
        <v>0</v>
      </c>
      <c r="AW156">
        <v>2</v>
      </c>
      <c r="AX156">
        <v>39580410</v>
      </c>
      <c r="AY156">
        <v>1</v>
      </c>
      <c r="AZ156">
        <v>0</v>
      </c>
      <c r="BA156">
        <v>154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Y156*Source!I70</f>
        <v>3.1080000000000001E-3</v>
      </c>
      <c r="CY156">
        <f t="shared" si="15"/>
        <v>16.84</v>
      </c>
      <c r="CZ156">
        <f t="shared" si="16"/>
        <v>2.44</v>
      </c>
      <c r="DA156">
        <f t="shared" si="17"/>
        <v>6.9</v>
      </c>
      <c r="DB156">
        <v>0</v>
      </c>
    </row>
    <row r="157" spans="1:106" x14ac:dyDescent="0.2">
      <c r="A157">
        <f>ROW(Source!A70)</f>
        <v>70</v>
      </c>
      <c r="B157">
        <v>39579451</v>
      </c>
      <c r="C157">
        <v>39580118</v>
      </c>
      <c r="D157">
        <v>36805524</v>
      </c>
      <c r="E157">
        <v>1</v>
      </c>
      <c r="F157">
        <v>1</v>
      </c>
      <c r="G157">
        <v>1</v>
      </c>
      <c r="H157">
        <v>3</v>
      </c>
      <c r="I157" t="s">
        <v>591</v>
      </c>
      <c r="J157" t="s">
        <v>592</v>
      </c>
      <c r="K157" t="s">
        <v>593</v>
      </c>
      <c r="L157">
        <v>1346</v>
      </c>
      <c r="N157">
        <v>1009</v>
      </c>
      <c r="O157" t="s">
        <v>118</v>
      </c>
      <c r="P157" t="s">
        <v>118</v>
      </c>
      <c r="Q157">
        <v>1</v>
      </c>
      <c r="W157">
        <v>0</v>
      </c>
      <c r="X157">
        <v>813963326</v>
      </c>
      <c r="Y157">
        <v>0.01</v>
      </c>
      <c r="AA157">
        <v>12.56</v>
      </c>
      <c r="AB157">
        <v>0</v>
      </c>
      <c r="AC157">
        <v>0</v>
      </c>
      <c r="AD157">
        <v>0</v>
      </c>
      <c r="AE157">
        <v>1.82</v>
      </c>
      <c r="AF157">
        <v>0</v>
      </c>
      <c r="AG157">
        <v>0</v>
      </c>
      <c r="AH157">
        <v>0</v>
      </c>
      <c r="AI157">
        <v>6.9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0.01</v>
      </c>
      <c r="AU157" t="s">
        <v>3</v>
      </c>
      <c r="AV157">
        <v>0</v>
      </c>
      <c r="AW157">
        <v>2</v>
      </c>
      <c r="AX157">
        <v>39580411</v>
      </c>
      <c r="AY157">
        <v>1</v>
      </c>
      <c r="AZ157">
        <v>0</v>
      </c>
      <c r="BA157">
        <v>155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Y157*Source!I70</f>
        <v>3.1080000000000001E-3</v>
      </c>
      <c r="CY157">
        <f t="shared" si="15"/>
        <v>12.56</v>
      </c>
      <c r="CZ157">
        <f t="shared" si="16"/>
        <v>1.82</v>
      </c>
      <c r="DA157">
        <f t="shared" si="17"/>
        <v>6.9</v>
      </c>
      <c r="DB157">
        <v>0</v>
      </c>
    </row>
    <row r="158" spans="1:106" x14ac:dyDescent="0.2">
      <c r="A158">
        <f>ROW(Source!A70)</f>
        <v>70</v>
      </c>
      <c r="B158">
        <v>39579451</v>
      </c>
      <c r="C158">
        <v>39580118</v>
      </c>
      <c r="D158">
        <v>36806413</v>
      </c>
      <c r="E158">
        <v>1</v>
      </c>
      <c r="F158">
        <v>1</v>
      </c>
      <c r="G158">
        <v>1</v>
      </c>
      <c r="H158">
        <v>3</v>
      </c>
      <c r="I158" t="s">
        <v>640</v>
      </c>
      <c r="J158" t="s">
        <v>641</v>
      </c>
      <c r="K158" t="s">
        <v>642</v>
      </c>
      <c r="L158">
        <v>1339</v>
      </c>
      <c r="N158">
        <v>1007</v>
      </c>
      <c r="O158" t="s">
        <v>86</v>
      </c>
      <c r="P158" t="s">
        <v>86</v>
      </c>
      <c r="Q158">
        <v>1</v>
      </c>
      <c r="W158">
        <v>0</v>
      </c>
      <c r="X158">
        <v>1795918813</v>
      </c>
      <c r="Y158">
        <v>4.0000000000000002E-4</v>
      </c>
      <c r="AA158">
        <v>514.6</v>
      </c>
      <c r="AB158">
        <v>0</v>
      </c>
      <c r="AC158">
        <v>0</v>
      </c>
      <c r="AD158">
        <v>0</v>
      </c>
      <c r="AE158">
        <v>74.58</v>
      </c>
      <c r="AF158">
        <v>0</v>
      </c>
      <c r="AG158">
        <v>0</v>
      </c>
      <c r="AH158">
        <v>0</v>
      </c>
      <c r="AI158">
        <v>6.9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4.0000000000000002E-4</v>
      </c>
      <c r="AU158" t="s">
        <v>3</v>
      </c>
      <c r="AV158">
        <v>0</v>
      </c>
      <c r="AW158">
        <v>2</v>
      </c>
      <c r="AX158">
        <v>39580412</v>
      </c>
      <c r="AY158">
        <v>1</v>
      </c>
      <c r="AZ158">
        <v>0</v>
      </c>
      <c r="BA158">
        <v>156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Y158*Source!I70</f>
        <v>1.2432E-4</v>
      </c>
      <c r="CY158">
        <f t="shared" si="15"/>
        <v>514.6</v>
      </c>
      <c r="CZ158">
        <f t="shared" si="16"/>
        <v>74.58</v>
      </c>
      <c r="DA158">
        <f t="shared" si="17"/>
        <v>6.9</v>
      </c>
      <c r="DB158">
        <v>0</v>
      </c>
    </row>
    <row r="159" spans="1:106" x14ac:dyDescent="0.2">
      <c r="A159">
        <f>ROW(Source!A70)</f>
        <v>70</v>
      </c>
      <c r="B159">
        <v>39579451</v>
      </c>
      <c r="C159">
        <v>39580118</v>
      </c>
      <c r="D159">
        <v>36836966</v>
      </c>
      <c r="E159">
        <v>1</v>
      </c>
      <c r="F159">
        <v>1</v>
      </c>
      <c r="G159">
        <v>1</v>
      </c>
      <c r="H159">
        <v>3</v>
      </c>
      <c r="I159" t="s">
        <v>643</v>
      </c>
      <c r="J159" t="s">
        <v>644</v>
      </c>
      <c r="K159" t="s">
        <v>645</v>
      </c>
      <c r="L159">
        <v>1348</v>
      </c>
      <c r="N159">
        <v>1009</v>
      </c>
      <c r="O159" t="s">
        <v>105</v>
      </c>
      <c r="P159" t="s">
        <v>105</v>
      </c>
      <c r="Q159">
        <v>1000</v>
      </c>
      <c r="W159">
        <v>0</v>
      </c>
      <c r="X159">
        <v>1034009243</v>
      </c>
      <c r="Y159">
        <v>1.5E-3</v>
      </c>
      <c r="AA159">
        <v>179331</v>
      </c>
      <c r="AB159">
        <v>0</v>
      </c>
      <c r="AC159">
        <v>0</v>
      </c>
      <c r="AD159">
        <v>0</v>
      </c>
      <c r="AE159">
        <v>25990</v>
      </c>
      <c r="AF159">
        <v>0</v>
      </c>
      <c r="AG159">
        <v>0</v>
      </c>
      <c r="AH159">
        <v>0</v>
      </c>
      <c r="AI159">
        <v>6.9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1.5E-3</v>
      </c>
      <c r="AU159" t="s">
        <v>3</v>
      </c>
      <c r="AV159">
        <v>0</v>
      </c>
      <c r="AW159">
        <v>2</v>
      </c>
      <c r="AX159">
        <v>39580413</v>
      </c>
      <c r="AY159">
        <v>1</v>
      </c>
      <c r="AZ159">
        <v>0</v>
      </c>
      <c r="BA159">
        <v>157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Y159*Source!I70</f>
        <v>4.6620000000000006E-4</v>
      </c>
      <c r="CY159">
        <f t="shared" si="15"/>
        <v>179331</v>
      </c>
      <c r="CZ159">
        <f t="shared" si="16"/>
        <v>25990</v>
      </c>
      <c r="DA159">
        <f t="shared" si="17"/>
        <v>6.9</v>
      </c>
      <c r="DB159">
        <v>0</v>
      </c>
    </row>
    <row r="160" spans="1:106" x14ac:dyDescent="0.2">
      <c r="A160">
        <f>ROW(Source!A73)</f>
        <v>73</v>
      </c>
      <c r="B160">
        <v>39579451</v>
      </c>
      <c r="C160">
        <v>39579814</v>
      </c>
      <c r="D160">
        <v>37064978</v>
      </c>
      <c r="E160">
        <v>1</v>
      </c>
      <c r="F160">
        <v>1</v>
      </c>
      <c r="G160">
        <v>1</v>
      </c>
      <c r="H160">
        <v>1</v>
      </c>
      <c r="I160" t="s">
        <v>635</v>
      </c>
      <c r="J160" t="s">
        <v>3</v>
      </c>
      <c r="K160" t="s">
        <v>636</v>
      </c>
      <c r="L160">
        <v>1191</v>
      </c>
      <c r="N160">
        <v>1013</v>
      </c>
      <c r="O160" t="s">
        <v>519</v>
      </c>
      <c r="P160" t="s">
        <v>519</v>
      </c>
      <c r="Q160">
        <v>1</v>
      </c>
      <c r="W160">
        <v>0</v>
      </c>
      <c r="X160">
        <v>-719309759</v>
      </c>
      <c r="Y160">
        <v>37.639499999999991</v>
      </c>
      <c r="AA160">
        <v>0</v>
      </c>
      <c r="AB160">
        <v>0</v>
      </c>
      <c r="AC160">
        <v>0</v>
      </c>
      <c r="AD160">
        <v>61.13</v>
      </c>
      <c r="AE160">
        <v>0</v>
      </c>
      <c r="AF160">
        <v>0</v>
      </c>
      <c r="AG160">
        <v>0</v>
      </c>
      <c r="AH160">
        <v>8.86</v>
      </c>
      <c r="AI160">
        <v>1</v>
      </c>
      <c r="AJ160">
        <v>1</v>
      </c>
      <c r="AK160">
        <v>1</v>
      </c>
      <c r="AL160">
        <v>6.9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3</v>
      </c>
      <c r="AT160">
        <v>32.729999999999997</v>
      </c>
      <c r="AU160" t="s">
        <v>79</v>
      </c>
      <c r="AV160">
        <v>1</v>
      </c>
      <c r="AW160">
        <v>2</v>
      </c>
      <c r="AX160">
        <v>39579815</v>
      </c>
      <c r="AY160">
        <v>1</v>
      </c>
      <c r="AZ160">
        <v>0</v>
      </c>
      <c r="BA160">
        <v>158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Y160*Source!I73</f>
        <v>46.326696599999984</v>
      </c>
      <c r="CY160">
        <f>AD160</f>
        <v>61.13</v>
      </c>
      <c r="CZ160">
        <f>AH160</f>
        <v>8.86</v>
      </c>
      <c r="DA160">
        <f>AL160</f>
        <v>6.9</v>
      </c>
      <c r="DB160">
        <v>0</v>
      </c>
    </row>
    <row r="161" spans="1:106" x14ac:dyDescent="0.2">
      <c r="A161">
        <f>ROW(Source!A73)</f>
        <v>73</v>
      </c>
      <c r="B161">
        <v>39579451</v>
      </c>
      <c r="C161">
        <v>39579814</v>
      </c>
      <c r="D161">
        <v>37064876</v>
      </c>
      <c r="E161">
        <v>1</v>
      </c>
      <c r="F161">
        <v>1</v>
      </c>
      <c r="G161">
        <v>1</v>
      </c>
      <c r="H161">
        <v>1</v>
      </c>
      <c r="I161" t="s">
        <v>520</v>
      </c>
      <c r="J161" t="s">
        <v>3</v>
      </c>
      <c r="K161" t="s">
        <v>521</v>
      </c>
      <c r="L161">
        <v>1191</v>
      </c>
      <c r="N161">
        <v>1013</v>
      </c>
      <c r="O161" t="s">
        <v>519</v>
      </c>
      <c r="P161" t="s">
        <v>519</v>
      </c>
      <c r="Q161">
        <v>1</v>
      </c>
      <c r="W161">
        <v>0</v>
      </c>
      <c r="X161">
        <v>-1417349443</v>
      </c>
      <c r="Y161">
        <v>0.11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6.9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0.11</v>
      </c>
      <c r="AU161" t="s">
        <v>3</v>
      </c>
      <c r="AV161">
        <v>2</v>
      </c>
      <c r="AW161">
        <v>2</v>
      </c>
      <c r="AX161">
        <v>39579816</v>
      </c>
      <c r="AY161">
        <v>1</v>
      </c>
      <c r="AZ161">
        <v>2048</v>
      </c>
      <c r="BA161">
        <v>159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Y161*Source!I73</f>
        <v>0.13538799999999998</v>
      </c>
      <c r="CY161">
        <f>AD161</f>
        <v>0</v>
      </c>
      <c r="CZ161">
        <f>AH161</f>
        <v>0</v>
      </c>
      <c r="DA161">
        <f>AL161</f>
        <v>1</v>
      </c>
      <c r="DB161">
        <v>0</v>
      </c>
    </row>
    <row r="162" spans="1:106" x14ac:dyDescent="0.2">
      <c r="A162">
        <f>ROW(Source!A73)</f>
        <v>73</v>
      </c>
      <c r="B162">
        <v>39579451</v>
      </c>
      <c r="C162">
        <v>39579814</v>
      </c>
      <c r="D162">
        <v>36882448</v>
      </c>
      <c r="E162">
        <v>1</v>
      </c>
      <c r="F162">
        <v>1</v>
      </c>
      <c r="G162">
        <v>1</v>
      </c>
      <c r="H162">
        <v>2</v>
      </c>
      <c r="I162" t="s">
        <v>585</v>
      </c>
      <c r="J162" t="s">
        <v>586</v>
      </c>
      <c r="K162" t="s">
        <v>587</v>
      </c>
      <c r="L162">
        <v>1368</v>
      </c>
      <c r="N162">
        <v>1011</v>
      </c>
      <c r="O162" t="s">
        <v>525</v>
      </c>
      <c r="P162" t="s">
        <v>525</v>
      </c>
      <c r="Q162">
        <v>1</v>
      </c>
      <c r="W162">
        <v>0</v>
      </c>
      <c r="X162">
        <v>368031958</v>
      </c>
      <c r="Y162">
        <v>1.2500000000000001E-2</v>
      </c>
      <c r="AA162">
        <v>0</v>
      </c>
      <c r="AB162">
        <v>190.85</v>
      </c>
      <c r="AC162">
        <v>11.6</v>
      </c>
      <c r="AD162">
        <v>0</v>
      </c>
      <c r="AE162">
        <v>0</v>
      </c>
      <c r="AF162">
        <v>27.66</v>
      </c>
      <c r="AG162">
        <v>11.6</v>
      </c>
      <c r="AH162">
        <v>0</v>
      </c>
      <c r="AI162">
        <v>1</v>
      </c>
      <c r="AJ162">
        <v>6.9</v>
      </c>
      <c r="AK162">
        <v>1</v>
      </c>
      <c r="AL162">
        <v>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3</v>
      </c>
      <c r="AT162">
        <v>0.01</v>
      </c>
      <c r="AU162" t="s">
        <v>78</v>
      </c>
      <c r="AV162">
        <v>0</v>
      </c>
      <c r="AW162">
        <v>2</v>
      </c>
      <c r="AX162">
        <v>39579817</v>
      </c>
      <c r="AY162">
        <v>1</v>
      </c>
      <c r="AZ162">
        <v>0</v>
      </c>
      <c r="BA162">
        <v>160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Y162*Source!I73</f>
        <v>1.5384999999999999E-2</v>
      </c>
      <c r="CY162">
        <f>AB162</f>
        <v>190.85</v>
      </c>
      <c r="CZ162">
        <f>AF162</f>
        <v>27.66</v>
      </c>
      <c r="DA162">
        <f>AJ162</f>
        <v>6.9</v>
      </c>
      <c r="DB162">
        <v>0</v>
      </c>
    </row>
    <row r="163" spans="1:106" x14ac:dyDescent="0.2">
      <c r="A163">
        <f>ROW(Source!A73)</f>
        <v>73</v>
      </c>
      <c r="B163">
        <v>39579451</v>
      </c>
      <c r="C163">
        <v>39579814</v>
      </c>
      <c r="D163">
        <v>36883554</v>
      </c>
      <c r="E163">
        <v>1</v>
      </c>
      <c r="F163">
        <v>1</v>
      </c>
      <c r="G163">
        <v>1</v>
      </c>
      <c r="H163">
        <v>2</v>
      </c>
      <c r="I163" t="s">
        <v>526</v>
      </c>
      <c r="J163" t="s">
        <v>527</v>
      </c>
      <c r="K163" t="s">
        <v>528</v>
      </c>
      <c r="L163">
        <v>1368</v>
      </c>
      <c r="N163">
        <v>1011</v>
      </c>
      <c r="O163" t="s">
        <v>525</v>
      </c>
      <c r="P163" t="s">
        <v>525</v>
      </c>
      <c r="Q163">
        <v>1</v>
      </c>
      <c r="W163">
        <v>0</v>
      </c>
      <c r="X163">
        <v>1372534845</v>
      </c>
      <c r="Y163">
        <v>0.125</v>
      </c>
      <c r="AA163">
        <v>0</v>
      </c>
      <c r="AB163">
        <v>453.4</v>
      </c>
      <c r="AC163">
        <v>11.6</v>
      </c>
      <c r="AD163">
        <v>0</v>
      </c>
      <c r="AE163">
        <v>0</v>
      </c>
      <c r="AF163">
        <v>65.709999999999994</v>
      </c>
      <c r="AG163">
        <v>11.6</v>
      </c>
      <c r="AH163">
        <v>0</v>
      </c>
      <c r="AI163">
        <v>1</v>
      </c>
      <c r="AJ163">
        <v>6.9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3</v>
      </c>
      <c r="AT163">
        <v>0.1</v>
      </c>
      <c r="AU163" t="s">
        <v>78</v>
      </c>
      <c r="AV163">
        <v>0</v>
      </c>
      <c r="AW163">
        <v>2</v>
      </c>
      <c r="AX163">
        <v>39579818</v>
      </c>
      <c r="AY163">
        <v>1</v>
      </c>
      <c r="AZ163">
        <v>0</v>
      </c>
      <c r="BA163">
        <v>161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Y163*Source!I73</f>
        <v>0.15384999999999999</v>
      </c>
      <c r="CY163">
        <f>AB163</f>
        <v>453.4</v>
      </c>
      <c r="CZ163">
        <f>AF163</f>
        <v>65.709999999999994</v>
      </c>
      <c r="DA163">
        <f>AJ163</f>
        <v>6.9</v>
      </c>
      <c r="DB163">
        <v>0</v>
      </c>
    </row>
    <row r="164" spans="1:106" x14ac:dyDescent="0.2">
      <c r="A164">
        <f>ROW(Source!A73)</f>
        <v>73</v>
      </c>
      <c r="B164">
        <v>39579451</v>
      </c>
      <c r="C164">
        <v>39579814</v>
      </c>
      <c r="D164">
        <v>36805188</v>
      </c>
      <c r="E164">
        <v>1</v>
      </c>
      <c r="F164">
        <v>1</v>
      </c>
      <c r="G164">
        <v>1</v>
      </c>
      <c r="H164">
        <v>3</v>
      </c>
      <c r="I164" t="s">
        <v>649</v>
      </c>
      <c r="J164" t="s">
        <v>650</v>
      </c>
      <c r="K164" t="s">
        <v>651</v>
      </c>
      <c r="L164">
        <v>1327</v>
      </c>
      <c r="N164">
        <v>1005</v>
      </c>
      <c r="O164" t="s">
        <v>154</v>
      </c>
      <c r="P164" t="s">
        <v>154</v>
      </c>
      <c r="Q164">
        <v>1</v>
      </c>
      <c r="W164">
        <v>0</v>
      </c>
      <c r="X164">
        <v>-1987926685</v>
      </c>
      <c r="Y164">
        <v>0.84</v>
      </c>
      <c r="AA164">
        <v>499.01</v>
      </c>
      <c r="AB164">
        <v>0</v>
      </c>
      <c r="AC164">
        <v>0</v>
      </c>
      <c r="AD164">
        <v>0</v>
      </c>
      <c r="AE164">
        <v>72.319999999999993</v>
      </c>
      <c r="AF164">
        <v>0</v>
      </c>
      <c r="AG164">
        <v>0</v>
      </c>
      <c r="AH164">
        <v>0</v>
      </c>
      <c r="AI164">
        <v>6.9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0.84</v>
      </c>
      <c r="AU164" t="s">
        <v>3</v>
      </c>
      <c r="AV164">
        <v>0</v>
      </c>
      <c r="AW164">
        <v>2</v>
      </c>
      <c r="AX164">
        <v>39579819</v>
      </c>
      <c r="AY164">
        <v>1</v>
      </c>
      <c r="AZ164">
        <v>0</v>
      </c>
      <c r="BA164">
        <v>162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Y164*Source!I73</f>
        <v>1.0338719999999999</v>
      </c>
      <c r="CY164">
        <f t="shared" ref="CY164:CY170" si="18">AA164</f>
        <v>499.01</v>
      </c>
      <c r="CZ164">
        <f t="shared" ref="CZ164:CZ170" si="19">AE164</f>
        <v>72.319999999999993</v>
      </c>
      <c r="DA164">
        <f t="shared" ref="DA164:DA170" si="20">AI164</f>
        <v>6.9</v>
      </c>
      <c r="DB164">
        <v>0</v>
      </c>
    </row>
    <row r="165" spans="1:106" x14ac:dyDescent="0.2">
      <c r="A165">
        <f>ROW(Source!A73)</f>
        <v>73</v>
      </c>
      <c r="B165">
        <v>39579451</v>
      </c>
      <c r="C165">
        <v>39579814</v>
      </c>
      <c r="D165">
        <v>36805524</v>
      </c>
      <c r="E165">
        <v>1</v>
      </c>
      <c r="F165">
        <v>1</v>
      </c>
      <c r="G165">
        <v>1</v>
      </c>
      <c r="H165">
        <v>3</v>
      </c>
      <c r="I165" t="s">
        <v>591</v>
      </c>
      <c r="J165" t="s">
        <v>592</v>
      </c>
      <c r="K165" t="s">
        <v>593</v>
      </c>
      <c r="L165">
        <v>1346</v>
      </c>
      <c r="N165">
        <v>1009</v>
      </c>
      <c r="O165" t="s">
        <v>118</v>
      </c>
      <c r="P165" t="s">
        <v>118</v>
      </c>
      <c r="Q165">
        <v>1</v>
      </c>
      <c r="W165">
        <v>0</v>
      </c>
      <c r="X165">
        <v>813963326</v>
      </c>
      <c r="Y165">
        <v>0.31</v>
      </c>
      <c r="AA165">
        <v>12.56</v>
      </c>
      <c r="AB165">
        <v>0</v>
      </c>
      <c r="AC165">
        <v>0</v>
      </c>
      <c r="AD165">
        <v>0</v>
      </c>
      <c r="AE165">
        <v>1.82</v>
      </c>
      <c r="AF165">
        <v>0</v>
      </c>
      <c r="AG165">
        <v>0</v>
      </c>
      <c r="AH165">
        <v>0</v>
      </c>
      <c r="AI165">
        <v>6.9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0.31</v>
      </c>
      <c r="AU165" t="s">
        <v>3</v>
      </c>
      <c r="AV165">
        <v>0</v>
      </c>
      <c r="AW165">
        <v>2</v>
      </c>
      <c r="AX165">
        <v>39579820</v>
      </c>
      <c r="AY165">
        <v>1</v>
      </c>
      <c r="AZ165">
        <v>0</v>
      </c>
      <c r="BA165">
        <v>163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Y165*Source!I73</f>
        <v>0.38154799999999994</v>
      </c>
      <c r="CY165">
        <f t="shared" si="18"/>
        <v>12.56</v>
      </c>
      <c r="CZ165">
        <f t="shared" si="19"/>
        <v>1.82</v>
      </c>
      <c r="DA165">
        <f t="shared" si="20"/>
        <v>6.9</v>
      </c>
      <c r="DB165">
        <v>0</v>
      </c>
    </row>
    <row r="166" spans="1:106" x14ac:dyDescent="0.2">
      <c r="A166">
        <f>ROW(Source!A73)</f>
        <v>73</v>
      </c>
      <c r="B166">
        <v>39579451</v>
      </c>
      <c r="C166">
        <v>39579814</v>
      </c>
      <c r="D166">
        <v>36797562</v>
      </c>
      <c r="E166">
        <v>17</v>
      </c>
      <c r="F166">
        <v>1</v>
      </c>
      <c r="G166">
        <v>1</v>
      </c>
      <c r="H166">
        <v>3</v>
      </c>
      <c r="I166" t="s">
        <v>219</v>
      </c>
      <c r="J166" t="s">
        <v>3</v>
      </c>
      <c r="K166" t="s">
        <v>220</v>
      </c>
      <c r="L166">
        <v>1348</v>
      </c>
      <c r="N166">
        <v>1009</v>
      </c>
      <c r="O166" t="s">
        <v>105</v>
      </c>
      <c r="P166" t="s">
        <v>105</v>
      </c>
      <c r="Q166">
        <v>1000</v>
      </c>
      <c r="W166">
        <v>0</v>
      </c>
      <c r="X166">
        <v>1853111044</v>
      </c>
      <c r="Y166">
        <v>0.03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6.9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3</v>
      </c>
      <c r="AT166">
        <v>0.03</v>
      </c>
      <c r="AU166" t="s">
        <v>3</v>
      </c>
      <c r="AV166">
        <v>0</v>
      </c>
      <c r="AW166">
        <v>2</v>
      </c>
      <c r="AX166">
        <v>39579821</v>
      </c>
      <c r="AY166">
        <v>1</v>
      </c>
      <c r="AZ166">
        <v>0</v>
      </c>
      <c r="BA166">
        <v>164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Y166*Source!I73</f>
        <v>3.6923999999999998E-2</v>
      </c>
      <c r="CY166">
        <f t="shared" si="18"/>
        <v>0</v>
      </c>
      <c r="CZ166">
        <f t="shared" si="19"/>
        <v>0</v>
      </c>
      <c r="DA166">
        <f t="shared" si="20"/>
        <v>6.9</v>
      </c>
      <c r="DB166">
        <v>0</v>
      </c>
    </row>
    <row r="167" spans="1:106" x14ac:dyDescent="0.2">
      <c r="A167">
        <f>ROW(Source!A73)</f>
        <v>73</v>
      </c>
      <c r="B167">
        <v>39579451</v>
      </c>
      <c r="C167">
        <v>39579814</v>
      </c>
      <c r="D167">
        <v>36837732</v>
      </c>
      <c r="E167">
        <v>1</v>
      </c>
      <c r="F167">
        <v>1</v>
      </c>
      <c r="G167">
        <v>1</v>
      </c>
      <c r="H167">
        <v>3</v>
      </c>
      <c r="I167" t="s">
        <v>213</v>
      </c>
      <c r="J167" t="s">
        <v>216</v>
      </c>
      <c r="K167" t="s">
        <v>214</v>
      </c>
      <c r="L167">
        <v>1296</v>
      </c>
      <c r="N167">
        <v>1002</v>
      </c>
      <c r="O167" t="s">
        <v>215</v>
      </c>
      <c r="P167" t="s">
        <v>215</v>
      </c>
      <c r="Q167">
        <v>1</v>
      </c>
      <c r="W167">
        <v>0</v>
      </c>
      <c r="X167">
        <v>1703645008</v>
      </c>
      <c r="Y167">
        <v>30</v>
      </c>
      <c r="AA167">
        <v>591.80999999999995</v>
      </c>
      <c r="AB167">
        <v>0</v>
      </c>
      <c r="AC167">
        <v>0</v>
      </c>
      <c r="AD167">
        <v>0</v>
      </c>
      <c r="AE167">
        <v>85.77</v>
      </c>
      <c r="AF167">
        <v>0</v>
      </c>
      <c r="AG167">
        <v>0</v>
      </c>
      <c r="AH167">
        <v>0</v>
      </c>
      <c r="AI167">
        <v>6.9</v>
      </c>
      <c r="AJ167">
        <v>1</v>
      </c>
      <c r="AK167">
        <v>1</v>
      </c>
      <c r="AL167">
        <v>1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3</v>
      </c>
      <c r="AT167">
        <v>30</v>
      </c>
      <c r="AU167" t="s">
        <v>3</v>
      </c>
      <c r="AV167">
        <v>0</v>
      </c>
      <c r="AW167">
        <v>1</v>
      </c>
      <c r="AX167">
        <v>-1</v>
      </c>
      <c r="AY167">
        <v>0</v>
      </c>
      <c r="AZ167">
        <v>0</v>
      </c>
      <c r="BA167" t="s">
        <v>3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Y167*Source!I73</f>
        <v>36.923999999999999</v>
      </c>
      <c r="CY167">
        <f t="shared" si="18"/>
        <v>591.80999999999995</v>
      </c>
      <c r="CZ167">
        <f t="shared" si="19"/>
        <v>85.77</v>
      </c>
      <c r="DA167">
        <f t="shared" si="20"/>
        <v>6.9</v>
      </c>
      <c r="DB167">
        <v>0</v>
      </c>
    </row>
    <row r="168" spans="1:106" x14ac:dyDescent="0.2">
      <c r="A168">
        <f>ROW(Source!A73)</f>
        <v>73</v>
      </c>
      <c r="B168">
        <v>39579451</v>
      </c>
      <c r="C168">
        <v>39579814</v>
      </c>
      <c r="D168">
        <v>36837972</v>
      </c>
      <c r="E168">
        <v>1</v>
      </c>
      <c r="F168">
        <v>1</v>
      </c>
      <c r="G168">
        <v>1</v>
      </c>
      <c r="H168">
        <v>3</v>
      </c>
      <c r="I168" t="s">
        <v>116</v>
      </c>
      <c r="J168" t="s">
        <v>119</v>
      </c>
      <c r="K168" t="s">
        <v>117</v>
      </c>
      <c r="L168">
        <v>1346</v>
      </c>
      <c r="N168">
        <v>1009</v>
      </c>
      <c r="O168" t="s">
        <v>118</v>
      </c>
      <c r="P168" t="s">
        <v>118</v>
      </c>
      <c r="Q168">
        <v>1</v>
      </c>
      <c r="W168">
        <v>0</v>
      </c>
      <c r="X168">
        <v>303141801</v>
      </c>
      <c r="Y168">
        <v>20</v>
      </c>
      <c r="AA168">
        <v>105.23</v>
      </c>
      <c r="AB168">
        <v>0</v>
      </c>
      <c r="AC168">
        <v>0</v>
      </c>
      <c r="AD168">
        <v>0</v>
      </c>
      <c r="AE168">
        <v>15.25</v>
      </c>
      <c r="AF168">
        <v>0</v>
      </c>
      <c r="AG168">
        <v>0</v>
      </c>
      <c r="AH168">
        <v>0</v>
      </c>
      <c r="AI168">
        <v>6.9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3</v>
      </c>
      <c r="AT168">
        <v>20</v>
      </c>
      <c r="AU168" t="s">
        <v>3</v>
      </c>
      <c r="AV168">
        <v>0</v>
      </c>
      <c r="AW168">
        <v>1</v>
      </c>
      <c r="AX168">
        <v>-1</v>
      </c>
      <c r="AY168">
        <v>0</v>
      </c>
      <c r="AZ168">
        <v>0</v>
      </c>
      <c r="BA168" t="s">
        <v>3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Y168*Source!I73</f>
        <v>24.616</v>
      </c>
      <c r="CY168">
        <f t="shared" si="18"/>
        <v>105.23</v>
      </c>
      <c r="CZ168">
        <f t="shared" si="19"/>
        <v>15.25</v>
      </c>
      <c r="DA168">
        <f t="shared" si="20"/>
        <v>6.9</v>
      </c>
      <c r="DB168">
        <v>0</v>
      </c>
    </row>
    <row r="169" spans="1:106" x14ac:dyDescent="0.2">
      <c r="A169">
        <f>ROW(Source!A73)</f>
        <v>73</v>
      </c>
      <c r="B169">
        <v>39579451</v>
      </c>
      <c r="C169">
        <v>39579814</v>
      </c>
      <c r="D169">
        <v>36797079</v>
      </c>
      <c r="E169">
        <v>17</v>
      </c>
      <c r="F169">
        <v>1</v>
      </c>
      <c r="G169">
        <v>1</v>
      </c>
      <c r="H169">
        <v>3</v>
      </c>
      <c r="I169" t="s">
        <v>121</v>
      </c>
      <c r="J169" t="s">
        <v>3</v>
      </c>
      <c r="K169" t="s">
        <v>122</v>
      </c>
      <c r="L169">
        <v>1348</v>
      </c>
      <c r="N169">
        <v>1009</v>
      </c>
      <c r="O169" t="s">
        <v>105</v>
      </c>
      <c r="P169" t="s">
        <v>105</v>
      </c>
      <c r="Q169">
        <v>1000</v>
      </c>
      <c r="W169">
        <v>0</v>
      </c>
      <c r="X169">
        <v>-1212923053</v>
      </c>
      <c r="Y169">
        <v>0.02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6.9</v>
      </c>
      <c r="AJ169">
        <v>1</v>
      </c>
      <c r="AK169">
        <v>1</v>
      </c>
      <c r="AL169">
        <v>1</v>
      </c>
      <c r="AN169">
        <v>0</v>
      </c>
      <c r="AO169">
        <v>0</v>
      </c>
      <c r="AP169">
        <v>0</v>
      </c>
      <c r="AQ169">
        <v>0</v>
      </c>
      <c r="AR169">
        <v>0</v>
      </c>
      <c r="AS169" t="s">
        <v>3</v>
      </c>
      <c r="AT169">
        <v>0.02</v>
      </c>
      <c r="AU169" t="s">
        <v>3</v>
      </c>
      <c r="AV169">
        <v>0</v>
      </c>
      <c r="AW169">
        <v>2</v>
      </c>
      <c r="AX169">
        <v>39579822</v>
      </c>
      <c r="AY169">
        <v>1</v>
      </c>
      <c r="AZ169">
        <v>0</v>
      </c>
      <c r="BA169">
        <v>165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Y169*Source!I73</f>
        <v>2.4615999999999999E-2</v>
      </c>
      <c r="CY169">
        <f t="shared" si="18"/>
        <v>0</v>
      </c>
      <c r="CZ169">
        <f t="shared" si="19"/>
        <v>0</v>
      </c>
      <c r="DA169">
        <f t="shared" si="20"/>
        <v>6.9</v>
      </c>
      <c r="DB169">
        <v>0</v>
      </c>
    </row>
    <row r="170" spans="1:106" x14ac:dyDescent="0.2">
      <c r="A170">
        <f>ROW(Source!A73)</f>
        <v>73</v>
      </c>
      <c r="B170">
        <v>39579451</v>
      </c>
      <c r="C170">
        <v>39579814</v>
      </c>
      <c r="D170">
        <v>36839220</v>
      </c>
      <c r="E170">
        <v>1</v>
      </c>
      <c r="F170">
        <v>1</v>
      </c>
      <c r="G170">
        <v>1</v>
      </c>
      <c r="H170">
        <v>3</v>
      </c>
      <c r="I170" t="s">
        <v>652</v>
      </c>
      <c r="J170" t="s">
        <v>653</v>
      </c>
      <c r="K170" t="s">
        <v>654</v>
      </c>
      <c r="L170">
        <v>1348</v>
      </c>
      <c r="N170">
        <v>1009</v>
      </c>
      <c r="O170" t="s">
        <v>105</v>
      </c>
      <c r="P170" t="s">
        <v>105</v>
      </c>
      <c r="Q170">
        <v>1000</v>
      </c>
      <c r="W170">
        <v>0</v>
      </c>
      <c r="X170">
        <v>181729109</v>
      </c>
      <c r="Y170">
        <v>5.0000000000000001E-3</v>
      </c>
      <c r="AA170">
        <v>78639.990000000005</v>
      </c>
      <c r="AB170">
        <v>0</v>
      </c>
      <c r="AC170">
        <v>0</v>
      </c>
      <c r="AD170">
        <v>0</v>
      </c>
      <c r="AE170">
        <v>11397.1</v>
      </c>
      <c r="AF170">
        <v>0</v>
      </c>
      <c r="AG170">
        <v>0</v>
      </c>
      <c r="AH170">
        <v>0</v>
      </c>
      <c r="AI170">
        <v>6.9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5.0000000000000001E-3</v>
      </c>
      <c r="AU170" t="s">
        <v>3</v>
      </c>
      <c r="AV170">
        <v>0</v>
      </c>
      <c r="AW170">
        <v>2</v>
      </c>
      <c r="AX170">
        <v>39579823</v>
      </c>
      <c r="AY170">
        <v>1</v>
      </c>
      <c r="AZ170">
        <v>0</v>
      </c>
      <c r="BA170">
        <v>166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Y170*Source!I73</f>
        <v>6.1539999999999997E-3</v>
      </c>
      <c r="CY170">
        <f t="shared" si="18"/>
        <v>78639.990000000005</v>
      </c>
      <c r="CZ170">
        <f t="shared" si="19"/>
        <v>11397.1</v>
      </c>
      <c r="DA170">
        <f t="shared" si="20"/>
        <v>6.9</v>
      </c>
      <c r="DB170">
        <v>0</v>
      </c>
    </row>
    <row r="171" spans="1:106" x14ac:dyDescent="0.2">
      <c r="A171">
        <f>ROW(Source!A78)</f>
        <v>78</v>
      </c>
      <c r="B171">
        <v>39579451</v>
      </c>
      <c r="C171">
        <v>39579704</v>
      </c>
      <c r="D171">
        <v>37071037</v>
      </c>
      <c r="E171">
        <v>1</v>
      </c>
      <c r="F171">
        <v>1</v>
      </c>
      <c r="G171">
        <v>1</v>
      </c>
      <c r="H171">
        <v>1</v>
      </c>
      <c r="I171" t="s">
        <v>616</v>
      </c>
      <c r="J171" t="s">
        <v>3</v>
      </c>
      <c r="K171" t="s">
        <v>617</v>
      </c>
      <c r="L171">
        <v>1191</v>
      </c>
      <c r="N171">
        <v>1013</v>
      </c>
      <c r="O171" t="s">
        <v>519</v>
      </c>
      <c r="P171" t="s">
        <v>519</v>
      </c>
      <c r="Q171">
        <v>1</v>
      </c>
      <c r="W171">
        <v>0</v>
      </c>
      <c r="X171">
        <v>1069510174</v>
      </c>
      <c r="Y171">
        <v>9.6370000000000005</v>
      </c>
      <c r="AA171">
        <v>0</v>
      </c>
      <c r="AB171">
        <v>0</v>
      </c>
      <c r="AC171">
        <v>0</v>
      </c>
      <c r="AD171">
        <v>66.38</v>
      </c>
      <c r="AE171">
        <v>0</v>
      </c>
      <c r="AF171">
        <v>0</v>
      </c>
      <c r="AG171">
        <v>0</v>
      </c>
      <c r="AH171">
        <v>9.6199999999999992</v>
      </c>
      <c r="AI171">
        <v>1</v>
      </c>
      <c r="AJ171">
        <v>1</v>
      </c>
      <c r="AK171">
        <v>1</v>
      </c>
      <c r="AL171">
        <v>6.9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3</v>
      </c>
      <c r="AT171">
        <v>8.3800000000000008</v>
      </c>
      <c r="AU171" t="s">
        <v>79</v>
      </c>
      <c r="AV171">
        <v>1</v>
      </c>
      <c r="AW171">
        <v>2</v>
      </c>
      <c r="AX171">
        <v>39579705</v>
      </c>
      <c r="AY171">
        <v>1</v>
      </c>
      <c r="AZ171">
        <v>0</v>
      </c>
      <c r="BA171">
        <v>167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Y171*Source!I78</f>
        <v>11.8612196</v>
      </c>
      <c r="CY171">
        <f>AD171</f>
        <v>66.38</v>
      </c>
      <c r="CZ171">
        <f>AH171</f>
        <v>9.6199999999999992</v>
      </c>
      <c r="DA171">
        <f>AL171</f>
        <v>6.9</v>
      </c>
      <c r="DB171">
        <v>0</v>
      </c>
    </row>
    <row r="172" spans="1:106" x14ac:dyDescent="0.2">
      <c r="A172">
        <f>ROW(Source!A78)</f>
        <v>78</v>
      </c>
      <c r="B172">
        <v>39579451</v>
      </c>
      <c r="C172">
        <v>39579704</v>
      </c>
      <c r="D172">
        <v>36837732</v>
      </c>
      <c r="E172">
        <v>1</v>
      </c>
      <c r="F172">
        <v>1</v>
      </c>
      <c r="G172">
        <v>1</v>
      </c>
      <c r="H172">
        <v>3</v>
      </c>
      <c r="I172" t="s">
        <v>213</v>
      </c>
      <c r="J172" t="s">
        <v>216</v>
      </c>
      <c r="K172" t="s">
        <v>214</v>
      </c>
      <c r="L172">
        <v>1296</v>
      </c>
      <c r="N172">
        <v>1002</v>
      </c>
      <c r="O172" t="s">
        <v>215</v>
      </c>
      <c r="P172" t="s">
        <v>215</v>
      </c>
      <c r="Q172">
        <v>1</v>
      </c>
      <c r="W172">
        <v>0</v>
      </c>
      <c r="X172">
        <v>1703645008</v>
      </c>
      <c r="Y172">
        <v>16</v>
      </c>
      <c r="AA172">
        <v>591.80999999999995</v>
      </c>
      <c r="AB172">
        <v>0</v>
      </c>
      <c r="AC172">
        <v>0</v>
      </c>
      <c r="AD172">
        <v>0</v>
      </c>
      <c r="AE172">
        <v>85.77</v>
      </c>
      <c r="AF172">
        <v>0</v>
      </c>
      <c r="AG172">
        <v>0</v>
      </c>
      <c r="AH172">
        <v>0</v>
      </c>
      <c r="AI172">
        <v>6.9</v>
      </c>
      <c r="AJ172">
        <v>1</v>
      </c>
      <c r="AK172">
        <v>1</v>
      </c>
      <c r="AL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3</v>
      </c>
      <c r="AT172">
        <v>16</v>
      </c>
      <c r="AU172" t="s">
        <v>3</v>
      </c>
      <c r="AV172">
        <v>0</v>
      </c>
      <c r="AW172">
        <v>1</v>
      </c>
      <c r="AX172">
        <v>-1</v>
      </c>
      <c r="AY172">
        <v>0</v>
      </c>
      <c r="AZ172">
        <v>0</v>
      </c>
      <c r="BA172" t="s">
        <v>3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Y172*Source!I78</f>
        <v>19.692799999999998</v>
      </c>
      <c r="CY172">
        <f>AA172</f>
        <v>591.80999999999995</v>
      </c>
      <c r="CZ172">
        <f>AE172</f>
        <v>85.77</v>
      </c>
      <c r="DA172">
        <f>AI172</f>
        <v>6.9</v>
      </c>
      <c r="DB172">
        <v>0</v>
      </c>
    </row>
    <row r="173" spans="1:106" x14ac:dyDescent="0.2">
      <c r="A173">
        <f>ROW(Source!A78)</f>
        <v>78</v>
      </c>
      <c r="B173">
        <v>39579451</v>
      </c>
      <c r="C173">
        <v>39579704</v>
      </c>
      <c r="D173">
        <v>36797607</v>
      </c>
      <c r="E173">
        <v>17</v>
      </c>
      <c r="F173">
        <v>1</v>
      </c>
      <c r="G173">
        <v>1</v>
      </c>
      <c r="H173">
        <v>3</v>
      </c>
      <c r="I173" t="s">
        <v>228</v>
      </c>
      <c r="J173" t="s">
        <v>3</v>
      </c>
      <c r="K173" t="s">
        <v>229</v>
      </c>
      <c r="L173">
        <v>1348</v>
      </c>
      <c r="N173">
        <v>1009</v>
      </c>
      <c r="O173" t="s">
        <v>105</v>
      </c>
      <c r="P173" t="s">
        <v>105</v>
      </c>
      <c r="Q173">
        <v>1000</v>
      </c>
      <c r="W173">
        <v>0</v>
      </c>
      <c r="X173">
        <v>973262446</v>
      </c>
      <c r="Y173">
        <v>1.6E-2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6.9</v>
      </c>
      <c r="AJ173">
        <v>1</v>
      </c>
      <c r="AK173">
        <v>1</v>
      </c>
      <c r="AL173">
        <v>1</v>
      </c>
      <c r="AN173">
        <v>0</v>
      </c>
      <c r="AO173">
        <v>0</v>
      </c>
      <c r="AP173">
        <v>0</v>
      </c>
      <c r="AQ173">
        <v>0</v>
      </c>
      <c r="AR173">
        <v>0</v>
      </c>
      <c r="AS173" t="s">
        <v>3</v>
      </c>
      <c r="AT173">
        <v>1.6E-2</v>
      </c>
      <c r="AU173" t="s">
        <v>3</v>
      </c>
      <c r="AV173">
        <v>0</v>
      </c>
      <c r="AW173">
        <v>2</v>
      </c>
      <c r="AX173">
        <v>39579706</v>
      </c>
      <c r="AY173">
        <v>1</v>
      </c>
      <c r="AZ173">
        <v>0</v>
      </c>
      <c r="BA173">
        <v>168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Y173*Source!I78</f>
        <v>1.96928E-2</v>
      </c>
      <c r="CY173">
        <f>AA173</f>
        <v>0</v>
      </c>
      <c r="CZ173">
        <f>AE173</f>
        <v>0</v>
      </c>
      <c r="DA173">
        <f>AI173</f>
        <v>6.9</v>
      </c>
      <c r="DB173">
        <v>0</v>
      </c>
    </row>
    <row r="174" spans="1:106" x14ac:dyDescent="0.2">
      <c r="A174">
        <f>ROW(Source!A81)</f>
        <v>81</v>
      </c>
      <c r="B174">
        <v>39579451</v>
      </c>
      <c r="C174">
        <v>39579906</v>
      </c>
      <c r="D174">
        <v>37075528</v>
      </c>
      <c r="E174">
        <v>1</v>
      </c>
      <c r="F174">
        <v>1</v>
      </c>
      <c r="G174">
        <v>1</v>
      </c>
      <c r="H174">
        <v>1</v>
      </c>
      <c r="I174" t="s">
        <v>655</v>
      </c>
      <c r="J174" t="s">
        <v>3</v>
      </c>
      <c r="K174" t="s">
        <v>656</v>
      </c>
      <c r="L174">
        <v>1191</v>
      </c>
      <c r="N174">
        <v>1013</v>
      </c>
      <c r="O174" t="s">
        <v>519</v>
      </c>
      <c r="P174" t="s">
        <v>519</v>
      </c>
      <c r="Q174">
        <v>1</v>
      </c>
      <c r="W174">
        <v>0</v>
      </c>
      <c r="X174">
        <v>687044855</v>
      </c>
      <c r="Y174">
        <v>373.54299999999995</v>
      </c>
      <c r="AA174">
        <v>0</v>
      </c>
      <c r="AB174">
        <v>0</v>
      </c>
      <c r="AC174">
        <v>0</v>
      </c>
      <c r="AD174">
        <v>69.41</v>
      </c>
      <c r="AE174">
        <v>0</v>
      </c>
      <c r="AF174">
        <v>0</v>
      </c>
      <c r="AG174">
        <v>0</v>
      </c>
      <c r="AH174">
        <v>10.06</v>
      </c>
      <c r="AI174">
        <v>1</v>
      </c>
      <c r="AJ174">
        <v>1</v>
      </c>
      <c r="AK174">
        <v>1</v>
      </c>
      <c r="AL174">
        <v>6.9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324.82</v>
      </c>
      <c r="AU174" t="s">
        <v>79</v>
      </c>
      <c r="AV174">
        <v>1</v>
      </c>
      <c r="AW174">
        <v>2</v>
      </c>
      <c r="AX174">
        <v>39579907</v>
      </c>
      <c r="AY174">
        <v>1</v>
      </c>
      <c r="AZ174">
        <v>0</v>
      </c>
      <c r="BA174">
        <v>169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Y174*Source!I81</f>
        <v>104.55468569999998</v>
      </c>
      <c r="CY174">
        <f>AD174</f>
        <v>69.41</v>
      </c>
      <c r="CZ174">
        <f>AH174</f>
        <v>10.06</v>
      </c>
      <c r="DA174">
        <f>AL174</f>
        <v>6.9</v>
      </c>
      <c r="DB174">
        <v>0</v>
      </c>
    </row>
    <row r="175" spans="1:106" x14ac:dyDescent="0.2">
      <c r="A175">
        <f>ROW(Source!A81)</f>
        <v>81</v>
      </c>
      <c r="B175">
        <v>39579451</v>
      </c>
      <c r="C175">
        <v>39579906</v>
      </c>
      <c r="D175">
        <v>37064876</v>
      </c>
      <c r="E175">
        <v>1</v>
      </c>
      <c r="F175">
        <v>1</v>
      </c>
      <c r="G175">
        <v>1</v>
      </c>
      <c r="H175">
        <v>1</v>
      </c>
      <c r="I175" t="s">
        <v>520</v>
      </c>
      <c r="J175" t="s">
        <v>3</v>
      </c>
      <c r="K175" t="s">
        <v>521</v>
      </c>
      <c r="L175">
        <v>1191</v>
      </c>
      <c r="N175">
        <v>1013</v>
      </c>
      <c r="O175" t="s">
        <v>519</v>
      </c>
      <c r="P175" t="s">
        <v>519</v>
      </c>
      <c r="Q175">
        <v>1</v>
      </c>
      <c r="W175">
        <v>0</v>
      </c>
      <c r="X175">
        <v>-1417349443</v>
      </c>
      <c r="Y175">
        <v>2.48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6.9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3</v>
      </c>
      <c r="AT175">
        <v>2.48</v>
      </c>
      <c r="AU175" t="s">
        <v>3</v>
      </c>
      <c r="AV175">
        <v>2</v>
      </c>
      <c r="AW175">
        <v>2</v>
      </c>
      <c r="AX175">
        <v>39579908</v>
      </c>
      <c r="AY175">
        <v>1</v>
      </c>
      <c r="AZ175">
        <v>2048</v>
      </c>
      <c r="BA175">
        <v>170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Y175*Source!I81</f>
        <v>0.69415199999999999</v>
      </c>
      <c r="CY175">
        <f>AD175</f>
        <v>0</v>
      </c>
      <c r="CZ175">
        <f>AH175</f>
        <v>0</v>
      </c>
      <c r="DA175">
        <f>AL175</f>
        <v>1</v>
      </c>
      <c r="DB175">
        <v>0</v>
      </c>
    </row>
    <row r="176" spans="1:106" x14ac:dyDescent="0.2">
      <c r="A176">
        <f>ROW(Source!A81)</f>
        <v>81</v>
      </c>
      <c r="B176">
        <v>39579451</v>
      </c>
      <c r="C176">
        <v>39579906</v>
      </c>
      <c r="D176">
        <v>36882159</v>
      </c>
      <c r="E176">
        <v>1</v>
      </c>
      <c r="F176">
        <v>1</v>
      </c>
      <c r="G176">
        <v>1</v>
      </c>
      <c r="H176">
        <v>2</v>
      </c>
      <c r="I176" t="s">
        <v>620</v>
      </c>
      <c r="J176" t="s">
        <v>621</v>
      </c>
      <c r="K176" t="s">
        <v>622</v>
      </c>
      <c r="L176">
        <v>1368</v>
      </c>
      <c r="N176">
        <v>1011</v>
      </c>
      <c r="O176" t="s">
        <v>525</v>
      </c>
      <c r="P176" t="s">
        <v>525</v>
      </c>
      <c r="Q176">
        <v>1</v>
      </c>
      <c r="W176">
        <v>0</v>
      </c>
      <c r="X176">
        <v>-1718674368</v>
      </c>
      <c r="Y176">
        <v>2.75</v>
      </c>
      <c r="AA176">
        <v>0</v>
      </c>
      <c r="AB176">
        <v>772.73</v>
      </c>
      <c r="AC176">
        <v>13.5</v>
      </c>
      <c r="AD176">
        <v>0</v>
      </c>
      <c r="AE176">
        <v>0</v>
      </c>
      <c r="AF176">
        <v>111.99</v>
      </c>
      <c r="AG176">
        <v>13.5</v>
      </c>
      <c r="AH176">
        <v>0</v>
      </c>
      <c r="AI176">
        <v>1</v>
      </c>
      <c r="AJ176">
        <v>6.9</v>
      </c>
      <c r="AK176">
        <v>1</v>
      </c>
      <c r="AL176">
        <v>1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3</v>
      </c>
      <c r="AT176">
        <v>2.2000000000000002</v>
      </c>
      <c r="AU176" t="s">
        <v>78</v>
      </c>
      <c r="AV176">
        <v>0</v>
      </c>
      <c r="AW176">
        <v>2</v>
      </c>
      <c r="AX176">
        <v>39579909</v>
      </c>
      <c r="AY176">
        <v>1</v>
      </c>
      <c r="AZ176">
        <v>0</v>
      </c>
      <c r="BA176">
        <v>171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Y176*Source!I81</f>
        <v>0.76972499999999999</v>
      </c>
      <c r="CY176">
        <f>AB176</f>
        <v>772.73</v>
      </c>
      <c r="CZ176">
        <f>AF176</f>
        <v>111.99</v>
      </c>
      <c r="DA176">
        <f>AJ176</f>
        <v>6.9</v>
      </c>
      <c r="DB176">
        <v>0</v>
      </c>
    </row>
    <row r="177" spans="1:106" x14ac:dyDescent="0.2">
      <c r="A177">
        <f>ROW(Source!A81)</f>
        <v>81</v>
      </c>
      <c r="B177">
        <v>39579451</v>
      </c>
      <c r="C177">
        <v>39579906</v>
      </c>
      <c r="D177">
        <v>36882358</v>
      </c>
      <c r="E177">
        <v>1</v>
      </c>
      <c r="F177">
        <v>1</v>
      </c>
      <c r="G177">
        <v>1</v>
      </c>
      <c r="H177">
        <v>2</v>
      </c>
      <c r="I177" t="s">
        <v>657</v>
      </c>
      <c r="J177" t="s">
        <v>658</v>
      </c>
      <c r="K177" t="s">
        <v>659</v>
      </c>
      <c r="L177">
        <v>1368</v>
      </c>
      <c r="N177">
        <v>1011</v>
      </c>
      <c r="O177" t="s">
        <v>525</v>
      </c>
      <c r="P177" t="s">
        <v>525</v>
      </c>
      <c r="Q177">
        <v>1</v>
      </c>
      <c r="W177">
        <v>0</v>
      </c>
      <c r="X177">
        <v>1544661785</v>
      </c>
      <c r="Y177">
        <v>54.875</v>
      </c>
      <c r="AA177">
        <v>0</v>
      </c>
      <c r="AB177">
        <v>47.61</v>
      </c>
      <c r="AC177">
        <v>0</v>
      </c>
      <c r="AD177">
        <v>0</v>
      </c>
      <c r="AE177">
        <v>0</v>
      </c>
      <c r="AF177">
        <v>6.9</v>
      </c>
      <c r="AG177">
        <v>0</v>
      </c>
      <c r="AH177">
        <v>0</v>
      </c>
      <c r="AI177">
        <v>1</v>
      </c>
      <c r="AJ177">
        <v>6.9</v>
      </c>
      <c r="AK177">
        <v>1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3</v>
      </c>
      <c r="AT177">
        <v>43.9</v>
      </c>
      <c r="AU177" t="s">
        <v>78</v>
      </c>
      <c r="AV177">
        <v>0</v>
      </c>
      <c r="AW177">
        <v>2</v>
      </c>
      <c r="AX177">
        <v>39579910</v>
      </c>
      <c r="AY177">
        <v>1</v>
      </c>
      <c r="AZ177">
        <v>0</v>
      </c>
      <c r="BA177">
        <v>172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Y177*Source!I81</f>
        <v>15.359512499999999</v>
      </c>
      <c r="CY177">
        <f>AB177</f>
        <v>47.61</v>
      </c>
      <c r="CZ177">
        <f>AF177</f>
        <v>6.9</v>
      </c>
      <c r="DA177">
        <f>AJ177</f>
        <v>6.9</v>
      </c>
      <c r="DB177">
        <v>0</v>
      </c>
    </row>
    <row r="178" spans="1:106" x14ac:dyDescent="0.2">
      <c r="A178">
        <f>ROW(Source!A81)</f>
        <v>81</v>
      </c>
      <c r="B178">
        <v>39579451</v>
      </c>
      <c r="C178">
        <v>39579906</v>
      </c>
      <c r="D178">
        <v>36883554</v>
      </c>
      <c r="E178">
        <v>1</v>
      </c>
      <c r="F178">
        <v>1</v>
      </c>
      <c r="G178">
        <v>1</v>
      </c>
      <c r="H178">
        <v>2</v>
      </c>
      <c r="I178" t="s">
        <v>526</v>
      </c>
      <c r="J178" t="s">
        <v>527</v>
      </c>
      <c r="K178" t="s">
        <v>528</v>
      </c>
      <c r="L178">
        <v>1368</v>
      </c>
      <c r="N178">
        <v>1011</v>
      </c>
      <c r="O178" t="s">
        <v>525</v>
      </c>
      <c r="P178" t="s">
        <v>525</v>
      </c>
      <c r="Q178">
        <v>1</v>
      </c>
      <c r="W178">
        <v>0</v>
      </c>
      <c r="X178">
        <v>1372534845</v>
      </c>
      <c r="Y178">
        <v>0.35000000000000003</v>
      </c>
      <c r="AA178">
        <v>0</v>
      </c>
      <c r="AB178">
        <v>453.4</v>
      </c>
      <c r="AC178">
        <v>11.6</v>
      </c>
      <c r="AD178">
        <v>0</v>
      </c>
      <c r="AE178">
        <v>0</v>
      </c>
      <c r="AF178">
        <v>65.709999999999994</v>
      </c>
      <c r="AG178">
        <v>11.6</v>
      </c>
      <c r="AH178">
        <v>0</v>
      </c>
      <c r="AI178">
        <v>1</v>
      </c>
      <c r="AJ178">
        <v>6.9</v>
      </c>
      <c r="AK178">
        <v>1</v>
      </c>
      <c r="AL178">
        <v>1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3</v>
      </c>
      <c r="AT178">
        <v>0.28000000000000003</v>
      </c>
      <c r="AU178" t="s">
        <v>78</v>
      </c>
      <c r="AV178">
        <v>0</v>
      </c>
      <c r="AW178">
        <v>2</v>
      </c>
      <c r="AX178">
        <v>39579911</v>
      </c>
      <c r="AY178">
        <v>1</v>
      </c>
      <c r="AZ178">
        <v>0</v>
      </c>
      <c r="BA178">
        <v>173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Y178*Source!I81</f>
        <v>9.7964999999999997E-2</v>
      </c>
      <c r="CY178">
        <f>AB178</f>
        <v>453.4</v>
      </c>
      <c r="CZ178">
        <f>AF178</f>
        <v>65.709999999999994</v>
      </c>
      <c r="DA178">
        <f>AJ178</f>
        <v>6.9</v>
      </c>
      <c r="DB178">
        <v>0</v>
      </c>
    </row>
    <row r="179" spans="1:106" x14ac:dyDescent="0.2">
      <c r="A179">
        <f>ROW(Source!A81)</f>
        <v>81</v>
      </c>
      <c r="B179">
        <v>39579451</v>
      </c>
      <c r="C179">
        <v>39579906</v>
      </c>
      <c r="D179">
        <v>36801828</v>
      </c>
      <c r="E179">
        <v>1</v>
      </c>
      <c r="F179">
        <v>1</v>
      </c>
      <c r="G179">
        <v>1</v>
      </c>
      <c r="H179">
        <v>3</v>
      </c>
      <c r="I179" t="s">
        <v>245</v>
      </c>
      <c r="J179" t="s">
        <v>248</v>
      </c>
      <c r="K179" t="s">
        <v>246</v>
      </c>
      <c r="L179">
        <v>1035</v>
      </c>
      <c r="N179">
        <v>1013</v>
      </c>
      <c r="O179" t="s">
        <v>247</v>
      </c>
      <c r="P179" t="s">
        <v>247</v>
      </c>
      <c r="Q179">
        <v>1</v>
      </c>
      <c r="W179">
        <v>0</v>
      </c>
      <c r="X179">
        <v>203574032</v>
      </c>
      <c r="Y179">
        <v>7.1454089999999999</v>
      </c>
      <c r="AA179">
        <v>638.39</v>
      </c>
      <c r="AB179">
        <v>0</v>
      </c>
      <c r="AC179">
        <v>0</v>
      </c>
      <c r="AD179">
        <v>0</v>
      </c>
      <c r="AE179">
        <v>92.52</v>
      </c>
      <c r="AF179">
        <v>0</v>
      </c>
      <c r="AG179">
        <v>0</v>
      </c>
      <c r="AH179">
        <v>0</v>
      </c>
      <c r="AI179">
        <v>6.9</v>
      </c>
      <c r="AJ179">
        <v>1</v>
      </c>
      <c r="AK179">
        <v>1</v>
      </c>
      <c r="AL179">
        <v>1</v>
      </c>
      <c r="AN179">
        <v>0</v>
      </c>
      <c r="AO179">
        <v>0</v>
      </c>
      <c r="AP179">
        <v>0</v>
      </c>
      <c r="AQ179">
        <v>0</v>
      </c>
      <c r="AR179">
        <v>0</v>
      </c>
      <c r="AS179" t="s">
        <v>3</v>
      </c>
      <c r="AT179">
        <v>7.1454089999999999</v>
      </c>
      <c r="AU179" t="s">
        <v>3</v>
      </c>
      <c r="AV179">
        <v>0</v>
      </c>
      <c r="AW179">
        <v>1</v>
      </c>
      <c r="AX179">
        <v>-1</v>
      </c>
      <c r="AY179">
        <v>0</v>
      </c>
      <c r="AZ179">
        <v>0</v>
      </c>
      <c r="BA179" t="s">
        <v>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Y179*Source!I81</f>
        <v>1.9999999790999998</v>
      </c>
      <c r="CY179">
        <f t="shared" ref="CY179:CY188" si="21">AA179</f>
        <v>638.39</v>
      </c>
      <c r="CZ179">
        <f t="shared" ref="CZ179:CZ188" si="22">AE179</f>
        <v>92.52</v>
      </c>
      <c r="DA179">
        <f t="shared" ref="DA179:DA188" si="23">AI179</f>
        <v>6.9</v>
      </c>
      <c r="DB179">
        <v>0</v>
      </c>
    </row>
    <row r="180" spans="1:106" x14ac:dyDescent="0.2">
      <c r="A180">
        <f>ROW(Source!A81)</f>
        <v>81</v>
      </c>
      <c r="B180">
        <v>39579451</v>
      </c>
      <c r="C180">
        <v>39579906</v>
      </c>
      <c r="D180">
        <v>36801844</v>
      </c>
      <c r="E180">
        <v>1</v>
      </c>
      <c r="F180">
        <v>1</v>
      </c>
      <c r="G180">
        <v>1</v>
      </c>
      <c r="H180">
        <v>3</v>
      </c>
      <c r="I180" t="s">
        <v>250</v>
      </c>
      <c r="J180" t="s">
        <v>252</v>
      </c>
      <c r="K180" t="s">
        <v>251</v>
      </c>
      <c r="L180">
        <v>1035</v>
      </c>
      <c r="N180">
        <v>1013</v>
      </c>
      <c r="O180" t="s">
        <v>247</v>
      </c>
      <c r="P180" t="s">
        <v>247</v>
      </c>
      <c r="Q180">
        <v>1</v>
      </c>
      <c r="W180">
        <v>0</v>
      </c>
      <c r="X180">
        <v>-1514276406</v>
      </c>
      <c r="Y180">
        <v>7.1454089999999999</v>
      </c>
      <c r="AA180">
        <v>653.29</v>
      </c>
      <c r="AB180">
        <v>0</v>
      </c>
      <c r="AC180">
        <v>0</v>
      </c>
      <c r="AD180">
        <v>0</v>
      </c>
      <c r="AE180">
        <v>94.68</v>
      </c>
      <c r="AF180">
        <v>0</v>
      </c>
      <c r="AG180">
        <v>0</v>
      </c>
      <c r="AH180">
        <v>0</v>
      </c>
      <c r="AI180">
        <v>6.9</v>
      </c>
      <c r="AJ180">
        <v>1</v>
      </c>
      <c r="AK180">
        <v>1</v>
      </c>
      <c r="AL180">
        <v>1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3</v>
      </c>
      <c r="AT180">
        <v>7.1454089999999999</v>
      </c>
      <c r="AU180" t="s">
        <v>3</v>
      </c>
      <c r="AV180">
        <v>0</v>
      </c>
      <c r="AW180">
        <v>1</v>
      </c>
      <c r="AX180">
        <v>-1</v>
      </c>
      <c r="AY180">
        <v>0</v>
      </c>
      <c r="AZ180">
        <v>0</v>
      </c>
      <c r="BA180" t="s">
        <v>3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Y180*Source!I81</f>
        <v>1.9999999790999998</v>
      </c>
      <c r="CY180">
        <f t="shared" si="21"/>
        <v>653.29</v>
      </c>
      <c r="CZ180">
        <f t="shared" si="22"/>
        <v>94.68</v>
      </c>
      <c r="DA180">
        <f t="shared" si="23"/>
        <v>6.9</v>
      </c>
      <c r="DB180">
        <v>0</v>
      </c>
    </row>
    <row r="181" spans="1:106" x14ac:dyDescent="0.2">
      <c r="A181">
        <f>ROW(Source!A81)</f>
        <v>81</v>
      </c>
      <c r="B181">
        <v>39579451</v>
      </c>
      <c r="C181">
        <v>39579906</v>
      </c>
      <c r="D181">
        <v>36805352</v>
      </c>
      <c r="E181">
        <v>1</v>
      </c>
      <c r="F181">
        <v>1</v>
      </c>
      <c r="G181">
        <v>1</v>
      </c>
      <c r="H181">
        <v>3</v>
      </c>
      <c r="I181" t="s">
        <v>258</v>
      </c>
      <c r="J181" t="s">
        <v>260</v>
      </c>
      <c r="K181" t="s">
        <v>259</v>
      </c>
      <c r="L181">
        <v>1346</v>
      </c>
      <c r="N181">
        <v>1009</v>
      </c>
      <c r="O181" t="s">
        <v>118</v>
      </c>
      <c r="P181" t="s">
        <v>118</v>
      </c>
      <c r="Q181">
        <v>1</v>
      </c>
      <c r="W181">
        <v>0</v>
      </c>
      <c r="X181">
        <v>-1725235741</v>
      </c>
      <c r="Y181">
        <v>4.2872450000000004</v>
      </c>
      <c r="AA181">
        <v>194.99</v>
      </c>
      <c r="AB181">
        <v>0</v>
      </c>
      <c r="AC181">
        <v>0</v>
      </c>
      <c r="AD181">
        <v>0</v>
      </c>
      <c r="AE181">
        <v>28.26</v>
      </c>
      <c r="AF181">
        <v>0</v>
      </c>
      <c r="AG181">
        <v>0</v>
      </c>
      <c r="AH181">
        <v>0</v>
      </c>
      <c r="AI181">
        <v>6.9</v>
      </c>
      <c r="AJ181">
        <v>1</v>
      </c>
      <c r="AK181">
        <v>1</v>
      </c>
      <c r="AL181">
        <v>1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3</v>
      </c>
      <c r="AT181">
        <v>4.2872450000000004</v>
      </c>
      <c r="AU181" t="s">
        <v>3</v>
      </c>
      <c r="AV181">
        <v>0</v>
      </c>
      <c r="AW181">
        <v>2</v>
      </c>
      <c r="AX181">
        <v>39579912</v>
      </c>
      <c r="AY181">
        <v>1</v>
      </c>
      <c r="AZ181">
        <v>6144</v>
      </c>
      <c r="BA181">
        <v>174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Y181*Source!I81</f>
        <v>1.1999998755000001</v>
      </c>
      <c r="CY181">
        <f t="shared" si="21"/>
        <v>194.99</v>
      </c>
      <c r="CZ181">
        <f t="shared" si="22"/>
        <v>28.26</v>
      </c>
      <c r="DA181">
        <f t="shared" si="23"/>
        <v>6.9</v>
      </c>
      <c r="DB181">
        <v>0</v>
      </c>
    </row>
    <row r="182" spans="1:106" x14ac:dyDescent="0.2">
      <c r="A182">
        <f>ROW(Source!A81)</f>
        <v>81</v>
      </c>
      <c r="B182">
        <v>39579451</v>
      </c>
      <c r="C182">
        <v>39579906</v>
      </c>
      <c r="D182">
        <v>36805527</v>
      </c>
      <c r="E182">
        <v>1</v>
      </c>
      <c r="F182">
        <v>1</v>
      </c>
      <c r="G182">
        <v>1</v>
      </c>
      <c r="H182">
        <v>3</v>
      </c>
      <c r="I182" t="s">
        <v>660</v>
      </c>
      <c r="J182" t="s">
        <v>661</v>
      </c>
      <c r="K182" t="s">
        <v>662</v>
      </c>
      <c r="L182">
        <v>1348</v>
      </c>
      <c r="N182">
        <v>1009</v>
      </c>
      <c r="O182" t="s">
        <v>105</v>
      </c>
      <c r="P182" t="s">
        <v>105</v>
      </c>
      <c r="Q182">
        <v>1000</v>
      </c>
      <c r="W182">
        <v>0</v>
      </c>
      <c r="X182">
        <v>-2116243625</v>
      </c>
      <c r="Y182">
        <v>1.15E-3</v>
      </c>
      <c r="AA182">
        <v>261510</v>
      </c>
      <c r="AB182">
        <v>0</v>
      </c>
      <c r="AC182">
        <v>0</v>
      </c>
      <c r="AD182">
        <v>0</v>
      </c>
      <c r="AE182">
        <v>37900</v>
      </c>
      <c r="AF182">
        <v>0</v>
      </c>
      <c r="AG182">
        <v>0</v>
      </c>
      <c r="AH182">
        <v>0</v>
      </c>
      <c r="AI182">
        <v>6.9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1.15E-3</v>
      </c>
      <c r="AU182" t="s">
        <v>3</v>
      </c>
      <c r="AV182">
        <v>0</v>
      </c>
      <c r="AW182">
        <v>2</v>
      </c>
      <c r="AX182">
        <v>39579913</v>
      </c>
      <c r="AY182">
        <v>1</v>
      </c>
      <c r="AZ182">
        <v>0</v>
      </c>
      <c r="BA182">
        <v>175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Y182*Source!I81</f>
        <v>3.21885E-4</v>
      </c>
      <c r="CY182">
        <f t="shared" si="21"/>
        <v>261510</v>
      </c>
      <c r="CZ182">
        <f t="shared" si="22"/>
        <v>37900</v>
      </c>
      <c r="DA182">
        <f t="shared" si="23"/>
        <v>6.9</v>
      </c>
      <c r="DB182">
        <v>0</v>
      </c>
    </row>
    <row r="183" spans="1:106" x14ac:dyDescent="0.2">
      <c r="A183">
        <f>ROW(Source!A81)</f>
        <v>81</v>
      </c>
      <c r="B183">
        <v>39579451</v>
      </c>
      <c r="C183">
        <v>39579906</v>
      </c>
      <c r="D183">
        <v>36805811</v>
      </c>
      <c r="E183">
        <v>1</v>
      </c>
      <c r="F183">
        <v>1</v>
      </c>
      <c r="G183">
        <v>1</v>
      </c>
      <c r="H183">
        <v>3</v>
      </c>
      <c r="I183" t="s">
        <v>254</v>
      </c>
      <c r="J183" t="s">
        <v>256</v>
      </c>
      <c r="K183" t="s">
        <v>255</v>
      </c>
      <c r="L183">
        <v>1327</v>
      </c>
      <c r="N183">
        <v>1005</v>
      </c>
      <c r="O183" t="s">
        <v>154</v>
      </c>
      <c r="P183" t="s">
        <v>154</v>
      </c>
      <c r="Q183">
        <v>1</v>
      </c>
      <c r="W183">
        <v>0</v>
      </c>
      <c r="X183">
        <v>1958343218</v>
      </c>
      <c r="Y183">
        <v>100</v>
      </c>
      <c r="AA183">
        <v>1751.22</v>
      </c>
      <c r="AB183">
        <v>0</v>
      </c>
      <c r="AC183">
        <v>0</v>
      </c>
      <c r="AD183">
        <v>0</v>
      </c>
      <c r="AE183">
        <v>253.8</v>
      </c>
      <c r="AF183">
        <v>0</v>
      </c>
      <c r="AG183">
        <v>0</v>
      </c>
      <c r="AH183">
        <v>0</v>
      </c>
      <c r="AI183">
        <v>6.9</v>
      </c>
      <c r="AJ183">
        <v>1</v>
      </c>
      <c r="AK183">
        <v>1</v>
      </c>
      <c r="AL183">
        <v>1</v>
      </c>
      <c r="AN183">
        <v>0</v>
      </c>
      <c r="AO183">
        <v>0</v>
      </c>
      <c r="AP183">
        <v>0</v>
      </c>
      <c r="AQ183">
        <v>0</v>
      </c>
      <c r="AR183">
        <v>0</v>
      </c>
      <c r="AS183" t="s">
        <v>3</v>
      </c>
      <c r="AT183">
        <v>100</v>
      </c>
      <c r="AU183" t="s">
        <v>3</v>
      </c>
      <c r="AV183">
        <v>0</v>
      </c>
      <c r="AW183">
        <v>1</v>
      </c>
      <c r="AX183">
        <v>-1</v>
      </c>
      <c r="AY183">
        <v>0</v>
      </c>
      <c r="AZ183">
        <v>0</v>
      </c>
      <c r="BA183" t="s">
        <v>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Y183*Source!I81</f>
        <v>27.99</v>
      </c>
      <c r="CY183">
        <f t="shared" si="21"/>
        <v>1751.22</v>
      </c>
      <c r="CZ183">
        <f t="shared" si="22"/>
        <v>253.8</v>
      </c>
      <c r="DA183">
        <f t="shared" si="23"/>
        <v>6.9</v>
      </c>
      <c r="DB183">
        <v>0</v>
      </c>
    </row>
    <row r="184" spans="1:106" x14ac:dyDescent="0.2">
      <c r="A184">
        <f>ROW(Source!A81)</f>
        <v>81</v>
      </c>
      <c r="B184">
        <v>39579451</v>
      </c>
      <c r="C184">
        <v>39579906</v>
      </c>
      <c r="D184">
        <v>36823258</v>
      </c>
      <c r="E184">
        <v>1</v>
      </c>
      <c r="F184">
        <v>1</v>
      </c>
      <c r="G184">
        <v>1</v>
      </c>
      <c r="H184">
        <v>3</v>
      </c>
      <c r="I184" t="s">
        <v>663</v>
      </c>
      <c r="J184" t="s">
        <v>664</v>
      </c>
      <c r="K184" t="s">
        <v>665</v>
      </c>
      <c r="L184">
        <v>1348</v>
      </c>
      <c r="N184">
        <v>1009</v>
      </c>
      <c r="O184" t="s">
        <v>105</v>
      </c>
      <c r="P184" t="s">
        <v>105</v>
      </c>
      <c r="Q184">
        <v>1000</v>
      </c>
      <c r="W184">
        <v>0</v>
      </c>
      <c r="X184">
        <v>299819930</v>
      </c>
      <c r="Y184">
        <v>0.02</v>
      </c>
      <c r="AA184">
        <v>53212.800000000003</v>
      </c>
      <c r="AB184">
        <v>0</v>
      </c>
      <c r="AC184">
        <v>0</v>
      </c>
      <c r="AD184">
        <v>0</v>
      </c>
      <c r="AE184">
        <v>7712</v>
      </c>
      <c r="AF184">
        <v>0</v>
      </c>
      <c r="AG184">
        <v>0</v>
      </c>
      <c r="AH184">
        <v>0</v>
      </c>
      <c r="AI184">
        <v>6.9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0.02</v>
      </c>
      <c r="AU184" t="s">
        <v>3</v>
      </c>
      <c r="AV184">
        <v>0</v>
      </c>
      <c r="AW184">
        <v>2</v>
      </c>
      <c r="AX184">
        <v>39579916</v>
      </c>
      <c r="AY184">
        <v>1</v>
      </c>
      <c r="AZ184">
        <v>0</v>
      </c>
      <c r="BA184">
        <v>178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Y184*Source!I81</f>
        <v>5.5979999999999997E-3</v>
      </c>
      <c r="CY184">
        <f t="shared" si="21"/>
        <v>53212.800000000003</v>
      </c>
      <c r="CZ184">
        <f t="shared" si="22"/>
        <v>7712</v>
      </c>
      <c r="DA184">
        <f t="shared" si="23"/>
        <v>6.9</v>
      </c>
      <c r="DB184">
        <v>0</v>
      </c>
    </row>
    <row r="185" spans="1:106" x14ac:dyDescent="0.2">
      <c r="A185">
        <f>ROW(Source!A81)</f>
        <v>81</v>
      </c>
      <c r="B185">
        <v>39579451</v>
      </c>
      <c r="C185">
        <v>39579906</v>
      </c>
      <c r="D185">
        <v>36825287</v>
      </c>
      <c r="E185">
        <v>1</v>
      </c>
      <c r="F185">
        <v>1</v>
      </c>
      <c r="G185">
        <v>1</v>
      </c>
      <c r="H185">
        <v>3</v>
      </c>
      <c r="I185" t="s">
        <v>666</v>
      </c>
      <c r="J185" t="s">
        <v>667</v>
      </c>
      <c r="K185" t="s">
        <v>668</v>
      </c>
      <c r="L185">
        <v>1302</v>
      </c>
      <c r="N185">
        <v>1003</v>
      </c>
      <c r="O185" t="s">
        <v>307</v>
      </c>
      <c r="P185" t="s">
        <v>307</v>
      </c>
      <c r="Q185">
        <v>10</v>
      </c>
      <c r="W185">
        <v>0</v>
      </c>
      <c r="X185">
        <v>-1640127157</v>
      </c>
      <c r="Y185">
        <v>0.2</v>
      </c>
      <c r="AA185">
        <v>346.66</v>
      </c>
      <c r="AB185">
        <v>0</v>
      </c>
      <c r="AC185">
        <v>0</v>
      </c>
      <c r="AD185">
        <v>0</v>
      </c>
      <c r="AE185">
        <v>50.24</v>
      </c>
      <c r="AF185">
        <v>0</v>
      </c>
      <c r="AG185">
        <v>0</v>
      </c>
      <c r="AH185">
        <v>0</v>
      </c>
      <c r="AI185">
        <v>6.9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0.2</v>
      </c>
      <c r="AU185" t="s">
        <v>3</v>
      </c>
      <c r="AV185">
        <v>0</v>
      </c>
      <c r="AW185">
        <v>2</v>
      </c>
      <c r="AX185">
        <v>39579917</v>
      </c>
      <c r="AY185">
        <v>1</v>
      </c>
      <c r="AZ185">
        <v>0</v>
      </c>
      <c r="BA185">
        <v>179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Y185*Source!I81</f>
        <v>5.5980000000000002E-2</v>
      </c>
      <c r="CY185">
        <f t="shared" si="21"/>
        <v>346.66</v>
      </c>
      <c r="CZ185">
        <f t="shared" si="22"/>
        <v>50.24</v>
      </c>
      <c r="DA185">
        <f t="shared" si="23"/>
        <v>6.9</v>
      </c>
      <c r="DB185">
        <v>0</v>
      </c>
    </row>
    <row r="186" spans="1:106" x14ac:dyDescent="0.2">
      <c r="A186">
        <f>ROW(Source!A81)</f>
        <v>81</v>
      </c>
      <c r="B186">
        <v>39579451</v>
      </c>
      <c r="C186">
        <v>39579906</v>
      </c>
      <c r="D186">
        <v>36827216</v>
      </c>
      <c r="E186">
        <v>1</v>
      </c>
      <c r="F186">
        <v>1</v>
      </c>
      <c r="G186">
        <v>1</v>
      </c>
      <c r="H186">
        <v>3</v>
      </c>
      <c r="I186" t="s">
        <v>237</v>
      </c>
      <c r="J186" t="s">
        <v>239</v>
      </c>
      <c r="K186" t="s">
        <v>238</v>
      </c>
      <c r="L186">
        <v>1354</v>
      </c>
      <c r="N186">
        <v>1010</v>
      </c>
      <c r="O186" t="s">
        <v>189</v>
      </c>
      <c r="P186" t="s">
        <v>189</v>
      </c>
      <c r="Q186">
        <v>1</v>
      </c>
      <c r="W186">
        <v>0</v>
      </c>
      <c r="X186">
        <v>1421977603</v>
      </c>
      <c r="Y186">
        <v>3.572705</v>
      </c>
      <c r="AA186">
        <v>78556.5</v>
      </c>
      <c r="AB186">
        <v>0</v>
      </c>
      <c r="AC186">
        <v>0</v>
      </c>
      <c r="AD186">
        <v>0</v>
      </c>
      <c r="AE186">
        <v>11385</v>
      </c>
      <c r="AF186">
        <v>0</v>
      </c>
      <c r="AG186">
        <v>0</v>
      </c>
      <c r="AH186">
        <v>0</v>
      </c>
      <c r="AI186">
        <v>6.9</v>
      </c>
      <c r="AJ186">
        <v>1</v>
      </c>
      <c r="AK186">
        <v>1</v>
      </c>
      <c r="AL186">
        <v>1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3</v>
      </c>
      <c r="AT186">
        <v>3.572705</v>
      </c>
      <c r="AU186" t="s">
        <v>3</v>
      </c>
      <c r="AV186">
        <v>0</v>
      </c>
      <c r="AW186">
        <v>1</v>
      </c>
      <c r="AX186">
        <v>-1</v>
      </c>
      <c r="AY186">
        <v>0</v>
      </c>
      <c r="AZ186">
        <v>0</v>
      </c>
      <c r="BA186" t="s">
        <v>3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Y186*Source!I81</f>
        <v>1.0000001294999998</v>
      </c>
      <c r="CY186">
        <f t="shared" si="21"/>
        <v>78556.5</v>
      </c>
      <c r="CZ186">
        <f t="shared" si="22"/>
        <v>11385</v>
      </c>
      <c r="DA186">
        <f t="shared" si="23"/>
        <v>6.9</v>
      </c>
      <c r="DB186">
        <v>0</v>
      </c>
    </row>
    <row r="187" spans="1:106" x14ac:dyDescent="0.2">
      <c r="A187">
        <f>ROW(Source!A81)</f>
        <v>81</v>
      </c>
      <c r="B187">
        <v>39579451</v>
      </c>
      <c r="C187">
        <v>39579906</v>
      </c>
      <c r="D187">
        <v>36827220</v>
      </c>
      <c r="E187">
        <v>1</v>
      </c>
      <c r="F187">
        <v>1</v>
      </c>
      <c r="G187">
        <v>1</v>
      </c>
      <c r="H187">
        <v>3</v>
      </c>
      <c r="I187" t="s">
        <v>241</v>
      </c>
      <c r="J187" t="s">
        <v>243</v>
      </c>
      <c r="K187" t="s">
        <v>242</v>
      </c>
      <c r="L187">
        <v>1354</v>
      </c>
      <c r="N187">
        <v>1010</v>
      </c>
      <c r="O187" t="s">
        <v>189</v>
      </c>
      <c r="P187" t="s">
        <v>189</v>
      </c>
      <c r="Q187">
        <v>1</v>
      </c>
      <c r="W187">
        <v>0</v>
      </c>
      <c r="X187">
        <v>-1912188872</v>
      </c>
      <c r="Y187">
        <v>3.572705</v>
      </c>
      <c r="AA187">
        <v>87942.43</v>
      </c>
      <c r="AB187">
        <v>0</v>
      </c>
      <c r="AC187">
        <v>0</v>
      </c>
      <c r="AD187">
        <v>0</v>
      </c>
      <c r="AE187">
        <v>12745.28</v>
      </c>
      <c r="AF187">
        <v>0</v>
      </c>
      <c r="AG187">
        <v>0</v>
      </c>
      <c r="AH187">
        <v>0</v>
      </c>
      <c r="AI187">
        <v>6.9</v>
      </c>
      <c r="AJ187">
        <v>1</v>
      </c>
      <c r="AK187">
        <v>1</v>
      </c>
      <c r="AL187">
        <v>1</v>
      </c>
      <c r="AN187">
        <v>0</v>
      </c>
      <c r="AO187">
        <v>0</v>
      </c>
      <c r="AP187">
        <v>0</v>
      </c>
      <c r="AQ187">
        <v>0</v>
      </c>
      <c r="AR187">
        <v>0</v>
      </c>
      <c r="AS187" t="s">
        <v>3</v>
      </c>
      <c r="AT187">
        <v>3.572705</v>
      </c>
      <c r="AU187" t="s">
        <v>3</v>
      </c>
      <c r="AV187">
        <v>0</v>
      </c>
      <c r="AW187">
        <v>1</v>
      </c>
      <c r="AX187">
        <v>-1</v>
      </c>
      <c r="AY187">
        <v>0</v>
      </c>
      <c r="AZ187">
        <v>0</v>
      </c>
      <c r="BA187" t="s">
        <v>3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Y187*Source!I81</f>
        <v>1.0000001294999998</v>
      </c>
      <c r="CY187">
        <f t="shared" si="21"/>
        <v>87942.43</v>
      </c>
      <c r="CZ187">
        <f t="shared" si="22"/>
        <v>12745.28</v>
      </c>
      <c r="DA187">
        <f t="shared" si="23"/>
        <v>6.9</v>
      </c>
      <c r="DB187">
        <v>0</v>
      </c>
    </row>
    <row r="188" spans="1:106" x14ac:dyDescent="0.2">
      <c r="A188">
        <f>ROW(Source!A81)</f>
        <v>81</v>
      </c>
      <c r="B188">
        <v>39579451</v>
      </c>
      <c r="C188">
        <v>39579906</v>
      </c>
      <c r="D188">
        <v>36830313</v>
      </c>
      <c r="E188">
        <v>1</v>
      </c>
      <c r="F188">
        <v>1</v>
      </c>
      <c r="G188">
        <v>1</v>
      </c>
      <c r="H188">
        <v>3</v>
      </c>
      <c r="I188" t="s">
        <v>669</v>
      </c>
      <c r="J188" t="s">
        <v>670</v>
      </c>
      <c r="K188" t="s">
        <v>671</v>
      </c>
      <c r="L188">
        <v>1339</v>
      </c>
      <c r="N188">
        <v>1007</v>
      </c>
      <c r="O188" t="s">
        <v>86</v>
      </c>
      <c r="P188" t="s">
        <v>86</v>
      </c>
      <c r="Q188">
        <v>1</v>
      </c>
      <c r="W188">
        <v>0</v>
      </c>
      <c r="X188">
        <v>1283004816</v>
      </c>
      <c r="Y188">
        <v>0.04</v>
      </c>
      <c r="AA188">
        <v>11730</v>
      </c>
      <c r="AB188">
        <v>0</v>
      </c>
      <c r="AC188">
        <v>0</v>
      </c>
      <c r="AD188">
        <v>0</v>
      </c>
      <c r="AE188">
        <v>1700</v>
      </c>
      <c r="AF188">
        <v>0</v>
      </c>
      <c r="AG188">
        <v>0</v>
      </c>
      <c r="AH188">
        <v>0</v>
      </c>
      <c r="AI188">
        <v>6.9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3</v>
      </c>
      <c r="AT188">
        <v>0.04</v>
      </c>
      <c r="AU188" t="s">
        <v>3</v>
      </c>
      <c r="AV188">
        <v>0</v>
      </c>
      <c r="AW188">
        <v>2</v>
      </c>
      <c r="AX188">
        <v>39579919</v>
      </c>
      <c r="AY188">
        <v>1</v>
      </c>
      <c r="AZ188">
        <v>0</v>
      </c>
      <c r="BA188">
        <v>181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Y188*Source!I81</f>
        <v>1.1195999999999999E-2</v>
      </c>
      <c r="CY188">
        <f t="shared" si="21"/>
        <v>11730</v>
      </c>
      <c r="CZ188">
        <f t="shared" si="22"/>
        <v>1700</v>
      </c>
      <c r="DA188">
        <f t="shared" si="23"/>
        <v>6.9</v>
      </c>
      <c r="DB188">
        <v>0</v>
      </c>
    </row>
    <row r="189" spans="1:106" x14ac:dyDescent="0.2">
      <c r="A189">
        <f>ROW(Source!A88)</f>
        <v>88</v>
      </c>
      <c r="B189">
        <v>39579451</v>
      </c>
      <c r="C189">
        <v>39579931</v>
      </c>
      <c r="D189">
        <v>37072767</v>
      </c>
      <c r="E189">
        <v>1</v>
      </c>
      <c r="F189">
        <v>1</v>
      </c>
      <c r="G189">
        <v>1</v>
      </c>
      <c r="H189">
        <v>1</v>
      </c>
      <c r="I189" t="s">
        <v>583</v>
      </c>
      <c r="J189" t="s">
        <v>3</v>
      </c>
      <c r="K189" t="s">
        <v>584</v>
      </c>
      <c r="L189">
        <v>1191</v>
      </c>
      <c r="N189">
        <v>1013</v>
      </c>
      <c r="O189" t="s">
        <v>519</v>
      </c>
      <c r="P189" t="s">
        <v>519</v>
      </c>
      <c r="Q189">
        <v>1</v>
      </c>
      <c r="W189">
        <v>0</v>
      </c>
      <c r="X189">
        <v>-1027537862</v>
      </c>
      <c r="Y189">
        <v>102.95949999999999</v>
      </c>
      <c r="AA189">
        <v>0</v>
      </c>
      <c r="AB189">
        <v>0</v>
      </c>
      <c r="AC189">
        <v>0</v>
      </c>
      <c r="AD189">
        <v>63.34</v>
      </c>
      <c r="AE189">
        <v>0</v>
      </c>
      <c r="AF189">
        <v>0</v>
      </c>
      <c r="AG189">
        <v>0</v>
      </c>
      <c r="AH189">
        <v>9.18</v>
      </c>
      <c r="AI189">
        <v>1</v>
      </c>
      <c r="AJ189">
        <v>1</v>
      </c>
      <c r="AK189">
        <v>1</v>
      </c>
      <c r="AL189">
        <v>6.9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3</v>
      </c>
      <c r="AT189">
        <v>89.53</v>
      </c>
      <c r="AU189" t="s">
        <v>79</v>
      </c>
      <c r="AV189">
        <v>1</v>
      </c>
      <c r="AW189">
        <v>2</v>
      </c>
      <c r="AX189">
        <v>39579932</v>
      </c>
      <c r="AY189">
        <v>1</v>
      </c>
      <c r="AZ189">
        <v>0</v>
      </c>
      <c r="BA189">
        <v>182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Y189*Source!I88</f>
        <v>6.2702335499999995</v>
      </c>
      <c r="CY189">
        <f>AD189</f>
        <v>63.34</v>
      </c>
      <c r="CZ189">
        <f>AH189</f>
        <v>9.18</v>
      </c>
      <c r="DA189">
        <f>AL189</f>
        <v>6.9</v>
      </c>
      <c r="DB189">
        <v>0</v>
      </c>
    </row>
    <row r="190" spans="1:106" x14ac:dyDescent="0.2">
      <c r="A190">
        <f>ROW(Source!A88)</f>
        <v>88</v>
      </c>
      <c r="B190">
        <v>39579451</v>
      </c>
      <c r="C190">
        <v>39579931</v>
      </c>
      <c r="D190">
        <v>37064876</v>
      </c>
      <c r="E190">
        <v>1</v>
      </c>
      <c r="F190">
        <v>1</v>
      </c>
      <c r="G190">
        <v>1</v>
      </c>
      <c r="H190">
        <v>1</v>
      </c>
      <c r="I190" t="s">
        <v>520</v>
      </c>
      <c r="J190" t="s">
        <v>3</v>
      </c>
      <c r="K190" t="s">
        <v>521</v>
      </c>
      <c r="L190">
        <v>1191</v>
      </c>
      <c r="N190">
        <v>1013</v>
      </c>
      <c r="O190" t="s">
        <v>519</v>
      </c>
      <c r="P190" t="s">
        <v>519</v>
      </c>
      <c r="Q190">
        <v>1</v>
      </c>
      <c r="W190">
        <v>0</v>
      </c>
      <c r="X190">
        <v>-1417349443</v>
      </c>
      <c r="Y190">
        <v>11.68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6.9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11.68</v>
      </c>
      <c r="AU190" t="s">
        <v>3</v>
      </c>
      <c r="AV190">
        <v>2</v>
      </c>
      <c r="AW190">
        <v>2</v>
      </c>
      <c r="AX190">
        <v>39579933</v>
      </c>
      <c r="AY190">
        <v>1</v>
      </c>
      <c r="AZ190">
        <v>2048</v>
      </c>
      <c r="BA190">
        <v>183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Y190*Source!I88</f>
        <v>0.71131200000000006</v>
      </c>
      <c r="CY190">
        <f>AD190</f>
        <v>0</v>
      </c>
      <c r="CZ190">
        <f>AH190</f>
        <v>0</v>
      </c>
      <c r="DA190">
        <f>AL190</f>
        <v>1</v>
      </c>
      <c r="DB190">
        <v>0</v>
      </c>
    </row>
    <row r="191" spans="1:106" x14ac:dyDescent="0.2">
      <c r="A191">
        <f>ROW(Source!A88)</f>
        <v>88</v>
      </c>
      <c r="B191">
        <v>39579451</v>
      </c>
      <c r="C191">
        <v>39579931</v>
      </c>
      <c r="D191">
        <v>36882057</v>
      </c>
      <c r="E191">
        <v>1</v>
      </c>
      <c r="F191">
        <v>1</v>
      </c>
      <c r="G191">
        <v>1</v>
      </c>
      <c r="H191">
        <v>2</v>
      </c>
      <c r="I191" t="s">
        <v>672</v>
      </c>
      <c r="J191" t="s">
        <v>673</v>
      </c>
      <c r="K191" t="s">
        <v>674</v>
      </c>
      <c r="L191">
        <v>1368</v>
      </c>
      <c r="N191">
        <v>1011</v>
      </c>
      <c r="O191" t="s">
        <v>525</v>
      </c>
      <c r="P191" t="s">
        <v>525</v>
      </c>
      <c r="Q191">
        <v>1</v>
      </c>
      <c r="W191">
        <v>0</v>
      </c>
      <c r="X191">
        <v>-1460065968</v>
      </c>
      <c r="Y191">
        <v>12.112499999999999</v>
      </c>
      <c r="AA191">
        <v>0</v>
      </c>
      <c r="AB191">
        <v>596.16</v>
      </c>
      <c r="AC191">
        <v>13.5</v>
      </c>
      <c r="AD191">
        <v>0</v>
      </c>
      <c r="AE191">
        <v>0</v>
      </c>
      <c r="AF191">
        <v>86.4</v>
      </c>
      <c r="AG191">
        <v>13.5</v>
      </c>
      <c r="AH191">
        <v>0</v>
      </c>
      <c r="AI191">
        <v>1</v>
      </c>
      <c r="AJ191">
        <v>6.9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3</v>
      </c>
      <c r="AT191">
        <v>9.69</v>
      </c>
      <c r="AU191" t="s">
        <v>78</v>
      </c>
      <c r="AV191">
        <v>0</v>
      </c>
      <c r="AW191">
        <v>2</v>
      </c>
      <c r="AX191">
        <v>39579934</v>
      </c>
      <c r="AY191">
        <v>1</v>
      </c>
      <c r="AZ191">
        <v>0</v>
      </c>
      <c r="BA191">
        <v>184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Y191*Source!I88</f>
        <v>0.73765124999999998</v>
      </c>
      <c r="CY191">
        <f>AB191</f>
        <v>596.16</v>
      </c>
      <c r="CZ191">
        <f>AF191</f>
        <v>86.4</v>
      </c>
      <c r="DA191">
        <f>AJ191</f>
        <v>6.9</v>
      </c>
      <c r="DB191">
        <v>0</v>
      </c>
    </row>
    <row r="192" spans="1:106" x14ac:dyDescent="0.2">
      <c r="A192">
        <f>ROW(Source!A88)</f>
        <v>88</v>
      </c>
      <c r="B192">
        <v>39579451</v>
      </c>
      <c r="C192">
        <v>39579931</v>
      </c>
      <c r="D192">
        <v>36883554</v>
      </c>
      <c r="E192">
        <v>1</v>
      </c>
      <c r="F192">
        <v>1</v>
      </c>
      <c r="G192">
        <v>1</v>
      </c>
      <c r="H192">
        <v>2</v>
      </c>
      <c r="I192" t="s">
        <v>526</v>
      </c>
      <c r="J192" t="s">
        <v>527</v>
      </c>
      <c r="K192" t="s">
        <v>528</v>
      </c>
      <c r="L192">
        <v>1368</v>
      </c>
      <c r="N192">
        <v>1011</v>
      </c>
      <c r="O192" t="s">
        <v>525</v>
      </c>
      <c r="P192" t="s">
        <v>525</v>
      </c>
      <c r="Q192">
        <v>1</v>
      </c>
      <c r="W192">
        <v>0</v>
      </c>
      <c r="X192">
        <v>1372534845</v>
      </c>
      <c r="Y192">
        <v>2.4874999999999998</v>
      </c>
      <c r="AA192">
        <v>0</v>
      </c>
      <c r="AB192">
        <v>453.4</v>
      </c>
      <c r="AC192">
        <v>11.6</v>
      </c>
      <c r="AD192">
        <v>0</v>
      </c>
      <c r="AE192">
        <v>0</v>
      </c>
      <c r="AF192">
        <v>65.709999999999994</v>
      </c>
      <c r="AG192">
        <v>11.6</v>
      </c>
      <c r="AH192">
        <v>0</v>
      </c>
      <c r="AI192">
        <v>1</v>
      </c>
      <c r="AJ192">
        <v>6.9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3</v>
      </c>
      <c r="AT192">
        <v>1.99</v>
      </c>
      <c r="AU192" t="s">
        <v>78</v>
      </c>
      <c r="AV192">
        <v>0</v>
      </c>
      <c r="AW192">
        <v>2</v>
      </c>
      <c r="AX192">
        <v>39579935</v>
      </c>
      <c r="AY192">
        <v>1</v>
      </c>
      <c r="AZ192">
        <v>0</v>
      </c>
      <c r="BA192">
        <v>185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Y192*Source!I88</f>
        <v>0.15148875000000001</v>
      </c>
      <c r="CY192">
        <f>AB192</f>
        <v>453.4</v>
      </c>
      <c r="CZ192">
        <f>AF192</f>
        <v>65.709999999999994</v>
      </c>
      <c r="DA192">
        <f>AJ192</f>
        <v>6.9</v>
      </c>
      <c r="DB192">
        <v>0</v>
      </c>
    </row>
    <row r="193" spans="1:106" x14ac:dyDescent="0.2">
      <c r="A193">
        <f>ROW(Source!A88)</f>
        <v>88</v>
      </c>
      <c r="B193">
        <v>39579451</v>
      </c>
      <c r="C193">
        <v>39579931</v>
      </c>
      <c r="D193">
        <v>36801828</v>
      </c>
      <c r="E193">
        <v>1</v>
      </c>
      <c r="F193">
        <v>1</v>
      </c>
      <c r="G193">
        <v>1</v>
      </c>
      <c r="H193">
        <v>3</v>
      </c>
      <c r="I193" t="s">
        <v>245</v>
      </c>
      <c r="J193" t="s">
        <v>248</v>
      </c>
      <c r="K193" t="s">
        <v>246</v>
      </c>
      <c r="L193">
        <v>1035</v>
      </c>
      <c r="N193">
        <v>1013</v>
      </c>
      <c r="O193" t="s">
        <v>247</v>
      </c>
      <c r="P193" t="s">
        <v>247</v>
      </c>
      <c r="Q193">
        <v>1</v>
      </c>
      <c r="W193">
        <v>0</v>
      </c>
      <c r="X193">
        <v>203574032</v>
      </c>
      <c r="Y193">
        <v>49.261083999999997</v>
      </c>
      <c r="AA193">
        <v>638.39</v>
      </c>
      <c r="AB193">
        <v>0</v>
      </c>
      <c r="AC193">
        <v>0</v>
      </c>
      <c r="AD193">
        <v>0</v>
      </c>
      <c r="AE193">
        <v>92.52</v>
      </c>
      <c r="AF193">
        <v>0</v>
      </c>
      <c r="AG193">
        <v>0</v>
      </c>
      <c r="AH193">
        <v>0</v>
      </c>
      <c r="AI193">
        <v>6.9</v>
      </c>
      <c r="AJ193">
        <v>1</v>
      </c>
      <c r="AK193">
        <v>1</v>
      </c>
      <c r="AL193">
        <v>1</v>
      </c>
      <c r="AN193">
        <v>0</v>
      </c>
      <c r="AO193">
        <v>0</v>
      </c>
      <c r="AP193">
        <v>0</v>
      </c>
      <c r="AQ193">
        <v>0</v>
      </c>
      <c r="AR193">
        <v>0</v>
      </c>
      <c r="AS193" t="s">
        <v>3</v>
      </c>
      <c r="AT193">
        <v>49.261083999999997</v>
      </c>
      <c r="AU193" t="s">
        <v>3</v>
      </c>
      <c r="AV193">
        <v>0</v>
      </c>
      <c r="AW193">
        <v>1</v>
      </c>
      <c r="AX193">
        <v>-1</v>
      </c>
      <c r="AY193">
        <v>0</v>
      </c>
      <c r="AZ193">
        <v>0</v>
      </c>
      <c r="BA193" t="s">
        <v>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Y193*Source!I88</f>
        <v>3.0000000156</v>
      </c>
      <c r="CY193">
        <f t="shared" ref="CY193:CY202" si="24">AA193</f>
        <v>638.39</v>
      </c>
      <c r="CZ193">
        <f t="shared" ref="CZ193:CZ202" si="25">AE193</f>
        <v>92.52</v>
      </c>
      <c r="DA193">
        <f t="shared" ref="DA193:DA202" si="26">AI193</f>
        <v>6.9</v>
      </c>
      <c r="DB193">
        <v>0</v>
      </c>
    </row>
    <row r="194" spans="1:106" x14ac:dyDescent="0.2">
      <c r="A194">
        <f>ROW(Source!A88)</f>
        <v>88</v>
      </c>
      <c r="B194">
        <v>39579451</v>
      </c>
      <c r="C194">
        <v>39579931</v>
      </c>
      <c r="D194">
        <v>36801844</v>
      </c>
      <c r="E194">
        <v>1</v>
      </c>
      <c r="F194">
        <v>1</v>
      </c>
      <c r="G194">
        <v>1</v>
      </c>
      <c r="H194">
        <v>3</v>
      </c>
      <c r="I194" t="s">
        <v>250</v>
      </c>
      <c r="J194" t="s">
        <v>252</v>
      </c>
      <c r="K194" t="s">
        <v>251</v>
      </c>
      <c r="L194">
        <v>1035</v>
      </c>
      <c r="N194">
        <v>1013</v>
      </c>
      <c r="O194" t="s">
        <v>247</v>
      </c>
      <c r="P194" t="s">
        <v>247</v>
      </c>
      <c r="Q194">
        <v>1</v>
      </c>
      <c r="W194">
        <v>0</v>
      </c>
      <c r="X194">
        <v>-1514276406</v>
      </c>
      <c r="Y194">
        <v>16.420361</v>
      </c>
      <c r="AA194">
        <v>653.29</v>
      </c>
      <c r="AB194">
        <v>0</v>
      </c>
      <c r="AC194">
        <v>0</v>
      </c>
      <c r="AD194">
        <v>0</v>
      </c>
      <c r="AE194">
        <v>94.68</v>
      </c>
      <c r="AF194">
        <v>0</v>
      </c>
      <c r="AG194">
        <v>0</v>
      </c>
      <c r="AH194">
        <v>0</v>
      </c>
      <c r="AI194">
        <v>6.9</v>
      </c>
      <c r="AJ194">
        <v>1</v>
      </c>
      <c r="AK194">
        <v>1</v>
      </c>
      <c r="AL194">
        <v>1</v>
      </c>
      <c r="AN194">
        <v>0</v>
      </c>
      <c r="AO194">
        <v>0</v>
      </c>
      <c r="AP194">
        <v>0</v>
      </c>
      <c r="AQ194">
        <v>0</v>
      </c>
      <c r="AR194">
        <v>0</v>
      </c>
      <c r="AS194" t="s">
        <v>3</v>
      </c>
      <c r="AT194">
        <v>16.420361</v>
      </c>
      <c r="AU194" t="s">
        <v>3</v>
      </c>
      <c r="AV194">
        <v>0</v>
      </c>
      <c r="AW194">
        <v>1</v>
      </c>
      <c r="AX194">
        <v>-1</v>
      </c>
      <c r="AY194">
        <v>0</v>
      </c>
      <c r="AZ194">
        <v>0</v>
      </c>
      <c r="BA194" t="s">
        <v>3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Y194*Source!I88</f>
        <v>0.99999998490000008</v>
      </c>
      <c r="CY194">
        <f t="shared" si="24"/>
        <v>653.29</v>
      </c>
      <c r="CZ194">
        <f t="shared" si="25"/>
        <v>94.68</v>
      </c>
      <c r="DA194">
        <f t="shared" si="26"/>
        <v>6.9</v>
      </c>
      <c r="DB194">
        <v>0</v>
      </c>
    </row>
    <row r="195" spans="1:106" x14ac:dyDescent="0.2">
      <c r="A195">
        <f>ROW(Source!A88)</f>
        <v>88</v>
      </c>
      <c r="B195">
        <v>39579451</v>
      </c>
      <c r="C195">
        <v>39579931</v>
      </c>
      <c r="D195">
        <v>36801845</v>
      </c>
      <c r="E195">
        <v>1</v>
      </c>
      <c r="F195">
        <v>1</v>
      </c>
      <c r="G195">
        <v>1</v>
      </c>
      <c r="H195">
        <v>3</v>
      </c>
      <c r="I195" t="s">
        <v>267</v>
      </c>
      <c r="J195" t="s">
        <v>269</v>
      </c>
      <c r="K195" t="s">
        <v>268</v>
      </c>
      <c r="L195">
        <v>1035</v>
      </c>
      <c r="N195">
        <v>1013</v>
      </c>
      <c r="O195" t="s">
        <v>247</v>
      </c>
      <c r="P195" t="s">
        <v>247</v>
      </c>
      <c r="Q195">
        <v>1</v>
      </c>
      <c r="W195">
        <v>0</v>
      </c>
      <c r="X195">
        <v>602577485</v>
      </c>
      <c r="Y195">
        <v>32.840722</v>
      </c>
      <c r="AA195">
        <v>653.29</v>
      </c>
      <c r="AB195">
        <v>0</v>
      </c>
      <c r="AC195">
        <v>0</v>
      </c>
      <c r="AD195">
        <v>0</v>
      </c>
      <c r="AE195">
        <v>94.68</v>
      </c>
      <c r="AF195">
        <v>0</v>
      </c>
      <c r="AG195">
        <v>0</v>
      </c>
      <c r="AH195">
        <v>0</v>
      </c>
      <c r="AI195">
        <v>6.9</v>
      </c>
      <c r="AJ195">
        <v>1</v>
      </c>
      <c r="AK195">
        <v>1</v>
      </c>
      <c r="AL195">
        <v>1</v>
      </c>
      <c r="AN195">
        <v>0</v>
      </c>
      <c r="AO195">
        <v>0</v>
      </c>
      <c r="AP195">
        <v>0</v>
      </c>
      <c r="AQ195">
        <v>0</v>
      </c>
      <c r="AR195">
        <v>0</v>
      </c>
      <c r="AS195" t="s">
        <v>3</v>
      </c>
      <c r="AT195">
        <v>32.840722</v>
      </c>
      <c r="AU195" t="s">
        <v>3</v>
      </c>
      <c r="AV195">
        <v>0</v>
      </c>
      <c r="AW195">
        <v>1</v>
      </c>
      <c r="AX195">
        <v>-1</v>
      </c>
      <c r="AY195">
        <v>0</v>
      </c>
      <c r="AZ195">
        <v>0</v>
      </c>
      <c r="BA195" t="s">
        <v>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Y195*Source!I88</f>
        <v>1.9999999698000002</v>
      </c>
      <c r="CY195">
        <f t="shared" si="24"/>
        <v>653.29</v>
      </c>
      <c r="CZ195">
        <f t="shared" si="25"/>
        <v>94.68</v>
      </c>
      <c r="DA195">
        <f t="shared" si="26"/>
        <v>6.9</v>
      </c>
      <c r="DB195">
        <v>0</v>
      </c>
    </row>
    <row r="196" spans="1:106" x14ac:dyDescent="0.2">
      <c r="A196">
        <f>ROW(Source!A88)</f>
        <v>88</v>
      </c>
      <c r="B196">
        <v>39579451</v>
      </c>
      <c r="C196">
        <v>39579931</v>
      </c>
      <c r="D196">
        <v>36804545</v>
      </c>
      <c r="E196">
        <v>1</v>
      </c>
      <c r="F196">
        <v>1</v>
      </c>
      <c r="G196">
        <v>1</v>
      </c>
      <c r="H196">
        <v>3</v>
      </c>
      <c r="I196" t="s">
        <v>675</v>
      </c>
      <c r="J196" t="s">
        <v>676</v>
      </c>
      <c r="K196" t="s">
        <v>677</v>
      </c>
      <c r="L196">
        <v>1348</v>
      </c>
      <c r="N196">
        <v>1009</v>
      </c>
      <c r="O196" t="s">
        <v>105</v>
      </c>
      <c r="P196" t="s">
        <v>105</v>
      </c>
      <c r="Q196">
        <v>1000</v>
      </c>
      <c r="W196">
        <v>0</v>
      </c>
      <c r="X196">
        <v>1174701286</v>
      </c>
      <c r="Y196">
        <v>4.13E-3</v>
      </c>
      <c r="AA196">
        <v>82648.2</v>
      </c>
      <c r="AB196">
        <v>0</v>
      </c>
      <c r="AC196">
        <v>0</v>
      </c>
      <c r="AD196">
        <v>0</v>
      </c>
      <c r="AE196">
        <v>11978</v>
      </c>
      <c r="AF196">
        <v>0</v>
      </c>
      <c r="AG196">
        <v>0</v>
      </c>
      <c r="AH196">
        <v>0</v>
      </c>
      <c r="AI196">
        <v>6.9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4.13E-3</v>
      </c>
      <c r="AU196" t="s">
        <v>3</v>
      </c>
      <c r="AV196">
        <v>0</v>
      </c>
      <c r="AW196">
        <v>2</v>
      </c>
      <c r="AX196">
        <v>39579937</v>
      </c>
      <c r="AY196">
        <v>1</v>
      </c>
      <c r="AZ196">
        <v>0</v>
      </c>
      <c r="BA196">
        <v>187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Y196*Source!I88</f>
        <v>2.5151699999999998E-4</v>
      </c>
      <c r="CY196">
        <f t="shared" si="24"/>
        <v>82648.2</v>
      </c>
      <c r="CZ196">
        <f t="shared" si="25"/>
        <v>11978</v>
      </c>
      <c r="DA196">
        <f t="shared" si="26"/>
        <v>6.9</v>
      </c>
      <c r="DB196">
        <v>0</v>
      </c>
    </row>
    <row r="197" spans="1:106" x14ac:dyDescent="0.2">
      <c r="A197">
        <f>ROW(Source!A88)</f>
        <v>88</v>
      </c>
      <c r="B197">
        <v>39579451</v>
      </c>
      <c r="C197">
        <v>39579931</v>
      </c>
      <c r="D197">
        <v>36807324</v>
      </c>
      <c r="E197">
        <v>1</v>
      </c>
      <c r="F197">
        <v>1</v>
      </c>
      <c r="G197">
        <v>1</v>
      </c>
      <c r="H197">
        <v>3</v>
      </c>
      <c r="I197" t="s">
        <v>678</v>
      </c>
      <c r="J197" t="s">
        <v>679</v>
      </c>
      <c r="K197" t="s">
        <v>680</v>
      </c>
      <c r="L197">
        <v>1339</v>
      </c>
      <c r="N197">
        <v>1007</v>
      </c>
      <c r="O197" t="s">
        <v>86</v>
      </c>
      <c r="P197" t="s">
        <v>86</v>
      </c>
      <c r="Q197">
        <v>1</v>
      </c>
      <c r="W197">
        <v>0</v>
      </c>
      <c r="X197">
        <v>-2072708995</v>
      </c>
      <c r="Y197">
        <v>0.105</v>
      </c>
      <c r="AA197">
        <v>3160.2</v>
      </c>
      <c r="AB197">
        <v>0</v>
      </c>
      <c r="AC197">
        <v>0</v>
      </c>
      <c r="AD197">
        <v>0</v>
      </c>
      <c r="AE197">
        <v>458</v>
      </c>
      <c r="AF197">
        <v>0</v>
      </c>
      <c r="AG197">
        <v>0</v>
      </c>
      <c r="AH197">
        <v>0</v>
      </c>
      <c r="AI197">
        <v>6.9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0.105</v>
      </c>
      <c r="AU197" t="s">
        <v>3</v>
      </c>
      <c r="AV197">
        <v>0</v>
      </c>
      <c r="AW197">
        <v>2</v>
      </c>
      <c r="AX197">
        <v>39579938</v>
      </c>
      <c r="AY197">
        <v>1</v>
      </c>
      <c r="AZ197">
        <v>0</v>
      </c>
      <c r="BA197">
        <v>188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Y197*Source!I88</f>
        <v>6.3945E-3</v>
      </c>
      <c r="CY197">
        <f t="shared" si="24"/>
        <v>3160.2</v>
      </c>
      <c r="CZ197">
        <f t="shared" si="25"/>
        <v>458</v>
      </c>
      <c r="DA197">
        <f t="shared" si="26"/>
        <v>6.9</v>
      </c>
      <c r="DB197">
        <v>0</v>
      </c>
    </row>
    <row r="198" spans="1:106" x14ac:dyDescent="0.2">
      <c r="A198">
        <f>ROW(Source!A88)</f>
        <v>88</v>
      </c>
      <c r="B198">
        <v>39579451</v>
      </c>
      <c r="C198">
        <v>39579931</v>
      </c>
      <c r="D198">
        <v>36830501</v>
      </c>
      <c r="E198">
        <v>1</v>
      </c>
      <c r="F198">
        <v>1</v>
      </c>
      <c r="G198">
        <v>1</v>
      </c>
      <c r="H198">
        <v>3</v>
      </c>
      <c r="I198" t="s">
        <v>681</v>
      </c>
      <c r="J198" t="s">
        <v>682</v>
      </c>
      <c r="K198" t="s">
        <v>683</v>
      </c>
      <c r="L198">
        <v>1339</v>
      </c>
      <c r="N198">
        <v>1007</v>
      </c>
      <c r="O198" t="s">
        <v>86</v>
      </c>
      <c r="P198" t="s">
        <v>86</v>
      </c>
      <c r="Q198">
        <v>1</v>
      </c>
      <c r="W198">
        <v>0</v>
      </c>
      <c r="X198">
        <v>2024089152</v>
      </c>
      <c r="Y198">
        <v>0.08</v>
      </c>
      <c r="AA198">
        <v>7590</v>
      </c>
      <c r="AB198">
        <v>0</v>
      </c>
      <c r="AC198">
        <v>0</v>
      </c>
      <c r="AD198">
        <v>0</v>
      </c>
      <c r="AE198">
        <v>1100</v>
      </c>
      <c r="AF198">
        <v>0</v>
      </c>
      <c r="AG198">
        <v>0</v>
      </c>
      <c r="AH198">
        <v>0</v>
      </c>
      <c r="AI198">
        <v>6.9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0.08</v>
      </c>
      <c r="AU198" t="s">
        <v>3</v>
      </c>
      <c r="AV198">
        <v>0</v>
      </c>
      <c r="AW198">
        <v>2</v>
      </c>
      <c r="AX198">
        <v>39579940</v>
      </c>
      <c r="AY198">
        <v>1</v>
      </c>
      <c r="AZ198">
        <v>0</v>
      </c>
      <c r="BA198">
        <v>190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Y198*Source!I88</f>
        <v>4.8720000000000005E-3</v>
      </c>
      <c r="CY198">
        <f t="shared" si="24"/>
        <v>7590</v>
      </c>
      <c r="CZ198">
        <f t="shared" si="25"/>
        <v>1100</v>
      </c>
      <c r="DA198">
        <f t="shared" si="26"/>
        <v>6.9</v>
      </c>
      <c r="DB198">
        <v>0</v>
      </c>
    </row>
    <row r="199" spans="1:106" x14ac:dyDescent="0.2">
      <c r="A199">
        <f>ROW(Source!A88)</f>
        <v>88</v>
      </c>
      <c r="B199">
        <v>39579451</v>
      </c>
      <c r="C199">
        <v>39579931</v>
      </c>
      <c r="D199">
        <v>36796984</v>
      </c>
      <c r="E199">
        <v>17</v>
      </c>
      <c r="F199">
        <v>1</v>
      </c>
      <c r="G199">
        <v>1</v>
      </c>
      <c r="H199">
        <v>3</v>
      </c>
      <c r="I199" t="s">
        <v>280</v>
      </c>
      <c r="J199" t="s">
        <v>3</v>
      </c>
      <c r="K199" t="s">
        <v>281</v>
      </c>
      <c r="L199">
        <v>1327</v>
      </c>
      <c r="N199">
        <v>1005</v>
      </c>
      <c r="O199" t="s">
        <v>154</v>
      </c>
      <c r="P199" t="s">
        <v>154</v>
      </c>
      <c r="Q199">
        <v>1</v>
      </c>
      <c r="W199">
        <v>0</v>
      </c>
      <c r="X199">
        <v>-732808487</v>
      </c>
      <c r="Y199">
        <v>100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6.9</v>
      </c>
      <c r="AJ199">
        <v>1</v>
      </c>
      <c r="AK199">
        <v>1</v>
      </c>
      <c r="AL199">
        <v>1</v>
      </c>
      <c r="AN199">
        <v>0</v>
      </c>
      <c r="AO199">
        <v>0</v>
      </c>
      <c r="AP199">
        <v>0</v>
      </c>
      <c r="AQ199">
        <v>0</v>
      </c>
      <c r="AR199">
        <v>0</v>
      </c>
      <c r="AS199" t="s">
        <v>3</v>
      </c>
      <c r="AT199">
        <v>100</v>
      </c>
      <c r="AU199" t="s">
        <v>3</v>
      </c>
      <c r="AV199">
        <v>0</v>
      </c>
      <c r="AW199">
        <v>2</v>
      </c>
      <c r="AX199">
        <v>39579941</v>
      </c>
      <c r="AY199">
        <v>1</v>
      </c>
      <c r="AZ199">
        <v>0</v>
      </c>
      <c r="BA199">
        <v>191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Y199*Source!I88</f>
        <v>6.09</v>
      </c>
      <c r="CY199">
        <f t="shared" si="24"/>
        <v>0</v>
      </c>
      <c r="CZ199">
        <f t="shared" si="25"/>
        <v>0</v>
      </c>
      <c r="DA199">
        <f t="shared" si="26"/>
        <v>6.9</v>
      </c>
      <c r="DB199">
        <v>0</v>
      </c>
    </row>
    <row r="200" spans="1:106" x14ac:dyDescent="0.2">
      <c r="A200">
        <f>ROW(Source!A88)</f>
        <v>88</v>
      </c>
      <c r="B200">
        <v>39579451</v>
      </c>
      <c r="C200">
        <v>39579931</v>
      </c>
      <c r="D200">
        <v>36830611</v>
      </c>
      <c r="E200">
        <v>1</v>
      </c>
      <c r="F200">
        <v>1</v>
      </c>
      <c r="G200">
        <v>1</v>
      </c>
      <c r="H200">
        <v>3</v>
      </c>
      <c r="I200" t="s">
        <v>271</v>
      </c>
      <c r="J200" t="s">
        <v>273</v>
      </c>
      <c r="K200" t="s">
        <v>272</v>
      </c>
      <c r="L200">
        <v>1327</v>
      </c>
      <c r="N200">
        <v>1005</v>
      </c>
      <c r="O200" t="s">
        <v>154</v>
      </c>
      <c r="P200" t="s">
        <v>154</v>
      </c>
      <c r="Q200">
        <v>1</v>
      </c>
      <c r="W200">
        <v>0</v>
      </c>
      <c r="X200">
        <v>425018049</v>
      </c>
      <c r="Y200">
        <v>44.827585999999997</v>
      </c>
      <c r="AA200">
        <v>16741.82</v>
      </c>
      <c r="AB200">
        <v>0</v>
      </c>
      <c r="AC200">
        <v>0</v>
      </c>
      <c r="AD200">
        <v>0</v>
      </c>
      <c r="AE200">
        <v>2426.35</v>
      </c>
      <c r="AF200">
        <v>0</v>
      </c>
      <c r="AG200">
        <v>0</v>
      </c>
      <c r="AH200">
        <v>0</v>
      </c>
      <c r="AI200">
        <v>6.9</v>
      </c>
      <c r="AJ200">
        <v>1</v>
      </c>
      <c r="AK200">
        <v>1</v>
      </c>
      <c r="AL200">
        <v>1</v>
      </c>
      <c r="AN200">
        <v>0</v>
      </c>
      <c r="AO200">
        <v>0</v>
      </c>
      <c r="AP200">
        <v>0</v>
      </c>
      <c r="AQ200">
        <v>0</v>
      </c>
      <c r="AR200">
        <v>0</v>
      </c>
      <c r="AS200" t="s">
        <v>3</v>
      </c>
      <c r="AT200">
        <v>44.827585999999997</v>
      </c>
      <c r="AU200" t="s">
        <v>3</v>
      </c>
      <c r="AV200">
        <v>0</v>
      </c>
      <c r="AW200">
        <v>1</v>
      </c>
      <c r="AX200">
        <v>-1</v>
      </c>
      <c r="AY200">
        <v>0</v>
      </c>
      <c r="AZ200">
        <v>0</v>
      </c>
      <c r="BA200" t="s">
        <v>3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Y200*Source!I88</f>
        <v>2.7299999873999998</v>
      </c>
      <c r="CY200">
        <f t="shared" si="24"/>
        <v>16741.82</v>
      </c>
      <c r="CZ200">
        <f t="shared" si="25"/>
        <v>2426.35</v>
      </c>
      <c r="DA200">
        <f t="shared" si="26"/>
        <v>6.9</v>
      </c>
      <c r="DB200">
        <v>0</v>
      </c>
    </row>
    <row r="201" spans="1:106" x14ac:dyDescent="0.2">
      <c r="A201">
        <f>ROW(Source!A88)</f>
        <v>88</v>
      </c>
      <c r="B201">
        <v>39579451</v>
      </c>
      <c r="C201">
        <v>39579931</v>
      </c>
      <c r="D201">
        <v>36830621</v>
      </c>
      <c r="E201">
        <v>1</v>
      </c>
      <c r="F201">
        <v>1</v>
      </c>
      <c r="G201">
        <v>1</v>
      </c>
      <c r="H201">
        <v>3</v>
      </c>
      <c r="I201" t="s">
        <v>275</v>
      </c>
      <c r="J201" t="s">
        <v>277</v>
      </c>
      <c r="K201" t="s">
        <v>276</v>
      </c>
      <c r="L201">
        <v>1327</v>
      </c>
      <c r="N201">
        <v>1005</v>
      </c>
      <c r="O201" t="s">
        <v>154</v>
      </c>
      <c r="P201" t="s">
        <v>154</v>
      </c>
      <c r="Q201">
        <v>1</v>
      </c>
      <c r="W201">
        <v>0</v>
      </c>
      <c r="X201">
        <v>-796608360</v>
      </c>
      <c r="Y201">
        <v>55.172414000000003</v>
      </c>
      <c r="AA201">
        <v>8774.25</v>
      </c>
      <c r="AB201">
        <v>0</v>
      </c>
      <c r="AC201">
        <v>0</v>
      </c>
      <c r="AD201">
        <v>0</v>
      </c>
      <c r="AE201">
        <v>1271.6300000000001</v>
      </c>
      <c r="AF201">
        <v>0</v>
      </c>
      <c r="AG201">
        <v>0</v>
      </c>
      <c r="AH201">
        <v>0</v>
      </c>
      <c r="AI201">
        <v>6.9</v>
      </c>
      <c r="AJ201">
        <v>1</v>
      </c>
      <c r="AK201">
        <v>1</v>
      </c>
      <c r="AL201">
        <v>1</v>
      </c>
      <c r="AN201">
        <v>0</v>
      </c>
      <c r="AO201">
        <v>0</v>
      </c>
      <c r="AP201">
        <v>0</v>
      </c>
      <c r="AQ201">
        <v>0</v>
      </c>
      <c r="AR201">
        <v>0</v>
      </c>
      <c r="AS201" t="s">
        <v>3</v>
      </c>
      <c r="AT201">
        <v>55.172414000000003</v>
      </c>
      <c r="AU201" t="s">
        <v>3</v>
      </c>
      <c r="AV201">
        <v>0</v>
      </c>
      <c r="AW201">
        <v>1</v>
      </c>
      <c r="AX201">
        <v>-1</v>
      </c>
      <c r="AY201">
        <v>0</v>
      </c>
      <c r="AZ201">
        <v>0</v>
      </c>
      <c r="BA201" t="s">
        <v>3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Y201*Source!I88</f>
        <v>3.3600000126000005</v>
      </c>
      <c r="CY201">
        <f t="shared" si="24"/>
        <v>8774.25</v>
      </c>
      <c r="CZ201">
        <f t="shared" si="25"/>
        <v>1271.6300000000001</v>
      </c>
      <c r="DA201">
        <f t="shared" si="26"/>
        <v>6.9</v>
      </c>
      <c r="DB201">
        <v>0</v>
      </c>
    </row>
    <row r="202" spans="1:106" x14ac:dyDescent="0.2">
      <c r="A202">
        <f>ROW(Source!A88)</f>
        <v>88</v>
      </c>
      <c r="B202">
        <v>39579451</v>
      </c>
      <c r="C202">
        <v>39579931</v>
      </c>
      <c r="D202">
        <v>36838798</v>
      </c>
      <c r="E202">
        <v>1</v>
      </c>
      <c r="F202">
        <v>1</v>
      </c>
      <c r="G202">
        <v>1</v>
      </c>
      <c r="H202">
        <v>3</v>
      </c>
      <c r="I202" t="s">
        <v>684</v>
      </c>
      <c r="J202" t="s">
        <v>685</v>
      </c>
      <c r="K202" t="s">
        <v>686</v>
      </c>
      <c r="L202">
        <v>1296</v>
      </c>
      <c r="N202">
        <v>1002</v>
      </c>
      <c r="O202" t="s">
        <v>215</v>
      </c>
      <c r="P202" t="s">
        <v>215</v>
      </c>
      <c r="Q202">
        <v>1</v>
      </c>
      <c r="W202">
        <v>0</v>
      </c>
      <c r="X202">
        <v>-2122226716</v>
      </c>
      <c r="Y202">
        <v>32.4</v>
      </c>
      <c r="AA202">
        <v>323.33</v>
      </c>
      <c r="AB202">
        <v>0</v>
      </c>
      <c r="AC202">
        <v>0</v>
      </c>
      <c r="AD202">
        <v>0</v>
      </c>
      <c r="AE202">
        <v>46.86</v>
      </c>
      <c r="AF202">
        <v>0</v>
      </c>
      <c r="AG202">
        <v>0</v>
      </c>
      <c r="AH202">
        <v>0</v>
      </c>
      <c r="AI202">
        <v>6.9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3</v>
      </c>
      <c r="AT202">
        <v>32.4</v>
      </c>
      <c r="AU202" t="s">
        <v>3</v>
      </c>
      <c r="AV202">
        <v>0</v>
      </c>
      <c r="AW202">
        <v>2</v>
      </c>
      <c r="AX202">
        <v>39579942</v>
      </c>
      <c r="AY202">
        <v>1</v>
      </c>
      <c r="AZ202">
        <v>0</v>
      </c>
      <c r="BA202">
        <v>192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Y202*Source!I88</f>
        <v>1.97316</v>
      </c>
      <c r="CY202">
        <f t="shared" si="24"/>
        <v>323.33</v>
      </c>
      <c r="CZ202">
        <f t="shared" si="25"/>
        <v>46.86</v>
      </c>
      <c r="DA202">
        <f t="shared" si="26"/>
        <v>6.9</v>
      </c>
      <c r="DB202">
        <v>0</v>
      </c>
    </row>
    <row r="203" spans="1:106" x14ac:dyDescent="0.2">
      <c r="A203">
        <f>ROW(Source!A95)</f>
        <v>95</v>
      </c>
      <c r="B203">
        <v>39579451</v>
      </c>
      <c r="C203">
        <v>39579956</v>
      </c>
      <c r="D203">
        <v>37066491</v>
      </c>
      <c r="E203">
        <v>1</v>
      </c>
      <c r="F203">
        <v>1</v>
      </c>
      <c r="G203">
        <v>1</v>
      </c>
      <c r="H203">
        <v>1</v>
      </c>
      <c r="I203" t="s">
        <v>687</v>
      </c>
      <c r="J203" t="s">
        <v>3</v>
      </c>
      <c r="K203" t="s">
        <v>688</v>
      </c>
      <c r="L203">
        <v>1191</v>
      </c>
      <c r="N203">
        <v>1013</v>
      </c>
      <c r="O203" t="s">
        <v>519</v>
      </c>
      <c r="P203" t="s">
        <v>519</v>
      </c>
      <c r="Q203">
        <v>1</v>
      </c>
      <c r="W203">
        <v>0</v>
      </c>
      <c r="X203">
        <v>-228054128</v>
      </c>
      <c r="Y203">
        <v>17.89</v>
      </c>
      <c r="AA203">
        <v>0</v>
      </c>
      <c r="AB203">
        <v>0</v>
      </c>
      <c r="AC203">
        <v>0</v>
      </c>
      <c r="AD203">
        <v>55.34</v>
      </c>
      <c r="AE203">
        <v>0</v>
      </c>
      <c r="AF203">
        <v>0</v>
      </c>
      <c r="AG203">
        <v>0</v>
      </c>
      <c r="AH203">
        <v>8.02</v>
      </c>
      <c r="AI203">
        <v>1</v>
      </c>
      <c r="AJ203">
        <v>1</v>
      </c>
      <c r="AK203">
        <v>1</v>
      </c>
      <c r="AL203">
        <v>6.9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17.89</v>
      </c>
      <c r="AU203" t="s">
        <v>3</v>
      </c>
      <c r="AV203">
        <v>1</v>
      </c>
      <c r="AW203">
        <v>2</v>
      </c>
      <c r="AX203">
        <v>39579957</v>
      </c>
      <c r="AY203">
        <v>1</v>
      </c>
      <c r="AZ203">
        <v>0</v>
      </c>
      <c r="BA203">
        <v>193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Y203*Source!I95</f>
        <v>5.0092000000000008</v>
      </c>
      <c r="CY203">
        <f>AD203</f>
        <v>55.34</v>
      </c>
      <c r="CZ203">
        <f>AH203</f>
        <v>8.02</v>
      </c>
      <c r="DA203">
        <f>AL203</f>
        <v>6.9</v>
      </c>
      <c r="DB203">
        <v>0</v>
      </c>
    </row>
    <row r="204" spans="1:106" x14ac:dyDescent="0.2">
      <c r="A204">
        <f>ROW(Source!A95)</f>
        <v>95</v>
      </c>
      <c r="B204">
        <v>39579451</v>
      </c>
      <c r="C204">
        <v>39579956</v>
      </c>
      <c r="D204">
        <v>37064876</v>
      </c>
      <c r="E204">
        <v>1</v>
      </c>
      <c r="F204">
        <v>1</v>
      </c>
      <c r="G204">
        <v>1</v>
      </c>
      <c r="H204">
        <v>1</v>
      </c>
      <c r="I204" t="s">
        <v>520</v>
      </c>
      <c r="J204" t="s">
        <v>3</v>
      </c>
      <c r="K204" t="s">
        <v>521</v>
      </c>
      <c r="L204">
        <v>1191</v>
      </c>
      <c r="N204">
        <v>1013</v>
      </c>
      <c r="O204" t="s">
        <v>519</v>
      </c>
      <c r="P204" t="s">
        <v>519</v>
      </c>
      <c r="Q204">
        <v>1</v>
      </c>
      <c r="W204">
        <v>0</v>
      </c>
      <c r="X204">
        <v>-1417349443</v>
      </c>
      <c r="Y204">
        <v>0.08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6.9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0.08</v>
      </c>
      <c r="AU204" t="s">
        <v>3</v>
      </c>
      <c r="AV204">
        <v>2</v>
      </c>
      <c r="AW204">
        <v>2</v>
      </c>
      <c r="AX204">
        <v>39579958</v>
      </c>
      <c r="AY204">
        <v>1</v>
      </c>
      <c r="AZ204">
        <v>0</v>
      </c>
      <c r="BA204">
        <v>194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Y204*Source!I95</f>
        <v>2.2400000000000003E-2</v>
      </c>
      <c r="CY204">
        <f>AD204</f>
        <v>0</v>
      </c>
      <c r="CZ204">
        <f>AH204</f>
        <v>0</v>
      </c>
      <c r="DA204">
        <f>AL204</f>
        <v>1</v>
      </c>
      <c r="DB204">
        <v>0</v>
      </c>
    </row>
    <row r="205" spans="1:106" x14ac:dyDescent="0.2">
      <c r="A205">
        <f>ROW(Source!A95)</f>
        <v>95</v>
      </c>
      <c r="B205">
        <v>39579451</v>
      </c>
      <c r="C205">
        <v>39579956</v>
      </c>
      <c r="D205">
        <v>36882452</v>
      </c>
      <c r="E205">
        <v>1</v>
      </c>
      <c r="F205">
        <v>1</v>
      </c>
      <c r="G205">
        <v>1</v>
      </c>
      <c r="H205">
        <v>2</v>
      </c>
      <c r="I205" t="s">
        <v>522</v>
      </c>
      <c r="J205" t="s">
        <v>523</v>
      </c>
      <c r="K205" t="s">
        <v>524</v>
      </c>
      <c r="L205">
        <v>1368</v>
      </c>
      <c r="N205">
        <v>1011</v>
      </c>
      <c r="O205" t="s">
        <v>525</v>
      </c>
      <c r="P205" t="s">
        <v>525</v>
      </c>
      <c r="Q205">
        <v>1</v>
      </c>
      <c r="W205">
        <v>0</v>
      </c>
      <c r="X205">
        <v>1188625873</v>
      </c>
      <c r="Y205">
        <v>0.08</v>
      </c>
      <c r="AA205">
        <v>0</v>
      </c>
      <c r="AB205">
        <v>215.69</v>
      </c>
      <c r="AC205">
        <v>13.5</v>
      </c>
      <c r="AD205">
        <v>0</v>
      </c>
      <c r="AE205">
        <v>0</v>
      </c>
      <c r="AF205">
        <v>31.26</v>
      </c>
      <c r="AG205">
        <v>13.5</v>
      </c>
      <c r="AH205">
        <v>0</v>
      </c>
      <c r="AI205">
        <v>1</v>
      </c>
      <c r="AJ205">
        <v>6.9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0.08</v>
      </c>
      <c r="AU205" t="s">
        <v>3</v>
      </c>
      <c r="AV205">
        <v>0</v>
      </c>
      <c r="AW205">
        <v>2</v>
      </c>
      <c r="AX205">
        <v>39579959</v>
      </c>
      <c r="AY205">
        <v>1</v>
      </c>
      <c r="AZ205">
        <v>0</v>
      </c>
      <c r="BA205">
        <v>195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Y205*Source!I95</f>
        <v>2.2400000000000003E-2</v>
      </c>
      <c r="CY205">
        <f>AB205</f>
        <v>215.69</v>
      </c>
      <c r="CZ205">
        <f>AF205</f>
        <v>31.26</v>
      </c>
      <c r="DA205">
        <f>AJ205</f>
        <v>6.9</v>
      </c>
      <c r="DB205">
        <v>0</v>
      </c>
    </row>
    <row r="206" spans="1:106" x14ac:dyDescent="0.2">
      <c r="A206">
        <f>ROW(Source!A96)</f>
        <v>96</v>
      </c>
      <c r="B206">
        <v>39579451</v>
      </c>
      <c r="C206">
        <v>39579960</v>
      </c>
      <c r="D206">
        <v>37080781</v>
      </c>
      <c r="E206">
        <v>1</v>
      </c>
      <c r="F206">
        <v>1</v>
      </c>
      <c r="G206">
        <v>1</v>
      </c>
      <c r="H206">
        <v>1</v>
      </c>
      <c r="I206" t="s">
        <v>689</v>
      </c>
      <c r="J206" t="s">
        <v>3</v>
      </c>
      <c r="K206" t="s">
        <v>690</v>
      </c>
      <c r="L206">
        <v>1191</v>
      </c>
      <c r="N206">
        <v>1013</v>
      </c>
      <c r="O206" t="s">
        <v>519</v>
      </c>
      <c r="P206" t="s">
        <v>519</v>
      </c>
      <c r="Q206">
        <v>1</v>
      </c>
      <c r="W206">
        <v>0</v>
      </c>
      <c r="X206">
        <v>912892513</v>
      </c>
      <c r="Y206">
        <v>94.4</v>
      </c>
      <c r="AA206">
        <v>0</v>
      </c>
      <c r="AB206">
        <v>0</v>
      </c>
      <c r="AC206">
        <v>0</v>
      </c>
      <c r="AD206">
        <v>68.45</v>
      </c>
      <c r="AE206">
        <v>0</v>
      </c>
      <c r="AF206">
        <v>0</v>
      </c>
      <c r="AG206">
        <v>0</v>
      </c>
      <c r="AH206">
        <v>9.92</v>
      </c>
      <c r="AI206">
        <v>1</v>
      </c>
      <c r="AJ206">
        <v>1</v>
      </c>
      <c r="AK206">
        <v>1</v>
      </c>
      <c r="AL206">
        <v>6.9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94.4</v>
      </c>
      <c r="AU206" t="s">
        <v>3</v>
      </c>
      <c r="AV206">
        <v>1</v>
      </c>
      <c r="AW206">
        <v>2</v>
      </c>
      <c r="AX206">
        <v>39579961</v>
      </c>
      <c r="AY206">
        <v>1</v>
      </c>
      <c r="AZ206">
        <v>0</v>
      </c>
      <c r="BA206">
        <v>196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Y206*Source!I96</f>
        <v>26.432000000000006</v>
      </c>
      <c r="CY206">
        <f>AD206</f>
        <v>68.45</v>
      </c>
      <c r="CZ206">
        <f>AH206</f>
        <v>9.92</v>
      </c>
      <c r="DA206">
        <f>AL206</f>
        <v>6.9</v>
      </c>
      <c r="DB206">
        <v>0</v>
      </c>
    </row>
    <row r="207" spans="1:106" x14ac:dyDescent="0.2">
      <c r="A207">
        <f>ROW(Source!A96)</f>
        <v>96</v>
      </c>
      <c r="B207">
        <v>39579451</v>
      </c>
      <c r="C207">
        <v>39579960</v>
      </c>
      <c r="D207">
        <v>37064876</v>
      </c>
      <c r="E207">
        <v>1</v>
      </c>
      <c r="F207">
        <v>1</v>
      </c>
      <c r="G207">
        <v>1</v>
      </c>
      <c r="H207">
        <v>1</v>
      </c>
      <c r="I207" t="s">
        <v>520</v>
      </c>
      <c r="J207" t="s">
        <v>3</v>
      </c>
      <c r="K207" t="s">
        <v>521</v>
      </c>
      <c r="L207">
        <v>1191</v>
      </c>
      <c r="N207">
        <v>1013</v>
      </c>
      <c r="O207" t="s">
        <v>519</v>
      </c>
      <c r="P207" t="s">
        <v>519</v>
      </c>
      <c r="Q207">
        <v>1</v>
      </c>
      <c r="W207">
        <v>0</v>
      </c>
      <c r="X207">
        <v>-1417349443</v>
      </c>
      <c r="Y207">
        <v>0.4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6.9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0.4</v>
      </c>
      <c r="AU207" t="s">
        <v>3</v>
      </c>
      <c r="AV207">
        <v>2</v>
      </c>
      <c r="AW207">
        <v>2</v>
      </c>
      <c r="AX207">
        <v>39579962</v>
      </c>
      <c r="AY207">
        <v>1</v>
      </c>
      <c r="AZ207">
        <v>0</v>
      </c>
      <c r="BA207">
        <v>197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Y207*Source!I96</f>
        <v>0.11200000000000002</v>
      </c>
      <c r="CY207">
        <f>AD207</f>
        <v>0</v>
      </c>
      <c r="CZ207">
        <f>AH207</f>
        <v>0</v>
      </c>
      <c r="DA207">
        <f>AL207</f>
        <v>1</v>
      </c>
      <c r="DB207">
        <v>0</v>
      </c>
    </row>
    <row r="208" spans="1:106" x14ac:dyDescent="0.2">
      <c r="A208">
        <f>ROW(Source!A96)</f>
        <v>96</v>
      </c>
      <c r="B208">
        <v>39579451</v>
      </c>
      <c r="C208">
        <v>39579960</v>
      </c>
      <c r="D208">
        <v>36882159</v>
      </c>
      <c r="E208">
        <v>1</v>
      </c>
      <c r="F208">
        <v>1</v>
      </c>
      <c r="G208">
        <v>1</v>
      </c>
      <c r="H208">
        <v>2</v>
      </c>
      <c r="I208" t="s">
        <v>620</v>
      </c>
      <c r="J208" t="s">
        <v>621</v>
      </c>
      <c r="K208" t="s">
        <v>622</v>
      </c>
      <c r="L208">
        <v>1368</v>
      </c>
      <c r="N208">
        <v>1011</v>
      </c>
      <c r="O208" t="s">
        <v>525</v>
      </c>
      <c r="P208" t="s">
        <v>525</v>
      </c>
      <c r="Q208">
        <v>1</v>
      </c>
      <c r="W208">
        <v>0</v>
      </c>
      <c r="X208">
        <v>-1718674368</v>
      </c>
      <c r="Y208">
        <v>0.2</v>
      </c>
      <c r="AA208">
        <v>0</v>
      </c>
      <c r="AB208">
        <v>772.73</v>
      </c>
      <c r="AC208">
        <v>13.5</v>
      </c>
      <c r="AD208">
        <v>0</v>
      </c>
      <c r="AE208">
        <v>0</v>
      </c>
      <c r="AF208">
        <v>111.99</v>
      </c>
      <c r="AG208">
        <v>13.5</v>
      </c>
      <c r="AH208">
        <v>0</v>
      </c>
      <c r="AI208">
        <v>1</v>
      </c>
      <c r="AJ208">
        <v>6.9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0.2</v>
      </c>
      <c r="AU208" t="s">
        <v>3</v>
      </c>
      <c r="AV208">
        <v>0</v>
      </c>
      <c r="AW208">
        <v>2</v>
      </c>
      <c r="AX208">
        <v>39579963</v>
      </c>
      <c r="AY208">
        <v>1</v>
      </c>
      <c r="AZ208">
        <v>0</v>
      </c>
      <c r="BA208">
        <v>198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Y208*Source!I96</f>
        <v>5.6000000000000008E-2</v>
      </c>
      <c r="CY208">
        <f>AB208</f>
        <v>772.73</v>
      </c>
      <c r="CZ208">
        <f>AF208</f>
        <v>111.99</v>
      </c>
      <c r="DA208">
        <f>AJ208</f>
        <v>6.9</v>
      </c>
      <c r="DB208">
        <v>0</v>
      </c>
    </row>
    <row r="209" spans="1:106" x14ac:dyDescent="0.2">
      <c r="A209">
        <f>ROW(Source!A96)</f>
        <v>96</v>
      </c>
      <c r="B209">
        <v>39579451</v>
      </c>
      <c r="C209">
        <v>39579960</v>
      </c>
      <c r="D209">
        <v>36883554</v>
      </c>
      <c r="E209">
        <v>1</v>
      </c>
      <c r="F209">
        <v>1</v>
      </c>
      <c r="G209">
        <v>1</v>
      </c>
      <c r="H209">
        <v>2</v>
      </c>
      <c r="I209" t="s">
        <v>526</v>
      </c>
      <c r="J209" t="s">
        <v>527</v>
      </c>
      <c r="K209" t="s">
        <v>528</v>
      </c>
      <c r="L209">
        <v>1368</v>
      </c>
      <c r="N209">
        <v>1011</v>
      </c>
      <c r="O209" t="s">
        <v>525</v>
      </c>
      <c r="P209" t="s">
        <v>525</v>
      </c>
      <c r="Q209">
        <v>1</v>
      </c>
      <c r="W209">
        <v>0</v>
      </c>
      <c r="X209">
        <v>1372534845</v>
      </c>
      <c r="Y209">
        <v>0.2</v>
      </c>
      <c r="AA209">
        <v>0</v>
      </c>
      <c r="AB209">
        <v>453.4</v>
      </c>
      <c r="AC209">
        <v>11.6</v>
      </c>
      <c r="AD209">
        <v>0</v>
      </c>
      <c r="AE209">
        <v>0</v>
      </c>
      <c r="AF209">
        <v>65.709999999999994</v>
      </c>
      <c r="AG209">
        <v>11.6</v>
      </c>
      <c r="AH209">
        <v>0</v>
      </c>
      <c r="AI209">
        <v>1</v>
      </c>
      <c r="AJ209">
        <v>6.9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0.2</v>
      </c>
      <c r="AU209" t="s">
        <v>3</v>
      </c>
      <c r="AV209">
        <v>0</v>
      </c>
      <c r="AW209">
        <v>2</v>
      </c>
      <c r="AX209">
        <v>39579964</v>
      </c>
      <c r="AY209">
        <v>1</v>
      </c>
      <c r="AZ209">
        <v>0</v>
      </c>
      <c r="BA209">
        <v>199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Y209*Source!I96</f>
        <v>5.6000000000000008E-2</v>
      </c>
      <c r="CY209">
        <f>AB209</f>
        <v>453.4</v>
      </c>
      <c r="CZ209">
        <f>AF209</f>
        <v>65.709999999999994</v>
      </c>
      <c r="DA209">
        <f>AJ209</f>
        <v>6.9</v>
      </c>
      <c r="DB209">
        <v>0</v>
      </c>
    </row>
    <row r="210" spans="1:106" x14ac:dyDescent="0.2">
      <c r="A210">
        <f>ROW(Source!A96)</f>
        <v>96</v>
      </c>
      <c r="B210">
        <v>39579451</v>
      </c>
      <c r="C210">
        <v>39579960</v>
      </c>
      <c r="D210">
        <v>36854359</v>
      </c>
      <c r="E210">
        <v>1</v>
      </c>
      <c r="F210">
        <v>1</v>
      </c>
      <c r="G210">
        <v>1</v>
      </c>
      <c r="H210">
        <v>3</v>
      </c>
      <c r="I210" t="s">
        <v>297</v>
      </c>
      <c r="J210" t="s">
        <v>299</v>
      </c>
      <c r="K210" t="s">
        <v>298</v>
      </c>
      <c r="L210">
        <v>1354</v>
      </c>
      <c r="N210">
        <v>1010</v>
      </c>
      <c r="O210" t="s">
        <v>189</v>
      </c>
      <c r="P210" t="s">
        <v>189</v>
      </c>
      <c r="Q210">
        <v>1</v>
      </c>
      <c r="W210">
        <v>0</v>
      </c>
      <c r="X210">
        <v>1531753992</v>
      </c>
      <c r="Y210">
        <v>100</v>
      </c>
      <c r="AA210">
        <v>2348.5500000000002</v>
      </c>
      <c r="AB210">
        <v>0</v>
      </c>
      <c r="AC210">
        <v>0</v>
      </c>
      <c r="AD210">
        <v>0</v>
      </c>
      <c r="AE210">
        <v>340.37</v>
      </c>
      <c r="AF210">
        <v>0</v>
      </c>
      <c r="AG210">
        <v>0</v>
      </c>
      <c r="AH210">
        <v>0</v>
      </c>
      <c r="AI210">
        <v>6.9</v>
      </c>
      <c r="AJ210">
        <v>1</v>
      </c>
      <c r="AK210">
        <v>1</v>
      </c>
      <c r="AL210">
        <v>1</v>
      </c>
      <c r="AN210">
        <v>0</v>
      </c>
      <c r="AO210">
        <v>0</v>
      </c>
      <c r="AP210">
        <v>0</v>
      </c>
      <c r="AQ210">
        <v>0</v>
      </c>
      <c r="AR210">
        <v>0</v>
      </c>
      <c r="AS210" t="s">
        <v>3</v>
      </c>
      <c r="AT210">
        <v>100</v>
      </c>
      <c r="AU210" t="s">
        <v>3</v>
      </c>
      <c r="AV210">
        <v>0</v>
      </c>
      <c r="AW210">
        <v>1</v>
      </c>
      <c r="AX210">
        <v>-1</v>
      </c>
      <c r="AY210">
        <v>0</v>
      </c>
      <c r="AZ210">
        <v>0</v>
      </c>
      <c r="BA210" t="s">
        <v>3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Y210*Source!I96</f>
        <v>28.000000000000004</v>
      </c>
      <c r="CY210">
        <f>AA210</f>
        <v>2348.5500000000002</v>
      </c>
      <c r="CZ210">
        <f>AE210</f>
        <v>340.37</v>
      </c>
      <c r="DA210">
        <f>AI210</f>
        <v>6.9</v>
      </c>
      <c r="DB210">
        <v>0</v>
      </c>
    </row>
    <row r="211" spans="1:106" x14ac:dyDescent="0.2">
      <c r="A211">
        <f>ROW(Source!A96)</f>
        <v>96</v>
      </c>
      <c r="B211">
        <v>39579451</v>
      </c>
      <c r="C211">
        <v>39579960</v>
      </c>
      <c r="D211">
        <v>36855778</v>
      </c>
      <c r="E211">
        <v>1</v>
      </c>
      <c r="F211">
        <v>1</v>
      </c>
      <c r="G211">
        <v>1</v>
      </c>
      <c r="H211">
        <v>3</v>
      </c>
      <c r="I211" t="s">
        <v>691</v>
      </c>
      <c r="J211" t="s">
        <v>692</v>
      </c>
      <c r="K211" t="s">
        <v>693</v>
      </c>
      <c r="L211">
        <v>1355</v>
      </c>
      <c r="N211">
        <v>1010</v>
      </c>
      <c r="O211" t="s">
        <v>360</v>
      </c>
      <c r="P211" t="s">
        <v>360</v>
      </c>
      <c r="Q211">
        <v>100</v>
      </c>
      <c r="W211">
        <v>0</v>
      </c>
      <c r="X211">
        <v>783817326</v>
      </c>
      <c r="Y211">
        <v>1.02</v>
      </c>
      <c r="AA211">
        <v>690</v>
      </c>
      <c r="AB211">
        <v>0</v>
      </c>
      <c r="AC211">
        <v>0</v>
      </c>
      <c r="AD211">
        <v>0</v>
      </c>
      <c r="AE211">
        <v>100</v>
      </c>
      <c r="AF211">
        <v>0</v>
      </c>
      <c r="AG211">
        <v>0</v>
      </c>
      <c r="AH211">
        <v>0</v>
      </c>
      <c r="AI211">
        <v>6.9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1.02</v>
      </c>
      <c r="AU211" t="s">
        <v>3</v>
      </c>
      <c r="AV211">
        <v>0</v>
      </c>
      <c r="AW211">
        <v>2</v>
      </c>
      <c r="AX211">
        <v>39579965</v>
      </c>
      <c r="AY211">
        <v>1</v>
      </c>
      <c r="AZ211">
        <v>0</v>
      </c>
      <c r="BA211">
        <v>200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Y211*Source!I96</f>
        <v>0.28560000000000002</v>
      </c>
      <c r="CY211">
        <f>AA211</f>
        <v>690</v>
      </c>
      <c r="CZ211">
        <f>AE211</f>
        <v>100</v>
      </c>
      <c r="DA211">
        <f>AI211</f>
        <v>6.9</v>
      </c>
      <c r="DB211">
        <v>0</v>
      </c>
    </row>
    <row r="212" spans="1:106" x14ac:dyDescent="0.2">
      <c r="A212">
        <f>ROW(Source!A96)</f>
        <v>96</v>
      </c>
      <c r="B212">
        <v>39579451</v>
      </c>
      <c r="C212">
        <v>39579960</v>
      </c>
      <c r="D212">
        <v>36799065</v>
      </c>
      <c r="E212">
        <v>17</v>
      </c>
      <c r="F212">
        <v>1</v>
      </c>
      <c r="G212">
        <v>1</v>
      </c>
      <c r="H212">
        <v>3</v>
      </c>
      <c r="I212" t="s">
        <v>694</v>
      </c>
      <c r="J212" t="s">
        <v>3</v>
      </c>
      <c r="K212" t="s">
        <v>695</v>
      </c>
      <c r="L212">
        <v>1374</v>
      </c>
      <c r="N212">
        <v>1013</v>
      </c>
      <c r="O212" t="s">
        <v>696</v>
      </c>
      <c r="P212" t="s">
        <v>696</v>
      </c>
      <c r="Q212">
        <v>1</v>
      </c>
      <c r="W212">
        <v>0</v>
      </c>
      <c r="X212">
        <v>-1731369543</v>
      </c>
      <c r="Y212">
        <v>18.73</v>
      </c>
      <c r="AA212">
        <v>1</v>
      </c>
      <c r="AB212">
        <v>0</v>
      </c>
      <c r="AC212">
        <v>0</v>
      </c>
      <c r="AD212">
        <v>0</v>
      </c>
      <c r="AE212">
        <v>1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18.73</v>
      </c>
      <c r="AU212" t="s">
        <v>3</v>
      </c>
      <c r="AV212">
        <v>0</v>
      </c>
      <c r="AW212">
        <v>2</v>
      </c>
      <c r="AX212">
        <v>39579966</v>
      </c>
      <c r="AY212">
        <v>1</v>
      </c>
      <c r="AZ212">
        <v>0</v>
      </c>
      <c r="BA212">
        <v>201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Y212*Source!I96</f>
        <v>5.2444000000000006</v>
      </c>
      <c r="CY212">
        <f>AA212</f>
        <v>1</v>
      </c>
      <c r="CZ212">
        <f>AE212</f>
        <v>1</v>
      </c>
      <c r="DA212">
        <f>AI212</f>
        <v>1</v>
      </c>
      <c r="DB212">
        <v>0</v>
      </c>
    </row>
    <row r="213" spans="1:106" x14ac:dyDescent="0.2">
      <c r="A213">
        <f>ROW(Source!A98)</f>
        <v>98</v>
      </c>
      <c r="B213">
        <v>39579451</v>
      </c>
      <c r="C213">
        <v>39580485</v>
      </c>
      <c r="D213">
        <v>37072767</v>
      </c>
      <c r="E213">
        <v>1</v>
      </c>
      <c r="F213">
        <v>1</v>
      </c>
      <c r="G213">
        <v>1</v>
      </c>
      <c r="H213">
        <v>1</v>
      </c>
      <c r="I213" t="s">
        <v>583</v>
      </c>
      <c r="J213" t="s">
        <v>3</v>
      </c>
      <c r="K213" t="s">
        <v>584</v>
      </c>
      <c r="L213">
        <v>1191</v>
      </c>
      <c r="N213">
        <v>1013</v>
      </c>
      <c r="O213" t="s">
        <v>519</v>
      </c>
      <c r="P213" t="s">
        <v>519</v>
      </c>
      <c r="Q213">
        <v>1</v>
      </c>
      <c r="W213">
        <v>0</v>
      </c>
      <c r="X213">
        <v>-1027537862</v>
      </c>
      <c r="Y213">
        <v>15.2</v>
      </c>
      <c r="AA213">
        <v>0</v>
      </c>
      <c r="AB213">
        <v>0</v>
      </c>
      <c r="AC213">
        <v>0</v>
      </c>
      <c r="AD213">
        <v>63.34</v>
      </c>
      <c r="AE213">
        <v>0</v>
      </c>
      <c r="AF213">
        <v>0</v>
      </c>
      <c r="AG213">
        <v>0</v>
      </c>
      <c r="AH213">
        <v>9.18</v>
      </c>
      <c r="AI213">
        <v>1</v>
      </c>
      <c r="AJ213">
        <v>1</v>
      </c>
      <c r="AK213">
        <v>1</v>
      </c>
      <c r="AL213">
        <v>6.9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3</v>
      </c>
      <c r="AT213">
        <v>15.2</v>
      </c>
      <c r="AU213" t="s">
        <v>3</v>
      </c>
      <c r="AV213">
        <v>1</v>
      </c>
      <c r="AW213">
        <v>2</v>
      </c>
      <c r="AX213">
        <v>39580486</v>
      </c>
      <c r="AY213">
        <v>1</v>
      </c>
      <c r="AZ213">
        <v>0</v>
      </c>
      <c r="BA213">
        <v>202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Y213*Source!I98</f>
        <v>22.495999999999999</v>
      </c>
      <c r="CY213">
        <f>AD213</f>
        <v>63.34</v>
      </c>
      <c r="CZ213">
        <f>AH213</f>
        <v>9.18</v>
      </c>
      <c r="DA213">
        <f>AL213</f>
        <v>6.9</v>
      </c>
      <c r="DB213">
        <v>0</v>
      </c>
    </row>
    <row r="214" spans="1:106" x14ac:dyDescent="0.2">
      <c r="A214">
        <f>ROW(Source!A98)</f>
        <v>98</v>
      </c>
      <c r="B214">
        <v>39579451</v>
      </c>
      <c r="C214">
        <v>39580485</v>
      </c>
      <c r="D214">
        <v>36804661</v>
      </c>
      <c r="E214">
        <v>1</v>
      </c>
      <c r="F214">
        <v>1</v>
      </c>
      <c r="G214">
        <v>1</v>
      </c>
      <c r="H214">
        <v>3</v>
      </c>
      <c r="I214" t="s">
        <v>541</v>
      </c>
      <c r="J214" t="s">
        <v>542</v>
      </c>
      <c r="K214" t="s">
        <v>543</v>
      </c>
      <c r="L214">
        <v>1355</v>
      </c>
      <c r="N214">
        <v>1010</v>
      </c>
      <c r="O214" t="s">
        <v>360</v>
      </c>
      <c r="P214" t="s">
        <v>360</v>
      </c>
      <c r="Q214">
        <v>100</v>
      </c>
      <c r="W214">
        <v>0</v>
      </c>
      <c r="X214">
        <v>1135215184</v>
      </c>
      <c r="Y214">
        <v>1.75</v>
      </c>
      <c r="AA214">
        <v>55.2</v>
      </c>
      <c r="AB214">
        <v>0</v>
      </c>
      <c r="AC214">
        <v>0</v>
      </c>
      <c r="AD214">
        <v>0</v>
      </c>
      <c r="AE214">
        <v>8</v>
      </c>
      <c r="AF214">
        <v>0</v>
      </c>
      <c r="AG214">
        <v>0</v>
      </c>
      <c r="AH214">
        <v>0</v>
      </c>
      <c r="AI214">
        <v>6.9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1.75</v>
      </c>
      <c r="AU214" t="s">
        <v>3</v>
      </c>
      <c r="AV214">
        <v>0</v>
      </c>
      <c r="AW214">
        <v>2</v>
      </c>
      <c r="AX214">
        <v>39580487</v>
      </c>
      <c r="AY214">
        <v>1</v>
      </c>
      <c r="AZ214">
        <v>0</v>
      </c>
      <c r="BA214">
        <v>203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Y214*Source!I98</f>
        <v>2.59</v>
      </c>
      <c r="CY214">
        <f>AA214</f>
        <v>55.2</v>
      </c>
      <c r="CZ214">
        <f>AE214</f>
        <v>8</v>
      </c>
      <c r="DA214">
        <f>AI214</f>
        <v>6.9</v>
      </c>
      <c r="DB214">
        <v>0</v>
      </c>
    </row>
    <row r="215" spans="1:106" x14ac:dyDescent="0.2">
      <c r="A215">
        <f>ROW(Source!A98)</f>
        <v>98</v>
      </c>
      <c r="B215">
        <v>39579451</v>
      </c>
      <c r="C215">
        <v>39580485</v>
      </c>
      <c r="D215">
        <v>36867816</v>
      </c>
      <c r="E215">
        <v>1</v>
      </c>
      <c r="F215">
        <v>1</v>
      </c>
      <c r="G215">
        <v>1</v>
      </c>
      <c r="H215">
        <v>3</v>
      </c>
      <c r="I215" t="s">
        <v>305</v>
      </c>
      <c r="J215" t="s">
        <v>308</v>
      </c>
      <c r="K215" t="s">
        <v>306</v>
      </c>
      <c r="L215">
        <v>1302</v>
      </c>
      <c r="N215">
        <v>1003</v>
      </c>
      <c r="O215" t="s">
        <v>307</v>
      </c>
      <c r="P215" t="s">
        <v>307</v>
      </c>
      <c r="Q215">
        <v>10</v>
      </c>
      <c r="W215">
        <v>0</v>
      </c>
      <c r="X215">
        <v>-595881781</v>
      </c>
      <c r="Y215">
        <v>10</v>
      </c>
      <c r="AA215">
        <v>146.28</v>
      </c>
      <c r="AB215">
        <v>0</v>
      </c>
      <c r="AC215">
        <v>0</v>
      </c>
      <c r="AD215">
        <v>0</v>
      </c>
      <c r="AE215">
        <v>21.2</v>
      </c>
      <c r="AF215">
        <v>0</v>
      </c>
      <c r="AG215">
        <v>0</v>
      </c>
      <c r="AH215">
        <v>0</v>
      </c>
      <c r="AI215">
        <v>6.9</v>
      </c>
      <c r="AJ215">
        <v>1</v>
      </c>
      <c r="AK215">
        <v>1</v>
      </c>
      <c r="AL215">
        <v>1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3</v>
      </c>
      <c r="AT215">
        <v>10</v>
      </c>
      <c r="AU215" t="s">
        <v>3</v>
      </c>
      <c r="AV215">
        <v>0</v>
      </c>
      <c r="AW215">
        <v>1</v>
      </c>
      <c r="AX215">
        <v>-1</v>
      </c>
      <c r="AY215">
        <v>0</v>
      </c>
      <c r="AZ215">
        <v>0</v>
      </c>
      <c r="BA215" t="s">
        <v>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Y215*Source!I98</f>
        <v>14.8</v>
      </c>
      <c r="CY215">
        <f>AA215</f>
        <v>146.28</v>
      </c>
      <c r="CZ215">
        <f>AE215</f>
        <v>21.2</v>
      </c>
      <c r="DA215">
        <f>AI215</f>
        <v>6.9</v>
      </c>
      <c r="DB215">
        <v>0</v>
      </c>
    </row>
    <row r="216" spans="1:106" x14ac:dyDescent="0.2">
      <c r="A216">
        <f>ROW(Source!A98)</f>
        <v>98</v>
      </c>
      <c r="B216">
        <v>39579451</v>
      </c>
      <c r="C216">
        <v>39580485</v>
      </c>
      <c r="D216">
        <v>36799065</v>
      </c>
      <c r="E216">
        <v>17</v>
      </c>
      <c r="F216">
        <v>1</v>
      </c>
      <c r="G216">
        <v>1</v>
      </c>
      <c r="H216">
        <v>3</v>
      </c>
      <c r="I216" t="s">
        <v>694</v>
      </c>
      <c r="J216" t="s">
        <v>3</v>
      </c>
      <c r="K216" t="s">
        <v>695</v>
      </c>
      <c r="L216">
        <v>1374</v>
      </c>
      <c r="N216">
        <v>1013</v>
      </c>
      <c r="O216" t="s">
        <v>696</v>
      </c>
      <c r="P216" t="s">
        <v>696</v>
      </c>
      <c r="Q216">
        <v>1</v>
      </c>
      <c r="W216">
        <v>0</v>
      </c>
      <c r="X216">
        <v>-1731369543</v>
      </c>
      <c r="Y216">
        <v>2.79</v>
      </c>
      <c r="AA216">
        <v>1</v>
      </c>
      <c r="AB216">
        <v>0</v>
      </c>
      <c r="AC216">
        <v>0</v>
      </c>
      <c r="AD216">
        <v>0</v>
      </c>
      <c r="AE216">
        <v>1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3</v>
      </c>
      <c r="AT216">
        <v>2.79</v>
      </c>
      <c r="AU216" t="s">
        <v>3</v>
      </c>
      <c r="AV216">
        <v>0</v>
      </c>
      <c r="AW216">
        <v>2</v>
      </c>
      <c r="AX216">
        <v>39580488</v>
      </c>
      <c r="AY216">
        <v>1</v>
      </c>
      <c r="AZ216">
        <v>0</v>
      </c>
      <c r="BA216">
        <v>204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Y216*Source!I98</f>
        <v>4.1292</v>
      </c>
      <c r="CY216">
        <f>AA216</f>
        <v>1</v>
      </c>
      <c r="CZ216">
        <f>AE216</f>
        <v>1</v>
      </c>
      <c r="DA216">
        <f>AI216</f>
        <v>1</v>
      </c>
      <c r="DB216">
        <v>0</v>
      </c>
    </row>
    <row r="217" spans="1:106" x14ac:dyDescent="0.2">
      <c r="A217">
        <f>ROW(Source!A100)</f>
        <v>100</v>
      </c>
      <c r="B217">
        <v>39579451</v>
      </c>
      <c r="C217">
        <v>39579970</v>
      </c>
      <c r="D217">
        <v>37064878</v>
      </c>
      <c r="E217">
        <v>1</v>
      </c>
      <c r="F217">
        <v>1</v>
      </c>
      <c r="G217">
        <v>1</v>
      </c>
      <c r="H217">
        <v>1</v>
      </c>
      <c r="I217" t="s">
        <v>517</v>
      </c>
      <c r="J217" t="s">
        <v>3</v>
      </c>
      <c r="K217" t="s">
        <v>518</v>
      </c>
      <c r="L217">
        <v>1191</v>
      </c>
      <c r="N217">
        <v>1013</v>
      </c>
      <c r="O217" t="s">
        <v>519</v>
      </c>
      <c r="P217" t="s">
        <v>519</v>
      </c>
      <c r="Q217">
        <v>1</v>
      </c>
      <c r="W217">
        <v>0</v>
      </c>
      <c r="X217">
        <v>-1081351934</v>
      </c>
      <c r="Y217">
        <v>6.29</v>
      </c>
      <c r="AA217">
        <v>0</v>
      </c>
      <c r="AB217">
        <v>0</v>
      </c>
      <c r="AC217">
        <v>0</v>
      </c>
      <c r="AD217">
        <v>64.86</v>
      </c>
      <c r="AE217">
        <v>0</v>
      </c>
      <c r="AF217">
        <v>0</v>
      </c>
      <c r="AG217">
        <v>0</v>
      </c>
      <c r="AH217">
        <v>9.4</v>
      </c>
      <c r="AI217">
        <v>1</v>
      </c>
      <c r="AJ217">
        <v>1</v>
      </c>
      <c r="AK217">
        <v>1</v>
      </c>
      <c r="AL217">
        <v>6.9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6.29</v>
      </c>
      <c r="AU217" t="s">
        <v>3</v>
      </c>
      <c r="AV217">
        <v>1</v>
      </c>
      <c r="AW217">
        <v>2</v>
      </c>
      <c r="AX217">
        <v>39579971</v>
      </c>
      <c r="AY217">
        <v>1</v>
      </c>
      <c r="AZ217">
        <v>0</v>
      </c>
      <c r="BA217">
        <v>205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Y217*Source!I100</f>
        <v>8.0511999999999997</v>
      </c>
      <c r="CY217">
        <f>AD217</f>
        <v>64.86</v>
      </c>
      <c r="CZ217">
        <f>AH217</f>
        <v>9.4</v>
      </c>
      <c r="DA217">
        <f>AL217</f>
        <v>6.9</v>
      </c>
      <c r="DB217">
        <v>0</v>
      </c>
    </row>
    <row r="218" spans="1:106" x14ac:dyDescent="0.2">
      <c r="A218">
        <f>ROW(Source!A100)</f>
        <v>100</v>
      </c>
      <c r="B218">
        <v>39579451</v>
      </c>
      <c r="C218">
        <v>39579970</v>
      </c>
      <c r="D218">
        <v>37064876</v>
      </c>
      <c r="E218">
        <v>1</v>
      </c>
      <c r="F218">
        <v>1</v>
      </c>
      <c r="G218">
        <v>1</v>
      </c>
      <c r="H218">
        <v>1</v>
      </c>
      <c r="I218" t="s">
        <v>520</v>
      </c>
      <c r="J218" t="s">
        <v>3</v>
      </c>
      <c r="K218" t="s">
        <v>521</v>
      </c>
      <c r="L218">
        <v>1191</v>
      </c>
      <c r="N218">
        <v>1013</v>
      </c>
      <c r="O218" t="s">
        <v>519</v>
      </c>
      <c r="P218" t="s">
        <v>519</v>
      </c>
      <c r="Q218">
        <v>1</v>
      </c>
      <c r="W218">
        <v>0</v>
      </c>
      <c r="X218">
        <v>-1417349443</v>
      </c>
      <c r="Y218">
        <v>0.06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6.9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0.06</v>
      </c>
      <c r="AU218" t="s">
        <v>3</v>
      </c>
      <c r="AV218">
        <v>2</v>
      </c>
      <c r="AW218">
        <v>2</v>
      </c>
      <c r="AX218">
        <v>39579972</v>
      </c>
      <c r="AY218">
        <v>1</v>
      </c>
      <c r="AZ218">
        <v>0</v>
      </c>
      <c r="BA218">
        <v>206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Y218*Source!I100</f>
        <v>7.6799999999999993E-2</v>
      </c>
      <c r="CY218">
        <f>AD218</f>
        <v>0</v>
      </c>
      <c r="CZ218">
        <f>AH218</f>
        <v>0</v>
      </c>
      <c r="DA218">
        <f>AL218</f>
        <v>1</v>
      </c>
      <c r="DB218">
        <v>0</v>
      </c>
    </row>
    <row r="219" spans="1:106" x14ac:dyDescent="0.2">
      <c r="A219">
        <f>ROW(Source!A100)</f>
        <v>100</v>
      </c>
      <c r="B219">
        <v>39579451</v>
      </c>
      <c r="C219">
        <v>39579970</v>
      </c>
      <c r="D219">
        <v>36882159</v>
      </c>
      <c r="E219">
        <v>1</v>
      </c>
      <c r="F219">
        <v>1</v>
      </c>
      <c r="G219">
        <v>1</v>
      </c>
      <c r="H219">
        <v>2</v>
      </c>
      <c r="I219" t="s">
        <v>620</v>
      </c>
      <c r="J219" t="s">
        <v>621</v>
      </c>
      <c r="K219" t="s">
        <v>622</v>
      </c>
      <c r="L219">
        <v>1368</v>
      </c>
      <c r="N219">
        <v>1011</v>
      </c>
      <c r="O219" t="s">
        <v>525</v>
      </c>
      <c r="P219" t="s">
        <v>525</v>
      </c>
      <c r="Q219">
        <v>1</v>
      </c>
      <c r="W219">
        <v>0</v>
      </c>
      <c r="X219">
        <v>-1718674368</v>
      </c>
      <c r="Y219">
        <v>0.03</v>
      </c>
      <c r="AA219">
        <v>0</v>
      </c>
      <c r="AB219">
        <v>772.73</v>
      </c>
      <c r="AC219">
        <v>13.5</v>
      </c>
      <c r="AD219">
        <v>0</v>
      </c>
      <c r="AE219">
        <v>0</v>
      </c>
      <c r="AF219">
        <v>111.99</v>
      </c>
      <c r="AG219">
        <v>13.5</v>
      </c>
      <c r="AH219">
        <v>0</v>
      </c>
      <c r="AI219">
        <v>1</v>
      </c>
      <c r="AJ219">
        <v>6.9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0.03</v>
      </c>
      <c r="AU219" t="s">
        <v>3</v>
      </c>
      <c r="AV219">
        <v>0</v>
      </c>
      <c r="AW219">
        <v>2</v>
      </c>
      <c r="AX219">
        <v>39579973</v>
      </c>
      <c r="AY219">
        <v>1</v>
      </c>
      <c r="AZ219">
        <v>0</v>
      </c>
      <c r="BA219">
        <v>207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Y219*Source!I100</f>
        <v>3.8399999999999997E-2</v>
      </c>
      <c r="CY219">
        <f>AB219</f>
        <v>772.73</v>
      </c>
      <c r="CZ219">
        <f>AF219</f>
        <v>111.99</v>
      </c>
      <c r="DA219">
        <f>AJ219</f>
        <v>6.9</v>
      </c>
      <c r="DB219">
        <v>0</v>
      </c>
    </row>
    <row r="220" spans="1:106" x14ac:dyDescent="0.2">
      <c r="A220">
        <f>ROW(Source!A100)</f>
        <v>100</v>
      </c>
      <c r="B220">
        <v>39579451</v>
      </c>
      <c r="C220">
        <v>39579970</v>
      </c>
      <c r="D220">
        <v>36883554</v>
      </c>
      <c r="E220">
        <v>1</v>
      </c>
      <c r="F220">
        <v>1</v>
      </c>
      <c r="G220">
        <v>1</v>
      </c>
      <c r="H220">
        <v>2</v>
      </c>
      <c r="I220" t="s">
        <v>526</v>
      </c>
      <c r="J220" t="s">
        <v>527</v>
      </c>
      <c r="K220" t="s">
        <v>528</v>
      </c>
      <c r="L220">
        <v>1368</v>
      </c>
      <c r="N220">
        <v>1011</v>
      </c>
      <c r="O220" t="s">
        <v>525</v>
      </c>
      <c r="P220" t="s">
        <v>525</v>
      </c>
      <c r="Q220">
        <v>1</v>
      </c>
      <c r="W220">
        <v>0</v>
      </c>
      <c r="X220">
        <v>1372534845</v>
      </c>
      <c r="Y220">
        <v>0.03</v>
      </c>
      <c r="AA220">
        <v>0</v>
      </c>
      <c r="AB220">
        <v>453.4</v>
      </c>
      <c r="AC220">
        <v>11.6</v>
      </c>
      <c r="AD220">
        <v>0</v>
      </c>
      <c r="AE220">
        <v>0</v>
      </c>
      <c r="AF220">
        <v>65.709999999999994</v>
      </c>
      <c r="AG220">
        <v>11.6</v>
      </c>
      <c r="AH220">
        <v>0</v>
      </c>
      <c r="AI220">
        <v>1</v>
      </c>
      <c r="AJ220">
        <v>6.9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0.03</v>
      </c>
      <c r="AU220" t="s">
        <v>3</v>
      </c>
      <c r="AV220">
        <v>0</v>
      </c>
      <c r="AW220">
        <v>2</v>
      </c>
      <c r="AX220">
        <v>39579974</v>
      </c>
      <c r="AY220">
        <v>1</v>
      </c>
      <c r="AZ220">
        <v>0</v>
      </c>
      <c r="BA220">
        <v>208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Y220*Source!I100</f>
        <v>3.8399999999999997E-2</v>
      </c>
      <c r="CY220">
        <f>AB220</f>
        <v>453.4</v>
      </c>
      <c r="CZ220">
        <f>AF220</f>
        <v>65.709999999999994</v>
      </c>
      <c r="DA220">
        <f>AJ220</f>
        <v>6.9</v>
      </c>
      <c r="DB220">
        <v>0</v>
      </c>
    </row>
    <row r="221" spans="1:106" x14ac:dyDescent="0.2">
      <c r="A221">
        <f>ROW(Source!A100)</f>
        <v>100</v>
      </c>
      <c r="B221">
        <v>39579451</v>
      </c>
      <c r="C221">
        <v>39579970</v>
      </c>
      <c r="D221">
        <v>36802094</v>
      </c>
      <c r="E221">
        <v>1</v>
      </c>
      <c r="F221">
        <v>1</v>
      </c>
      <c r="G221">
        <v>1</v>
      </c>
      <c r="H221">
        <v>3</v>
      </c>
      <c r="I221" t="s">
        <v>697</v>
      </c>
      <c r="J221" t="s">
        <v>698</v>
      </c>
      <c r="K221" t="s">
        <v>699</v>
      </c>
      <c r="L221">
        <v>1346</v>
      </c>
      <c r="N221">
        <v>1009</v>
      </c>
      <c r="O221" t="s">
        <v>118</v>
      </c>
      <c r="P221" t="s">
        <v>118</v>
      </c>
      <c r="Q221">
        <v>1</v>
      </c>
      <c r="W221">
        <v>0</v>
      </c>
      <c r="X221">
        <v>-1088866022</v>
      </c>
      <c r="Y221">
        <v>0.32</v>
      </c>
      <c r="AA221">
        <v>209.76</v>
      </c>
      <c r="AB221">
        <v>0</v>
      </c>
      <c r="AC221">
        <v>0</v>
      </c>
      <c r="AD221">
        <v>0</v>
      </c>
      <c r="AE221">
        <v>30.4</v>
      </c>
      <c r="AF221">
        <v>0</v>
      </c>
      <c r="AG221">
        <v>0</v>
      </c>
      <c r="AH221">
        <v>0</v>
      </c>
      <c r="AI221">
        <v>6.9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0.32</v>
      </c>
      <c r="AU221" t="s">
        <v>3</v>
      </c>
      <c r="AV221">
        <v>0</v>
      </c>
      <c r="AW221">
        <v>2</v>
      </c>
      <c r="AX221">
        <v>39579975</v>
      </c>
      <c r="AY221">
        <v>1</v>
      </c>
      <c r="AZ221">
        <v>0</v>
      </c>
      <c r="BA221">
        <v>209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Y221*Source!I100</f>
        <v>0.40960000000000002</v>
      </c>
      <c r="CY221">
        <f t="shared" ref="CY221:CY227" si="27">AA221</f>
        <v>209.76</v>
      </c>
      <c r="CZ221">
        <f t="shared" ref="CZ221:CZ227" si="28">AE221</f>
        <v>30.4</v>
      </c>
      <c r="DA221">
        <f t="shared" ref="DA221:DA227" si="29">AI221</f>
        <v>6.9</v>
      </c>
      <c r="DB221">
        <v>0</v>
      </c>
    </row>
    <row r="222" spans="1:106" x14ac:dyDescent="0.2">
      <c r="A222">
        <f>ROW(Source!A100)</f>
        <v>100</v>
      </c>
      <c r="B222">
        <v>39579451</v>
      </c>
      <c r="C222">
        <v>39579970</v>
      </c>
      <c r="D222">
        <v>36802373</v>
      </c>
      <c r="E222">
        <v>1</v>
      </c>
      <c r="F222">
        <v>1</v>
      </c>
      <c r="G222">
        <v>1</v>
      </c>
      <c r="H222">
        <v>3</v>
      </c>
      <c r="I222" t="s">
        <v>700</v>
      </c>
      <c r="J222" t="s">
        <v>701</v>
      </c>
      <c r="K222" t="s">
        <v>702</v>
      </c>
      <c r="L222">
        <v>1348</v>
      </c>
      <c r="N222">
        <v>1009</v>
      </c>
      <c r="O222" t="s">
        <v>105</v>
      </c>
      <c r="P222" t="s">
        <v>105</v>
      </c>
      <c r="Q222">
        <v>1000</v>
      </c>
      <c r="W222">
        <v>0</v>
      </c>
      <c r="X222">
        <v>1012095217</v>
      </c>
      <c r="Y222">
        <v>1.0499999999999999E-3</v>
      </c>
      <c r="AA222">
        <v>12558</v>
      </c>
      <c r="AB222">
        <v>0</v>
      </c>
      <c r="AC222">
        <v>0</v>
      </c>
      <c r="AD222">
        <v>0</v>
      </c>
      <c r="AE222">
        <v>1820</v>
      </c>
      <c r="AF222">
        <v>0</v>
      </c>
      <c r="AG222">
        <v>0</v>
      </c>
      <c r="AH222">
        <v>0</v>
      </c>
      <c r="AI222">
        <v>6.9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1.0499999999999999E-3</v>
      </c>
      <c r="AU222" t="s">
        <v>3</v>
      </c>
      <c r="AV222">
        <v>0</v>
      </c>
      <c r="AW222">
        <v>2</v>
      </c>
      <c r="AX222">
        <v>39579976</v>
      </c>
      <c r="AY222">
        <v>1</v>
      </c>
      <c r="AZ222">
        <v>0</v>
      </c>
      <c r="BA222">
        <v>210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Y222*Source!I100</f>
        <v>1.3439999999999999E-3</v>
      </c>
      <c r="CY222">
        <f t="shared" si="27"/>
        <v>12558</v>
      </c>
      <c r="CZ222">
        <f t="shared" si="28"/>
        <v>1820</v>
      </c>
      <c r="DA222">
        <f t="shared" si="29"/>
        <v>6.9</v>
      </c>
      <c r="DB222">
        <v>0</v>
      </c>
    </row>
    <row r="223" spans="1:106" x14ac:dyDescent="0.2">
      <c r="A223">
        <f>ROW(Source!A100)</f>
        <v>100</v>
      </c>
      <c r="B223">
        <v>39579451</v>
      </c>
      <c r="C223">
        <v>39579970</v>
      </c>
      <c r="D223">
        <v>36838317</v>
      </c>
      <c r="E223">
        <v>1</v>
      </c>
      <c r="F223">
        <v>1</v>
      </c>
      <c r="G223">
        <v>1</v>
      </c>
      <c r="H223">
        <v>3</v>
      </c>
      <c r="I223" t="s">
        <v>703</v>
      </c>
      <c r="J223" t="s">
        <v>704</v>
      </c>
      <c r="K223" t="s">
        <v>229</v>
      </c>
      <c r="L223">
        <v>1346</v>
      </c>
      <c r="N223">
        <v>1009</v>
      </c>
      <c r="O223" t="s">
        <v>118</v>
      </c>
      <c r="P223" t="s">
        <v>118</v>
      </c>
      <c r="Q223">
        <v>1</v>
      </c>
      <c r="W223">
        <v>0</v>
      </c>
      <c r="X223">
        <v>210558753</v>
      </c>
      <c r="Y223">
        <v>0.02</v>
      </c>
      <c r="AA223">
        <v>197.34</v>
      </c>
      <c r="AB223">
        <v>0</v>
      </c>
      <c r="AC223">
        <v>0</v>
      </c>
      <c r="AD223">
        <v>0</v>
      </c>
      <c r="AE223">
        <v>28.6</v>
      </c>
      <c r="AF223">
        <v>0</v>
      </c>
      <c r="AG223">
        <v>0</v>
      </c>
      <c r="AH223">
        <v>0</v>
      </c>
      <c r="AI223">
        <v>6.9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0.02</v>
      </c>
      <c r="AU223" t="s">
        <v>3</v>
      </c>
      <c r="AV223">
        <v>0</v>
      </c>
      <c r="AW223">
        <v>2</v>
      </c>
      <c r="AX223">
        <v>39579977</v>
      </c>
      <c r="AY223">
        <v>1</v>
      </c>
      <c r="AZ223">
        <v>0</v>
      </c>
      <c r="BA223">
        <v>211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Y223*Source!I100</f>
        <v>2.5600000000000001E-2</v>
      </c>
      <c r="CY223">
        <f t="shared" si="27"/>
        <v>197.34</v>
      </c>
      <c r="CZ223">
        <f t="shared" si="28"/>
        <v>28.6</v>
      </c>
      <c r="DA223">
        <f t="shared" si="29"/>
        <v>6.9</v>
      </c>
      <c r="DB223">
        <v>0</v>
      </c>
    </row>
    <row r="224" spans="1:106" x14ac:dyDescent="0.2">
      <c r="A224">
        <f>ROW(Source!A100)</f>
        <v>100</v>
      </c>
      <c r="B224">
        <v>39579451</v>
      </c>
      <c r="C224">
        <v>39579970</v>
      </c>
      <c r="D224">
        <v>36852011</v>
      </c>
      <c r="E224">
        <v>1</v>
      </c>
      <c r="F224">
        <v>1</v>
      </c>
      <c r="G224">
        <v>1</v>
      </c>
      <c r="H224">
        <v>3</v>
      </c>
      <c r="I224" t="s">
        <v>705</v>
      </c>
      <c r="J224" t="s">
        <v>706</v>
      </c>
      <c r="K224" t="s">
        <v>707</v>
      </c>
      <c r="L224">
        <v>1355</v>
      </c>
      <c r="N224">
        <v>1010</v>
      </c>
      <c r="O224" t="s">
        <v>360</v>
      </c>
      <c r="P224" t="s">
        <v>360</v>
      </c>
      <c r="Q224">
        <v>100</v>
      </c>
      <c r="W224">
        <v>0</v>
      </c>
      <c r="X224">
        <v>-1427219203</v>
      </c>
      <c r="Y224">
        <v>0.05</v>
      </c>
      <c r="AA224">
        <v>986.7</v>
      </c>
      <c r="AB224">
        <v>0</v>
      </c>
      <c r="AC224">
        <v>0</v>
      </c>
      <c r="AD224">
        <v>0</v>
      </c>
      <c r="AE224">
        <v>143</v>
      </c>
      <c r="AF224">
        <v>0</v>
      </c>
      <c r="AG224">
        <v>0</v>
      </c>
      <c r="AH224">
        <v>0</v>
      </c>
      <c r="AI224">
        <v>6.9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0.05</v>
      </c>
      <c r="AU224" t="s">
        <v>3</v>
      </c>
      <c r="AV224">
        <v>0</v>
      </c>
      <c r="AW224">
        <v>2</v>
      </c>
      <c r="AX224">
        <v>39579978</v>
      </c>
      <c r="AY224">
        <v>1</v>
      </c>
      <c r="AZ224">
        <v>0</v>
      </c>
      <c r="BA224">
        <v>212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Y224*Source!I100</f>
        <v>6.4000000000000001E-2</v>
      </c>
      <c r="CY224">
        <f t="shared" si="27"/>
        <v>986.7</v>
      </c>
      <c r="CZ224">
        <f t="shared" si="28"/>
        <v>143</v>
      </c>
      <c r="DA224">
        <f t="shared" si="29"/>
        <v>6.9</v>
      </c>
      <c r="DB224">
        <v>0</v>
      </c>
    </row>
    <row r="225" spans="1:106" x14ac:dyDescent="0.2">
      <c r="A225">
        <f>ROW(Source!A100)</f>
        <v>100</v>
      </c>
      <c r="B225">
        <v>39579451</v>
      </c>
      <c r="C225">
        <v>39579970</v>
      </c>
      <c r="D225">
        <v>36852061</v>
      </c>
      <c r="E225">
        <v>1</v>
      </c>
      <c r="F225">
        <v>1</v>
      </c>
      <c r="G225">
        <v>1</v>
      </c>
      <c r="H225">
        <v>3</v>
      </c>
      <c r="I225" t="s">
        <v>708</v>
      </c>
      <c r="J225" t="s">
        <v>709</v>
      </c>
      <c r="K225" t="s">
        <v>710</v>
      </c>
      <c r="L225">
        <v>1356</v>
      </c>
      <c r="N225">
        <v>1010</v>
      </c>
      <c r="O225" t="s">
        <v>711</v>
      </c>
      <c r="P225" t="s">
        <v>711</v>
      </c>
      <c r="Q225">
        <v>1000</v>
      </c>
      <c r="W225">
        <v>0</v>
      </c>
      <c r="X225">
        <v>2033598199</v>
      </c>
      <c r="Y225">
        <v>1.2200000000000001E-2</v>
      </c>
      <c r="AA225">
        <v>1215.8499999999999</v>
      </c>
      <c r="AB225">
        <v>0</v>
      </c>
      <c r="AC225">
        <v>0</v>
      </c>
      <c r="AD225">
        <v>0</v>
      </c>
      <c r="AE225">
        <v>176.21</v>
      </c>
      <c r="AF225">
        <v>0</v>
      </c>
      <c r="AG225">
        <v>0</v>
      </c>
      <c r="AH225">
        <v>0</v>
      </c>
      <c r="AI225">
        <v>6.9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1.2200000000000001E-2</v>
      </c>
      <c r="AU225" t="s">
        <v>3</v>
      </c>
      <c r="AV225">
        <v>0</v>
      </c>
      <c r="AW225">
        <v>2</v>
      </c>
      <c r="AX225">
        <v>39579979</v>
      </c>
      <c r="AY225">
        <v>1</v>
      </c>
      <c r="AZ225">
        <v>0</v>
      </c>
      <c r="BA225">
        <v>213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Y225*Source!I100</f>
        <v>1.5616000000000001E-2</v>
      </c>
      <c r="CY225">
        <f t="shared" si="27"/>
        <v>1215.8499999999999</v>
      </c>
      <c r="CZ225">
        <f t="shared" si="28"/>
        <v>176.21</v>
      </c>
      <c r="DA225">
        <f t="shared" si="29"/>
        <v>6.9</v>
      </c>
      <c r="DB225">
        <v>0</v>
      </c>
    </row>
    <row r="226" spans="1:106" x14ac:dyDescent="0.2">
      <c r="A226">
        <f>ROW(Source!A100)</f>
        <v>100</v>
      </c>
      <c r="B226">
        <v>39579451</v>
      </c>
      <c r="C226">
        <v>39579970</v>
      </c>
      <c r="D226">
        <v>36857460</v>
      </c>
      <c r="E226">
        <v>1</v>
      </c>
      <c r="F226">
        <v>1</v>
      </c>
      <c r="G226">
        <v>1</v>
      </c>
      <c r="H226">
        <v>3</v>
      </c>
      <c r="I226" t="s">
        <v>314</v>
      </c>
      <c r="J226" t="s">
        <v>317</v>
      </c>
      <c r="K226" t="s">
        <v>315</v>
      </c>
      <c r="L226">
        <v>1477</v>
      </c>
      <c r="N226">
        <v>1013</v>
      </c>
      <c r="O226" t="s">
        <v>316</v>
      </c>
      <c r="P226" t="s">
        <v>318</v>
      </c>
      <c r="Q226">
        <v>1</v>
      </c>
      <c r="W226">
        <v>0</v>
      </c>
      <c r="X226">
        <v>-329874626</v>
      </c>
      <c r="Y226">
        <v>0.1</v>
      </c>
      <c r="AA226">
        <v>33216.74</v>
      </c>
      <c r="AB226">
        <v>0</v>
      </c>
      <c r="AC226">
        <v>0</v>
      </c>
      <c r="AD226">
        <v>0</v>
      </c>
      <c r="AE226">
        <v>4814.0200000000004</v>
      </c>
      <c r="AF226">
        <v>0</v>
      </c>
      <c r="AG226">
        <v>0</v>
      </c>
      <c r="AH226">
        <v>0</v>
      </c>
      <c r="AI226">
        <v>6.9</v>
      </c>
      <c r="AJ226">
        <v>1</v>
      </c>
      <c r="AK226">
        <v>1</v>
      </c>
      <c r="AL226">
        <v>1</v>
      </c>
      <c r="AN226">
        <v>0</v>
      </c>
      <c r="AO226">
        <v>0</v>
      </c>
      <c r="AP226">
        <v>0</v>
      </c>
      <c r="AQ226">
        <v>0</v>
      </c>
      <c r="AR226">
        <v>0</v>
      </c>
      <c r="AS226" t="s">
        <v>3</v>
      </c>
      <c r="AT226">
        <v>0.1</v>
      </c>
      <c r="AU226" t="s">
        <v>3</v>
      </c>
      <c r="AV226">
        <v>0</v>
      </c>
      <c r="AW226">
        <v>1</v>
      </c>
      <c r="AX226">
        <v>-1</v>
      </c>
      <c r="AY226">
        <v>0</v>
      </c>
      <c r="AZ226">
        <v>0</v>
      </c>
      <c r="BA226" t="s">
        <v>3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Y226*Source!I100</f>
        <v>0.128</v>
      </c>
      <c r="CY226">
        <f t="shared" si="27"/>
        <v>33216.74</v>
      </c>
      <c r="CZ226">
        <f t="shared" si="28"/>
        <v>4814.0200000000004</v>
      </c>
      <c r="DA226">
        <f t="shared" si="29"/>
        <v>6.9</v>
      </c>
      <c r="DB226">
        <v>0</v>
      </c>
    </row>
    <row r="227" spans="1:106" x14ac:dyDescent="0.2">
      <c r="A227">
        <f>ROW(Source!A100)</f>
        <v>100</v>
      </c>
      <c r="B227">
        <v>39579451</v>
      </c>
      <c r="C227">
        <v>39579970</v>
      </c>
      <c r="D227">
        <v>36799065</v>
      </c>
      <c r="E227">
        <v>17</v>
      </c>
      <c r="F227">
        <v>1</v>
      </c>
      <c r="G227">
        <v>1</v>
      </c>
      <c r="H227">
        <v>3</v>
      </c>
      <c r="I227" t="s">
        <v>694</v>
      </c>
      <c r="J227" t="s">
        <v>3</v>
      </c>
      <c r="K227" t="s">
        <v>695</v>
      </c>
      <c r="L227">
        <v>1374</v>
      </c>
      <c r="N227">
        <v>1013</v>
      </c>
      <c r="O227" t="s">
        <v>696</v>
      </c>
      <c r="P227" t="s">
        <v>696</v>
      </c>
      <c r="Q227">
        <v>1</v>
      </c>
      <c r="W227">
        <v>0</v>
      </c>
      <c r="X227">
        <v>-1731369543</v>
      </c>
      <c r="Y227">
        <v>1.18</v>
      </c>
      <c r="AA227">
        <v>1</v>
      </c>
      <c r="AB227">
        <v>0</v>
      </c>
      <c r="AC227">
        <v>0</v>
      </c>
      <c r="AD227">
        <v>0</v>
      </c>
      <c r="AE227">
        <v>1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3</v>
      </c>
      <c r="AT227">
        <v>1.18</v>
      </c>
      <c r="AU227" t="s">
        <v>3</v>
      </c>
      <c r="AV227">
        <v>0</v>
      </c>
      <c r="AW227">
        <v>2</v>
      </c>
      <c r="AX227">
        <v>39579980</v>
      </c>
      <c r="AY227">
        <v>1</v>
      </c>
      <c r="AZ227">
        <v>0</v>
      </c>
      <c r="BA227">
        <v>214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Y227*Source!I100</f>
        <v>1.5104</v>
      </c>
      <c r="CY227">
        <f t="shared" si="27"/>
        <v>1</v>
      </c>
      <c r="CZ227">
        <f t="shared" si="28"/>
        <v>1</v>
      </c>
      <c r="DA227">
        <f t="shared" si="29"/>
        <v>1</v>
      </c>
      <c r="DB227">
        <v>0</v>
      </c>
    </row>
    <row r="228" spans="1:106" x14ac:dyDescent="0.2">
      <c r="A228">
        <f>ROW(Source!A102)</f>
        <v>102</v>
      </c>
      <c r="B228">
        <v>39579451</v>
      </c>
      <c r="C228">
        <v>39579981</v>
      </c>
      <c r="D228">
        <v>37064878</v>
      </c>
      <c r="E228">
        <v>1</v>
      </c>
      <c r="F228">
        <v>1</v>
      </c>
      <c r="G228">
        <v>1</v>
      </c>
      <c r="H228">
        <v>1</v>
      </c>
      <c r="I228" t="s">
        <v>517</v>
      </c>
      <c r="J228" t="s">
        <v>3</v>
      </c>
      <c r="K228" t="s">
        <v>518</v>
      </c>
      <c r="L228">
        <v>1191</v>
      </c>
      <c r="N228">
        <v>1013</v>
      </c>
      <c r="O228" t="s">
        <v>519</v>
      </c>
      <c r="P228" t="s">
        <v>519</v>
      </c>
      <c r="Q228">
        <v>1</v>
      </c>
      <c r="W228">
        <v>0</v>
      </c>
      <c r="X228">
        <v>-1081351934</v>
      </c>
      <c r="Y228">
        <v>5.39</v>
      </c>
      <c r="AA228">
        <v>0</v>
      </c>
      <c r="AB228">
        <v>0</v>
      </c>
      <c r="AC228">
        <v>0</v>
      </c>
      <c r="AD228">
        <v>64.86</v>
      </c>
      <c r="AE228">
        <v>0</v>
      </c>
      <c r="AF228">
        <v>0</v>
      </c>
      <c r="AG228">
        <v>0</v>
      </c>
      <c r="AH228">
        <v>9.4</v>
      </c>
      <c r="AI228">
        <v>1</v>
      </c>
      <c r="AJ228">
        <v>1</v>
      </c>
      <c r="AK228">
        <v>1</v>
      </c>
      <c r="AL228">
        <v>6.9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5.39</v>
      </c>
      <c r="AU228" t="s">
        <v>3</v>
      </c>
      <c r="AV228">
        <v>1</v>
      </c>
      <c r="AW228">
        <v>2</v>
      </c>
      <c r="AX228">
        <v>39579982</v>
      </c>
      <c r="AY228">
        <v>1</v>
      </c>
      <c r="AZ228">
        <v>0</v>
      </c>
      <c r="BA228">
        <v>215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Y228*Source!I102</f>
        <v>1.0780000000000001</v>
      </c>
      <c r="CY228">
        <f>AD228</f>
        <v>64.86</v>
      </c>
      <c r="CZ228">
        <f>AH228</f>
        <v>9.4</v>
      </c>
      <c r="DA228">
        <f>AL228</f>
        <v>6.9</v>
      </c>
      <c r="DB228">
        <v>0</v>
      </c>
    </row>
    <row r="229" spans="1:106" x14ac:dyDescent="0.2">
      <c r="A229">
        <f>ROW(Source!A102)</f>
        <v>102</v>
      </c>
      <c r="B229">
        <v>39579451</v>
      </c>
      <c r="C229">
        <v>39579981</v>
      </c>
      <c r="D229">
        <v>37064876</v>
      </c>
      <c r="E229">
        <v>1</v>
      </c>
      <c r="F229">
        <v>1</v>
      </c>
      <c r="G229">
        <v>1</v>
      </c>
      <c r="H229">
        <v>1</v>
      </c>
      <c r="I229" t="s">
        <v>520</v>
      </c>
      <c r="J229" t="s">
        <v>3</v>
      </c>
      <c r="K229" t="s">
        <v>521</v>
      </c>
      <c r="L229">
        <v>1191</v>
      </c>
      <c r="N229">
        <v>1013</v>
      </c>
      <c r="O229" t="s">
        <v>519</v>
      </c>
      <c r="P229" t="s">
        <v>519</v>
      </c>
      <c r="Q229">
        <v>1</v>
      </c>
      <c r="W229">
        <v>0</v>
      </c>
      <c r="X229">
        <v>-1417349443</v>
      </c>
      <c r="Y229">
        <v>0.04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1</v>
      </c>
      <c r="AJ229">
        <v>1</v>
      </c>
      <c r="AK229">
        <v>6.9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0.04</v>
      </c>
      <c r="AU229" t="s">
        <v>3</v>
      </c>
      <c r="AV229">
        <v>2</v>
      </c>
      <c r="AW229">
        <v>2</v>
      </c>
      <c r="AX229">
        <v>39579983</v>
      </c>
      <c r="AY229">
        <v>1</v>
      </c>
      <c r="AZ229">
        <v>0</v>
      </c>
      <c r="BA229">
        <v>216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Y229*Source!I102</f>
        <v>8.0000000000000002E-3</v>
      </c>
      <c r="CY229">
        <f>AD229</f>
        <v>0</v>
      </c>
      <c r="CZ229">
        <f>AH229</f>
        <v>0</v>
      </c>
      <c r="DA229">
        <f>AL229</f>
        <v>1</v>
      </c>
      <c r="DB229">
        <v>0</v>
      </c>
    </row>
    <row r="230" spans="1:106" x14ac:dyDescent="0.2">
      <c r="A230">
        <f>ROW(Source!A102)</f>
        <v>102</v>
      </c>
      <c r="B230">
        <v>39579451</v>
      </c>
      <c r="C230">
        <v>39579981</v>
      </c>
      <c r="D230">
        <v>36882159</v>
      </c>
      <c r="E230">
        <v>1</v>
      </c>
      <c r="F230">
        <v>1</v>
      </c>
      <c r="G230">
        <v>1</v>
      </c>
      <c r="H230">
        <v>2</v>
      </c>
      <c r="I230" t="s">
        <v>620</v>
      </c>
      <c r="J230" t="s">
        <v>621</v>
      </c>
      <c r="K230" t="s">
        <v>622</v>
      </c>
      <c r="L230">
        <v>1368</v>
      </c>
      <c r="N230">
        <v>1011</v>
      </c>
      <c r="O230" t="s">
        <v>525</v>
      </c>
      <c r="P230" t="s">
        <v>525</v>
      </c>
      <c r="Q230">
        <v>1</v>
      </c>
      <c r="W230">
        <v>0</v>
      </c>
      <c r="X230">
        <v>-1718674368</v>
      </c>
      <c r="Y230">
        <v>0.02</v>
      </c>
      <c r="AA230">
        <v>0</v>
      </c>
      <c r="AB230">
        <v>772.73</v>
      </c>
      <c r="AC230">
        <v>13.5</v>
      </c>
      <c r="AD230">
        <v>0</v>
      </c>
      <c r="AE230">
        <v>0</v>
      </c>
      <c r="AF230">
        <v>111.99</v>
      </c>
      <c r="AG230">
        <v>13.5</v>
      </c>
      <c r="AH230">
        <v>0</v>
      </c>
      <c r="AI230">
        <v>1</v>
      </c>
      <c r="AJ230">
        <v>6.9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0.02</v>
      </c>
      <c r="AU230" t="s">
        <v>3</v>
      </c>
      <c r="AV230">
        <v>0</v>
      </c>
      <c r="AW230">
        <v>2</v>
      </c>
      <c r="AX230">
        <v>39579984</v>
      </c>
      <c r="AY230">
        <v>1</v>
      </c>
      <c r="AZ230">
        <v>0</v>
      </c>
      <c r="BA230">
        <v>217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Y230*Source!I102</f>
        <v>4.0000000000000001E-3</v>
      </c>
      <c r="CY230">
        <f>AB230</f>
        <v>772.73</v>
      </c>
      <c r="CZ230">
        <f>AF230</f>
        <v>111.99</v>
      </c>
      <c r="DA230">
        <f>AJ230</f>
        <v>6.9</v>
      </c>
      <c r="DB230">
        <v>0</v>
      </c>
    </row>
    <row r="231" spans="1:106" x14ac:dyDescent="0.2">
      <c r="A231">
        <f>ROW(Source!A102)</f>
        <v>102</v>
      </c>
      <c r="B231">
        <v>39579451</v>
      </c>
      <c r="C231">
        <v>39579981</v>
      </c>
      <c r="D231">
        <v>36883554</v>
      </c>
      <c r="E231">
        <v>1</v>
      </c>
      <c r="F231">
        <v>1</v>
      </c>
      <c r="G231">
        <v>1</v>
      </c>
      <c r="H231">
        <v>2</v>
      </c>
      <c r="I231" t="s">
        <v>526</v>
      </c>
      <c r="J231" t="s">
        <v>527</v>
      </c>
      <c r="K231" t="s">
        <v>528</v>
      </c>
      <c r="L231">
        <v>1368</v>
      </c>
      <c r="N231">
        <v>1011</v>
      </c>
      <c r="O231" t="s">
        <v>525</v>
      </c>
      <c r="P231" t="s">
        <v>525</v>
      </c>
      <c r="Q231">
        <v>1</v>
      </c>
      <c r="W231">
        <v>0</v>
      </c>
      <c r="X231">
        <v>1372534845</v>
      </c>
      <c r="Y231">
        <v>0.02</v>
      </c>
      <c r="AA231">
        <v>0</v>
      </c>
      <c r="AB231">
        <v>453.4</v>
      </c>
      <c r="AC231">
        <v>11.6</v>
      </c>
      <c r="AD231">
        <v>0</v>
      </c>
      <c r="AE231">
        <v>0</v>
      </c>
      <c r="AF231">
        <v>65.709999999999994</v>
      </c>
      <c r="AG231">
        <v>11.6</v>
      </c>
      <c r="AH231">
        <v>0</v>
      </c>
      <c r="AI231">
        <v>1</v>
      </c>
      <c r="AJ231">
        <v>6.9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0.02</v>
      </c>
      <c r="AU231" t="s">
        <v>3</v>
      </c>
      <c r="AV231">
        <v>0</v>
      </c>
      <c r="AW231">
        <v>2</v>
      </c>
      <c r="AX231">
        <v>39579985</v>
      </c>
      <c r="AY231">
        <v>1</v>
      </c>
      <c r="AZ231">
        <v>0</v>
      </c>
      <c r="BA231">
        <v>218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Y231*Source!I102</f>
        <v>4.0000000000000001E-3</v>
      </c>
      <c r="CY231">
        <f>AB231</f>
        <v>453.4</v>
      </c>
      <c r="CZ231">
        <f>AF231</f>
        <v>65.709999999999994</v>
      </c>
      <c r="DA231">
        <f>AJ231</f>
        <v>6.9</v>
      </c>
      <c r="DB231">
        <v>0</v>
      </c>
    </row>
    <row r="232" spans="1:106" x14ac:dyDescent="0.2">
      <c r="A232">
        <f>ROW(Source!A102)</f>
        <v>102</v>
      </c>
      <c r="B232">
        <v>39579451</v>
      </c>
      <c r="C232">
        <v>39579981</v>
      </c>
      <c r="D232">
        <v>36802094</v>
      </c>
      <c r="E232">
        <v>1</v>
      </c>
      <c r="F232">
        <v>1</v>
      </c>
      <c r="G232">
        <v>1</v>
      </c>
      <c r="H232">
        <v>3</v>
      </c>
      <c r="I232" t="s">
        <v>697</v>
      </c>
      <c r="J232" t="s">
        <v>698</v>
      </c>
      <c r="K232" t="s">
        <v>699</v>
      </c>
      <c r="L232">
        <v>1346</v>
      </c>
      <c r="N232">
        <v>1009</v>
      </c>
      <c r="O232" t="s">
        <v>118</v>
      </c>
      <c r="P232" t="s">
        <v>118</v>
      </c>
      <c r="Q232">
        <v>1</v>
      </c>
      <c r="W232">
        <v>0</v>
      </c>
      <c r="X232">
        <v>-1088866022</v>
      </c>
      <c r="Y232">
        <v>0.16</v>
      </c>
      <c r="AA232">
        <v>209.76</v>
      </c>
      <c r="AB232">
        <v>0</v>
      </c>
      <c r="AC232">
        <v>0</v>
      </c>
      <c r="AD232">
        <v>0</v>
      </c>
      <c r="AE232">
        <v>30.4</v>
      </c>
      <c r="AF232">
        <v>0</v>
      </c>
      <c r="AG232">
        <v>0</v>
      </c>
      <c r="AH232">
        <v>0</v>
      </c>
      <c r="AI232">
        <v>6.9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3</v>
      </c>
      <c r="AT232">
        <v>0.16</v>
      </c>
      <c r="AU232" t="s">
        <v>3</v>
      </c>
      <c r="AV232">
        <v>0</v>
      </c>
      <c r="AW232">
        <v>2</v>
      </c>
      <c r="AX232">
        <v>39579986</v>
      </c>
      <c r="AY232">
        <v>1</v>
      </c>
      <c r="AZ232">
        <v>0</v>
      </c>
      <c r="BA232">
        <v>219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Y232*Source!I102</f>
        <v>3.2000000000000001E-2</v>
      </c>
      <c r="CY232">
        <f t="shared" ref="CY232:CY238" si="30">AA232</f>
        <v>209.76</v>
      </c>
      <c r="CZ232">
        <f t="shared" ref="CZ232:CZ238" si="31">AE232</f>
        <v>30.4</v>
      </c>
      <c r="DA232">
        <f t="shared" ref="DA232:DA238" si="32">AI232</f>
        <v>6.9</v>
      </c>
      <c r="DB232">
        <v>0</v>
      </c>
    </row>
    <row r="233" spans="1:106" x14ac:dyDescent="0.2">
      <c r="A233">
        <f>ROW(Source!A102)</f>
        <v>102</v>
      </c>
      <c r="B233">
        <v>39579451</v>
      </c>
      <c r="C233">
        <v>39579981</v>
      </c>
      <c r="D233">
        <v>36802373</v>
      </c>
      <c r="E233">
        <v>1</v>
      </c>
      <c r="F233">
        <v>1</v>
      </c>
      <c r="G233">
        <v>1</v>
      </c>
      <c r="H233">
        <v>3</v>
      </c>
      <c r="I233" t="s">
        <v>700</v>
      </c>
      <c r="J233" t="s">
        <v>701</v>
      </c>
      <c r="K233" t="s">
        <v>702</v>
      </c>
      <c r="L233">
        <v>1348</v>
      </c>
      <c r="N233">
        <v>1009</v>
      </c>
      <c r="O233" t="s">
        <v>105</v>
      </c>
      <c r="P233" t="s">
        <v>105</v>
      </c>
      <c r="Q233">
        <v>1000</v>
      </c>
      <c r="W233">
        <v>0</v>
      </c>
      <c r="X233">
        <v>1012095217</v>
      </c>
      <c r="Y233">
        <v>5.9999999999999995E-4</v>
      </c>
      <c r="AA233">
        <v>12558</v>
      </c>
      <c r="AB233">
        <v>0</v>
      </c>
      <c r="AC233">
        <v>0</v>
      </c>
      <c r="AD233">
        <v>0</v>
      </c>
      <c r="AE233">
        <v>1820</v>
      </c>
      <c r="AF233">
        <v>0</v>
      </c>
      <c r="AG233">
        <v>0</v>
      </c>
      <c r="AH233">
        <v>0</v>
      </c>
      <c r="AI233">
        <v>6.9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5.9999999999999995E-4</v>
      </c>
      <c r="AU233" t="s">
        <v>3</v>
      </c>
      <c r="AV233">
        <v>0</v>
      </c>
      <c r="AW233">
        <v>2</v>
      </c>
      <c r="AX233">
        <v>39579987</v>
      </c>
      <c r="AY233">
        <v>1</v>
      </c>
      <c r="AZ233">
        <v>0</v>
      </c>
      <c r="BA233">
        <v>220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Y233*Source!I102</f>
        <v>1.1999999999999999E-4</v>
      </c>
      <c r="CY233">
        <f t="shared" si="30"/>
        <v>12558</v>
      </c>
      <c r="CZ233">
        <f t="shared" si="31"/>
        <v>1820</v>
      </c>
      <c r="DA233">
        <f t="shared" si="32"/>
        <v>6.9</v>
      </c>
      <c r="DB233">
        <v>0</v>
      </c>
    </row>
    <row r="234" spans="1:106" x14ac:dyDescent="0.2">
      <c r="A234">
        <f>ROW(Source!A102)</f>
        <v>102</v>
      </c>
      <c r="B234">
        <v>39579451</v>
      </c>
      <c r="C234">
        <v>39579981</v>
      </c>
      <c r="D234">
        <v>36838317</v>
      </c>
      <c r="E234">
        <v>1</v>
      </c>
      <c r="F234">
        <v>1</v>
      </c>
      <c r="G234">
        <v>1</v>
      </c>
      <c r="H234">
        <v>3</v>
      </c>
      <c r="I234" t="s">
        <v>703</v>
      </c>
      <c r="J234" t="s">
        <v>704</v>
      </c>
      <c r="K234" t="s">
        <v>229</v>
      </c>
      <c r="L234">
        <v>1346</v>
      </c>
      <c r="N234">
        <v>1009</v>
      </c>
      <c r="O234" t="s">
        <v>118</v>
      </c>
      <c r="P234" t="s">
        <v>118</v>
      </c>
      <c r="Q234">
        <v>1</v>
      </c>
      <c r="W234">
        <v>0</v>
      </c>
      <c r="X234">
        <v>210558753</v>
      </c>
      <c r="Y234">
        <v>0.02</v>
      </c>
      <c r="AA234">
        <v>197.34</v>
      </c>
      <c r="AB234">
        <v>0</v>
      </c>
      <c r="AC234">
        <v>0</v>
      </c>
      <c r="AD234">
        <v>0</v>
      </c>
      <c r="AE234">
        <v>28.6</v>
      </c>
      <c r="AF234">
        <v>0</v>
      </c>
      <c r="AG234">
        <v>0</v>
      </c>
      <c r="AH234">
        <v>0</v>
      </c>
      <c r="AI234">
        <v>6.9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3</v>
      </c>
      <c r="AT234">
        <v>0.02</v>
      </c>
      <c r="AU234" t="s">
        <v>3</v>
      </c>
      <c r="AV234">
        <v>0</v>
      </c>
      <c r="AW234">
        <v>2</v>
      </c>
      <c r="AX234">
        <v>39579988</v>
      </c>
      <c r="AY234">
        <v>1</v>
      </c>
      <c r="AZ234">
        <v>0</v>
      </c>
      <c r="BA234">
        <v>221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Y234*Source!I102</f>
        <v>4.0000000000000001E-3</v>
      </c>
      <c r="CY234">
        <f t="shared" si="30"/>
        <v>197.34</v>
      </c>
      <c r="CZ234">
        <f t="shared" si="31"/>
        <v>28.6</v>
      </c>
      <c r="DA234">
        <f t="shared" si="32"/>
        <v>6.9</v>
      </c>
      <c r="DB234">
        <v>0</v>
      </c>
    </row>
    <row r="235" spans="1:106" x14ac:dyDescent="0.2">
      <c r="A235">
        <f>ROW(Source!A102)</f>
        <v>102</v>
      </c>
      <c r="B235">
        <v>39579451</v>
      </c>
      <c r="C235">
        <v>39579981</v>
      </c>
      <c r="D235">
        <v>36852009</v>
      </c>
      <c r="E235">
        <v>1</v>
      </c>
      <c r="F235">
        <v>1</v>
      </c>
      <c r="G235">
        <v>1</v>
      </c>
      <c r="H235">
        <v>3</v>
      </c>
      <c r="I235" t="s">
        <v>712</v>
      </c>
      <c r="J235" t="s">
        <v>713</v>
      </c>
      <c r="K235" t="s">
        <v>714</v>
      </c>
      <c r="L235">
        <v>1355</v>
      </c>
      <c r="N235">
        <v>1010</v>
      </c>
      <c r="O235" t="s">
        <v>360</v>
      </c>
      <c r="P235" t="s">
        <v>360</v>
      </c>
      <c r="Q235">
        <v>100</v>
      </c>
      <c r="W235">
        <v>0</v>
      </c>
      <c r="X235">
        <v>-423136440</v>
      </c>
      <c r="Y235">
        <v>0.05</v>
      </c>
      <c r="AA235">
        <v>759</v>
      </c>
      <c r="AB235">
        <v>0</v>
      </c>
      <c r="AC235">
        <v>0</v>
      </c>
      <c r="AD235">
        <v>0</v>
      </c>
      <c r="AE235">
        <v>110</v>
      </c>
      <c r="AF235">
        <v>0</v>
      </c>
      <c r="AG235">
        <v>0</v>
      </c>
      <c r="AH235">
        <v>0</v>
      </c>
      <c r="AI235">
        <v>6.9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3</v>
      </c>
      <c r="AT235">
        <v>0.05</v>
      </c>
      <c r="AU235" t="s">
        <v>3</v>
      </c>
      <c r="AV235">
        <v>0</v>
      </c>
      <c r="AW235">
        <v>2</v>
      </c>
      <c r="AX235">
        <v>39579989</v>
      </c>
      <c r="AY235">
        <v>1</v>
      </c>
      <c r="AZ235">
        <v>0</v>
      </c>
      <c r="BA235">
        <v>222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Y235*Source!I102</f>
        <v>1.0000000000000002E-2</v>
      </c>
      <c r="CY235">
        <f t="shared" si="30"/>
        <v>759</v>
      </c>
      <c r="CZ235">
        <f t="shared" si="31"/>
        <v>110</v>
      </c>
      <c r="DA235">
        <f t="shared" si="32"/>
        <v>6.9</v>
      </c>
      <c r="DB235">
        <v>0</v>
      </c>
    </row>
    <row r="236" spans="1:106" x14ac:dyDescent="0.2">
      <c r="A236">
        <f>ROW(Source!A102)</f>
        <v>102</v>
      </c>
      <c r="B236">
        <v>39579451</v>
      </c>
      <c r="C236">
        <v>39579981</v>
      </c>
      <c r="D236">
        <v>36852060</v>
      </c>
      <c r="E236">
        <v>1</v>
      </c>
      <c r="F236">
        <v>1</v>
      </c>
      <c r="G236">
        <v>1</v>
      </c>
      <c r="H236">
        <v>3</v>
      </c>
      <c r="I236" t="s">
        <v>715</v>
      </c>
      <c r="J236" t="s">
        <v>716</v>
      </c>
      <c r="K236" t="s">
        <v>717</v>
      </c>
      <c r="L236">
        <v>1356</v>
      </c>
      <c r="N236">
        <v>1010</v>
      </c>
      <c r="O236" t="s">
        <v>711</v>
      </c>
      <c r="P236" t="s">
        <v>711</v>
      </c>
      <c r="Q236">
        <v>1000</v>
      </c>
      <c r="W236">
        <v>0</v>
      </c>
      <c r="X236">
        <v>537827188</v>
      </c>
      <c r="Y236">
        <v>1.2200000000000001E-2</v>
      </c>
      <c r="AA236">
        <v>821.1</v>
      </c>
      <c r="AB236">
        <v>0</v>
      </c>
      <c r="AC236">
        <v>0</v>
      </c>
      <c r="AD236">
        <v>0</v>
      </c>
      <c r="AE236">
        <v>119</v>
      </c>
      <c r="AF236">
        <v>0</v>
      </c>
      <c r="AG236">
        <v>0</v>
      </c>
      <c r="AH236">
        <v>0</v>
      </c>
      <c r="AI236">
        <v>6.9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1.2200000000000001E-2</v>
      </c>
      <c r="AU236" t="s">
        <v>3</v>
      </c>
      <c r="AV236">
        <v>0</v>
      </c>
      <c r="AW236">
        <v>2</v>
      </c>
      <c r="AX236">
        <v>39579990</v>
      </c>
      <c r="AY236">
        <v>1</v>
      </c>
      <c r="AZ236">
        <v>0</v>
      </c>
      <c r="BA236">
        <v>223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Y236*Source!I102</f>
        <v>2.4400000000000003E-3</v>
      </c>
      <c r="CY236">
        <f t="shared" si="30"/>
        <v>821.1</v>
      </c>
      <c r="CZ236">
        <f t="shared" si="31"/>
        <v>119</v>
      </c>
      <c r="DA236">
        <f t="shared" si="32"/>
        <v>6.9</v>
      </c>
      <c r="DB236">
        <v>0</v>
      </c>
    </row>
    <row r="237" spans="1:106" x14ac:dyDescent="0.2">
      <c r="A237">
        <f>ROW(Source!A102)</f>
        <v>102</v>
      </c>
      <c r="B237">
        <v>39579451</v>
      </c>
      <c r="C237">
        <v>39579981</v>
      </c>
      <c r="D237">
        <v>36857459</v>
      </c>
      <c r="E237">
        <v>1</v>
      </c>
      <c r="F237">
        <v>1</v>
      </c>
      <c r="G237">
        <v>1</v>
      </c>
      <c r="H237">
        <v>3</v>
      </c>
      <c r="I237" t="s">
        <v>324</v>
      </c>
      <c r="J237" t="s">
        <v>326</v>
      </c>
      <c r="K237" t="s">
        <v>325</v>
      </c>
      <c r="L237">
        <v>1477</v>
      </c>
      <c r="N237">
        <v>1013</v>
      </c>
      <c r="O237" t="s">
        <v>316</v>
      </c>
      <c r="P237" t="s">
        <v>318</v>
      </c>
      <c r="Q237">
        <v>1</v>
      </c>
      <c r="W237">
        <v>0</v>
      </c>
      <c r="X237">
        <v>194647264</v>
      </c>
      <c r="Y237">
        <v>0.1</v>
      </c>
      <c r="AA237">
        <v>20953.23</v>
      </c>
      <c r="AB237">
        <v>0</v>
      </c>
      <c r="AC237">
        <v>0</v>
      </c>
      <c r="AD237">
        <v>0</v>
      </c>
      <c r="AE237">
        <v>3036.7</v>
      </c>
      <c r="AF237">
        <v>0</v>
      </c>
      <c r="AG237">
        <v>0</v>
      </c>
      <c r="AH237">
        <v>0</v>
      </c>
      <c r="AI237">
        <v>6.9</v>
      </c>
      <c r="AJ237">
        <v>1</v>
      </c>
      <c r="AK237">
        <v>1</v>
      </c>
      <c r="AL237">
        <v>1</v>
      </c>
      <c r="AN237">
        <v>0</v>
      </c>
      <c r="AO237">
        <v>0</v>
      </c>
      <c r="AP237">
        <v>0</v>
      </c>
      <c r="AQ237">
        <v>0</v>
      </c>
      <c r="AR237">
        <v>0</v>
      </c>
      <c r="AS237" t="s">
        <v>3</v>
      </c>
      <c r="AT237">
        <v>0.1</v>
      </c>
      <c r="AU237" t="s">
        <v>3</v>
      </c>
      <c r="AV237">
        <v>0</v>
      </c>
      <c r="AW237">
        <v>1</v>
      </c>
      <c r="AX237">
        <v>-1</v>
      </c>
      <c r="AY237">
        <v>0</v>
      </c>
      <c r="AZ237">
        <v>0</v>
      </c>
      <c r="BA237" t="s">
        <v>3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Y237*Source!I102</f>
        <v>2.0000000000000004E-2</v>
      </c>
      <c r="CY237">
        <f t="shared" si="30"/>
        <v>20953.23</v>
      </c>
      <c r="CZ237">
        <f t="shared" si="31"/>
        <v>3036.7</v>
      </c>
      <c r="DA237">
        <f t="shared" si="32"/>
        <v>6.9</v>
      </c>
      <c r="DB237">
        <v>0</v>
      </c>
    </row>
    <row r="238" spans="1:106" x14ac:dyDescent="0.2">
      <c r="A238">
        <f>ROW(Source!A102)</f>
        <v>102</v>
      </c>
      <c r="B238">
        <v>39579451</v>
      </c>
      <c r="C238">
        <v>39579981</v>
      </c>
      <c r="D238">
        <v>36799065</v>
      </c>
      <c r="E238">
        <v>17</v>
      </c>
      <c r="F238">
        <v>1</v>
      </c>
      <c r="G238">
        <v>1</v>
      </c>
      <c r="H238">
        <v>3</v>
      </c>
      <c r="I238" t="s">
        <v>694</v>
      </c>
      <c r="J238" t="s">
        <v>3</v>
      </c>
      <c r="K238" t="s">
        <v>695</v>
      </c>
      <c r="L238">
        <v>1374</v>
      </c>
      <c r="N238">
        <v>1013</v>
      </c>
      <c r="O238" t="s">
        <v>696</v>
      </c>
      <c r="P238" t="s">
        <v>696</v>
      </c>
      <c r="Q238">
        <v>1</v>
      </c>
      <c r="W238">
        <v>0</v>
      </c>
      <c r="X238">
        <v>-1731369543</v>
      </c>
      <c r="Y238">
        <v>1.01</v>
      </c>
      <c r="AA238">
        <v>1</v>
      </c>
      <c r="AB238">
        <v>0</v>
      </c>
      <c r="AC238">
        <v>0</v>
      </c>
      <c r="AD238">
        <v>0</v>
      </c>
      <c r="AE238">
        <v>1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1.01</v>
      </c>
      <c r="AU238" t="s">
        <v>3</v>
      </c>
      <c r="AV238">
        <v>0</v>
      </c>
      <c r="AW238">
        <v>2</v>
      </c>
      <c r="AX238">
        <v>39579991</v>
      </c>
      <c r="AY238">
        <v>1</v>
      </c>
      <c r="AZ238">
        <v>0</v>
      </c>
      <c r="BA238">
        <v>224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Y238*Source!I102</f>
        <v>0.20200000000000001</v>
      </c>
      <c r="CY238">
        <f t="shared" si="30"/>
        <v>1</v>
      </c>
      <c r="CZ238">
        <f t="shared" si="31"/>
        <v>1</v>
      </c>
      <c r="DA238">
        <f t="shared" si="32"/>
        <v>1</v>
      </c>
      <c r="DB238">
        <v>0</v>
      </c>
    </row>
    <row r="239" spans="1:106" x14ac:dyDescent="0.2">
      <c r="A239">
        <f>ROW(Source!A104)</f>
        <v>104</v>
      </c>
      <c r="B239">
        <v>39579451</v>
      </c>
      <c r="C239">
        <v>39579998</v>
      </c>
      <c r="D239">
        <v>37072767</v>
      </c>
      <c r="E239">
        <v>1</v>
      </c>
      <c r="F239">
        <v>1</v>
      </c>
      <c r="G239">
        <v>1</v>
      </c>
      <c r="H239">
        <v>1</v>
      </c>
      <c r="I239" t="s">
        <v>583</v>
      </c>
      <c r="J239" t="s">
        <v>3</v>
      </c>
      <c r="K239" t="s">
        <v>584</v>
      </c>
      <c r="L239">
        <v>1191</v>
      </c>
      <c r="N239">
        <v>1013</v>
      </c>
      <c r="O239" t="s">
        <v>519</v>
      </c>
      <c r="P239" t="s">
        <v>519</v>
      </c>
      <c r="Q239">
        <v>1</v>
      </c>
      <c r="W239">
        <v>0</v>
      </c>
      <c r="X239">
        <v>-1027537862</v>
      </c>
      <c r="Y239">
        <v>15.64</v>
      </c>
      <c r="AA239">
        <v>0</v>
      </c>
      <c r="AB239">
        <v>0</v>
      </c>
      <c r="AC239">
        <v>0</v>
      </c>
      <c r="AD239">
        <v>63.34</v>
      </c>
      <c r="AE239">
        <v>0</v>
      </c>
      <c r="AF239">
        <v>0</v>
      </c>
      <c r="AG239">
        <v>0</v>
      </c>
      <c r="AH239">
        <v>9.18</v>
      </c>
      <c r="AI239">
        <v>1</v>
      </c>
      <c r="AJ239">
        <v>1</v>
      </c>
      <c r="AK239">
        <v>1</v>
      </c>
      <c r="AL239">
        <v>6.9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15.64</v>
      </c>
      <c r="AU239" t="s">
        <v>3</v>
      </c>
      <c r="AV239">
        <v>1</v>
      </c>
      <c r="AW239">
        <v>2</v>
      </c>
      <c r="AX239">
        <v>39579999</v>
      </c>
      <c r="AY239">
        <v>1</v>
      </c>
      <c r="AZ239">
        <v>0</v>
      </c>
      <c r="BA239">
        <v>225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Y239*Source!I104</f>
        <v>2.9716</v>
      </c>
      <c r="CY239">
        <f>AD239</f>
        <v>63.34</v>
      </c>
      <c r="CZ239">
        <f>AH239</f>
        <v>9.18</v>
      </c>
      <c r="DA239">
        <f>AL239</f>
        <v>6.9</v>
      </c>
      <c r="DB239">
        <v>0</v>
      </c>
    </row>
    <row r="240" spans="1:106" x14ac:dyDescent="0.2">
      <c r="A240">
        <f>ROW(Source!A104)</f>
        <v>104</v>
      </c>
      <c r="B240">
        <v>39579451</v>
      </c>
      <c r="C240">
        <v>39579998</v>
      </c>
      <c r="D240">
        <v>36883883</v>
      </c>
      <c r="E240">
        <v>1</v>
      </c>
      <c r="F240">
        <v>1</v>
      </c>
      <c r="G240">
        <v>1</v>
      </c>
      <c r="H240">
        <v>2</v>
      </c>
      <c r="I240" t="s">
        <v>718</v>
      </c>
      <c r="J240" t="s">
        <v>719</v>
      </c>
      <c r="K240" t="s">
        <v>720</v>
      </c>
      <c r="L240">
        <v>1368</v>
      </c>
      <c r="N240">
        <v>1011</v>
      </c>
      <c r="O240" t="s">
        <v>525</v>
      </c>
      <c r="P240" t="s">
        <v>525</v>
      </c>
      <c r="Q240">
        <v>1</v>
      </c>
      <c r="W240">
        <v>0</v>
      </c>
      <c r="X240">
        <v>-2111251057</v>
      </c>
      <c r="Y240">
        <v>4.0599999999999996</v>
      </c>
      <c r="AA240">
        <v>0</v>
      </c>
      <c r="AB240">
        <v>224.25</v>
      </c>
      <c r="AC240">
        <v>0</v>
      </c>
      <c r="AD240">
        <v>0</v>
      </c>
      <c r="AE240">
        <v>0</v>
      </c>
      <c r="AF240">
        <v>32.5</v>
      </c>
      <c r="AG240">
        <v>0</v>
      </c>
      <c r="AH240">
        <v>0</v>
      </c>
      <c r="AI240">
        <v>1</v>
      </c>
      <c r="AJ240">
        <v>6.9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4.0599999999999996</v>
      </c>
      <c r="AU240" t="s">
        <v>3</v>
      </c>
      <c r="AV240">
        <v>0</v>
      </c>
      <c r="AW240">
        <v>2</v>
      </c>
      <c r="AX240">
        <v>39580000</v>
      </c>
      <c r="AY240">
        <v>1</v>
      </c>
      <c r="AZ240">
        <v>0</v>
      </c>
      <c r="BA240">
        <v>226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Y240*Source!I104</f>
        <v>0.77139999999999997</v>
      </c>
      <c r="CY240">
        <f>AB240</f>
        <v>224.25</v>
      </c>
      <c r="CZ240">
        <f>AF240</f>
        <v>32.5</v>
      </c>
      <c r="DA240">
        <f>AJ240</f>
        <v>6.9</v>
      </c>
      <c r="DB240">
        <v>0</v>
      </c>
    </row>
    <row r="241" spans="1:106" x14ac:dyDescent="0.2">
      <c r="A241">
        <f>ROW(Source!A104)</f>
        <v>104</v>
      </c>
      <c r="B241">
        <v>39579451</v>
      </c>
      <c r="C241">
        <v>39579998</v>
      </c>
      <c r="D241">
        <v>36884481</v>
      </c>
      <c r="E241">
        <v>1</v>
      </c>
      <c r="F241">
        <v>1</v>
      </c>
      <c r="G241">
        <v>1</v>
      </c>
      <c r="H241">
        <v>2</v>
      </c>
      <c r="I241" t="s">
        <v>721</v>
      </c>
      <c r="J241" t="s">
        <v>722</v>
      </c>
      <c r="K241" t="s">
        <v>723</v>
      </c>
      <c r="L241">
        <v>1368</v>
      </c>
      <c r="N241">
        <v>1011</v>
      </c>
      <c r="O241" t="s">
        <v>525</v>
      </c>
      <c r="P241" t="s">
        <v>525</v>
      </c>
      <c r="Q241">
        <v>1</v>
      </c>
      <c r="W241">
        <v>0</v>
      </c>
      <c r="X241">
        <v>1518765163</v>
      </c>
      <c r="Y241">
        <v>8.1199999999999992</v>
      </c>
      <c r="AA241">
        <v>0</v>
      </c>
      <c r="AB241">
        <v>10.56</v>
      </c>
      <c r="AC241">
        <v>0</v>
      </c>
      <c r="AD241">
        <v>0</v>
      </c>
      <c r="AE241">
        <v>0</v>
      </c>
      <c r="AF241">
        <v>1.53</v>
      </c>
      <c r="AG241">
        <v>0</v>
      </c>
      <c r="AH241">
        <v>0</v>
      </c>
      <c r="AI241">
        <v>1</v>
      </c>
      <c r="AJ241">
        <v>6.9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8.1199999999999992</v>
      </c>
      <c r="AU241" t="s">
        <v>3</v>
      </c>
      <c r="AV241">
        <v>0</v>
      </c>
      <c r="AW241">
        <v>2</v>
      </c>
      <c r="AX241">
        <v>39580001</v>
      </c>
      <c r="AY241">
        <v>1</v>
      </c>
      <c r="AZ241">
        <v>0</v>
      </c>
      <c r="BA241">
        <v>227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Y241*Source!I104</f>
        <v>1.5427999999999999</v>
      </c>
      <c r="CY241">
        <f>AB241</f>
        <v>10.56</v>
      </c>
      <c r="CZ241">
        <f>AF241</f>
        <v>1.53</v>
      </c>
      <c r="DA241">
        <f>AJ241</f>
        <v>6.9</v>
      </c>
      <c r="DB241">
        <v>0</v>
      </c>
    </row>
    <row r="242" spans="1:106" x14ac:dyDescent="0.2">
      <c r="A242">
        <f>ROW(Source!A105)</f>
        <v>105</v>
      </c>
      <c r="B242">
        <v>39579451</v>
      </c>
      <c r="C242">
        <v>39580491</v>
      </c>
      <c r="D242">
        <v>37064978</v>
      </c>
      <c r="E242">
        <v>1</v>
      </c>
      <c r="F242">
        <v>1</v>
      </c>
      <c r="G242">
        <v>1</v>
      </c>
      <c r="H242">
        <v>1</v>
      </c>
      <c r="I242" t="s">
        <v>635</v>
      </c>
      <c r="J242" t="s">
        <v>3</v>
      </c>
      <c r="K242" t="s">
        <v>636</v>
      </c>
      <c r="L242">
        <v>1191</v>
      </c>
      <c r="N242">
        <v>1013</v>
      </c>
      <c r="O242" t="s">
        <v>519</v>
      </c>
      <c r="P242" t="s">
        <v>519</v>
      </c>
      <c r="Q242">
        <v>1</v>
      </c>
      <c r="W242">
        <v>0</v>
      </c>
      <c r="X242">
        <v>-719309759</v>
      </c>
      <c r="Y242">
        <v>228.35</v>
      </c>
      <c r="AA242">
        <v>0</v>
      </c>
      <c r="AB242">
        <v>0</v>
      </c>
      <c r="AC242">
        <v>0</v>
      </c>
      <c r="AD242">
        <v>61.13</v>
      </c>
      <c r="AE242">
        <v>0</v>
      </c>
      <c r="AF242">
        <v>0</v>
      </c>
      <c r="AG242">
        <v>0</v>
      </c>
      <c r="AH242">
        <v>8.86</v>
      </c>
      <c r="AI242">
        <v>1</v>
      </c>
      <c r="AJ242">
        <v>1</v>
      </c>
      <c r="AK242">
        <v>1</v>
      </c>
      <c r="AL242">
        <v>6.9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228.35</v>
      </c>
      <c r="AU242" t="s">
        <v>3</v>
      </c>
      <c r="AV242">
        <v>1</v>
      </c>
      <c r="AW242">
        <v>2</v>
      </c>
      <c r="AX242">
        <v>39580492</v>
      </c>
      <c r="AY242">
        <v>1</v>
      </c>
      <c r="AZ242">
        <v>0</v>
      </c>
      <c r="BA242">
        <v>228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Y242*Source!I105</f>
        <v>2.1693249999999997</v>
      </c>
      <c r="CY242">
        <f>AD242</f>
        <v>61.13</v>
      </c>
      <c r="CZ242">
        <f>AH242</f>
        <v>8.86</v>
      </c>
      <c r="DA242">
        <f>AL242</f>
        <v>6.9</v>
      </c>
      <c r="DB242">
        <v>0</v>
      </c>
    </row>
    <row r="243" spans="1:106" x14ac:dyDescent="0.2">
      <c r="A243">
        <f>ROW(Source!A105)</f>
        <v>105</v>
      </c>
      <c r="B243">
        <v>39579451</v>
      </c>
      <c r="C243">
        <v>39580491</v>
      </c>
      <c r="D243">
        <v>37064876</v>
      </c>
      <c r="E243">
        <v>1</v>
      </c>
      <c r="F243">
        <v>1</v>
      </c>
      <c r="G243">
        <v>1</v>
      </c>
      <c r="H243">
        <v>1</v>
      </c>
      <c r="I243" t="s">
        <v>520</v>
      </c>
      <c r="J243" t="s">
        <v>3</v>
      </c>
      <c r="K243" t="s">
        <v>521</v>
      </c>
      <c r="L243">
        <v>1191</v>
      </c>
      <c r="N243">
        <v>1013</v>
      </c>
      <c r="O243" t="s">
        <v>519</v>
      </c>
      <c r="P243" t="s">
        <v>519</v>
      </c>
      <c r="Q243">
        <v>1</v>
      </c>
      <c r="W243">
        <v>0</v>
      </c>
      <c r="X243">
        <v>-1417349443</v>
      </c>
      <c r="Y243">
        <v>0.67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1</v>
      </c>
      <c r="AJ243">
        <v>1</v>
      </c>
      <c r="AK243">
        <v>6.9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3</v>
      </c>
      <c r="AT243">
        <v>0.67</v>
      </c>
      <c r="AU243" t="s">
        <v>3</v>
      </c>
      <c r="AV243">
        <v>2</v>
      </c>
      <c r="AW243">
        <v>2</v>
      </c>
      <c r="AX243">
        <v>39580493</v>
      </c>
      <c r="AY243">
        <v>1</v>
      </c>
      <c r="AZ243">
        <v>0</v>
      </c>
      <c r="BA243">
        <v>229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Y243*Source!I105</f>
        <v>6.365E-3</v>
      </c>
      <c r="CY243">
        <f>AD243</f>
        <v>0</v>
      </c>
      <c r="CZ243">
        <f>AH243</f>
        <v>0</v>
      </c>
      <c r="DA243">
        <f>AL243</f>
        <v>1</v>
      </c>
      <c r="DB243">
        <v>0</v>
      </c>
    </row>
    <row r="244" spans="1:106" x14ac:dyDescent="0.2">
      <c r="A244">
        <f>ROW(Source!A105)</f>
        <v>105</v>
      </c>
      <c r="B244">
        <v>39579451</v>
      </c>
      <c r="C244">
        <v>39580491</v>
      </c>
      <c r="D244">
        <v>36882452</v>
      </c>
      <c r="E244">
        <v>1</v>
      </c>
      <c r="F244">
        <v>1</v>
      </c>
      <c r="G244">
        <v>1</v>
      </c>
      <c r="H244">
        <v>2</v>
      </c>
      <c r="I244" t="s">
        <v>522</v>
      </c>
      <c r="J244" t="s">
        <v>523</v>
      </c>
      <c r="K244" t="s">
        <v>524</v>
      </c>
      <c r="L244">
        <v>1368</v>
      </c>
      <c r="N244">
        <v>1011</v>
      </c>
      <c r="O244" t="s">
        <v>525</v>
      </c>
      <c r="P244" t="s">
        <v>525</v>
      </c>
      <c r="Q244">
        <v>1</v>
      </c>
      <c r="W244">
        <v>0</v>
      </c>
      <c r="X244">
        <v>1188625873</v>
      </c>
      <c r="Y244">
        <v>0.67</v>
      </c>
      <c r="AA244">
        <v>0</v>
      </c>
      <c r="AB244">
        <v>215.69</v>
      </c>
      <c r="AC244">
        <v>13.5</v>
      </c>
      <c r="AD244">
        <v>0</v>
      </c>
      <c r="AE244">
        <v>0</v>
      </c>
      <c r="AF244">
        <v>31.26</v>
      </c>
      <c r="AG244">
        <v>13.5</v>
      </c>
      <c r="AH244">
        <v>0</v>
      </c>
      <c r="AI244">
        <v>1</v>
      </c>
      <c r="AJ244">
        <v>6.9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0.67</v>
      </c>
      <c r="AU244" t="s">
        <v>3</v>
      </c>
      <c r="AV244">
        <v>0</v>
      </c>
      <c r="AW244">
        <v>2</v>
      </c>
      <c r="AX244">
        <v>39580494</v>
      </c>
      <c r="AY244">
        <v>1</v>
      </c>
      <c r="AZ244">
        <v>0</v>
      </c>
      <c r="BA244">
        <v>230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Y244*Source!I105</f>
        <v>6.365E-3</v>
      </c>
      <c r="CY244">
        <f>AB244</f>
        <v>215.69</v>
      </c>
      <c r="CZ244">
        <f>AF244</f>
        <v>31.26</v>
      </c>
      <c r="DA244">
        <f>AJ244</f>
        <v>6.9</v>
      </c>
      <c r="DB244">
        <v>0</v>
      </c>
    </row>
    <row r="245" spans="1:106" x14ac:dyDescent="0.2">
      <c r="A245">
        <f>ROW(Source!A105)</f>
        <v>105</v>
      </c>
      <c r="B245">
        <v>39579451</v>
      </c>
      <c r="C245">
        <v>39580491</v>
      </c>
      <c r="D245">
        <v>36801792</v>
      </c>
      <c r="E245">
        <v>1</v>
      </c>
      <c r="F245">
        <v>1</v>
      </c>
      <c r="G245">
        <v>1</v>
      </c>
      <c r="H245">
        <v>3</v>
      </c>
      <c r="I245" t="s">
        <v>564</v>
      </c>
      <c r="J245" t="s">
        <v>565</v>
      </c>
      <c r="K245" t="s">
        <v>566</v>
      </c>
      <c r="L245">
        <v>1339</v>
      </c>
      <c r="N245">
        <v>1007</v>
      </c>
      <c r="O245" t="s">
        <v>86</v>
      </c>
      <c r="P245" t="s">
        <v>86</v>
      </c>
      <c r="Q245">
        <v>1</v>
      </c>
      <c r="W245">
        <v>0</v>
      </c>
      <c r="X245">
        <v>-1660354250</v>
      </c>
      <c r="Y245">
        <v>0.35</v>
      </c>
      <c r="AA245">
        <v>16.84</v>
      </c>
      <c r="AB245">
        <v>0</v>
      </c>
      <c r="AC245">
        <v>0</v>
      </c>
      <c r="AD245">
        <v>0</v>
      </c>
      <c r="AE245">
        <v>2.44</v>
      </c>
      <c r="AF245">
        <v>0</v>
      </c>
      <c r="AG245">
        <v>0</v>
      </c>
      <c r="AH245">
        <v>0</v>
      </c>
      <c r="AI245">
        <v>6.9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3</v>
      </c>
      <c r="AT245">
        <v>0.35</v>
      </c>
      <c r="AU245" t="s">
        <v>3</v>
      </c>
      <c r="AV245">
        <v>0</v>
      </c>
      <c r="AW245">
        <v>2</v>
      </c>
      <c r="AX245">
        <v>39580495</v>
      </c>
      <c r="AY245">
        <v>1</v>
      </c>
      <c r="AZ245">
        <v>0</v>
      </c>
      <c r="BA245">
        <v>231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Y245*Source!I105</f>
        <v>3.3249999999999998E-3</v>
      </c>
      <c r="CY245">
        <f>AA245</f>
        <v>16.84</v>
      </c>
      <c r="CZ245">
        <f>AE245</f>
        <v>2.44</v>
      </c>
      <c r="DA245">
        <f>AI245</f>
        <v>6.9</v>
      </c>
      <c r="DB245">
        <v>0</v>
      </c>
    </row>
    <row r="246" spans="1:106" x14ac:dyDescent="0.2">
      <c r="A246">
        <f>ROW(Source!A105)</f>
        <v>105</v>
      </c>
      <c r="B246">
        <v>39579451</v>
      </c>
      <c r="C246">
        <v>39580491</v>
      </c>
      <c r="D246">
        <v>36807381</v>
      </c>
      <c r="E246">
        <v>1</v>
      </c>
      <c r="F246">
        <v>1</v>
      </c>
      <c r="G246">
        <v>1</v>
      </c>
      <c r="H246">
        <v>3</v>
      </c>
      <c r="I246" t="s">
        <v>724</v>
      </c>
      <c r="J246" t="s">
        <v>725</v>
      </c>
      <c r="K246" t="s">
        <v>726</v>
      </c>
      <c r="L246">
        <v>1339</v>
      </c>
      <c r="N246">
        <v>1007</v>
      </c>
      <c r="O246" t="s">
        <v>86</v>
      </c>
      <c r="P246" t="s">
        <v>86</v>
      </c>
      <c r="Q246">
        <v>1</v>
      </c>
      <c r="W246">
        <v>0</v>
      </c>
      <c r="X246">
        <v>-1001479081</v>
      </c>
      <c r="Y246">
        <v>2.2000000000000002</v>
      </c>
      <c r="AA246">
        <v>3573.58</v>
      </c>
      <c r="AB246">
        <v>0</v>
      </c>
      <c r="AC246">
        <v>0</v>
      </c>
      <c r="AD246">
        <v>0</v>
      </c>
      <c r="AE246">
        <v>517.91</v>
      </c>
      <c r="AF246">
        <v>0</v>
      </c>
      <c r="AG246">
        <v>0</v>
      </c>
      <c r="AH246">
        <v>0</v>
      </c>
      <c r="AI246">
        <v>6.9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3</v>
      </c>
      <c r="AT246">
        <v>2.2000000000000002</v>
      </c>
      <c r="AU246" t="s">
        <v>3</v>
      </c>
      <c r="AV246">
        <v>0</v>
      </c>
      <c r="AW246">
        <v>2</v>
      </c>
      <c r="AX246">
        <v>39580497</v>
      </c>
      <c r="AY246">
        <v>1</v>
      </c>
      <c r="AZ246">
        <v>0</v>
      </c>
      <c r="BA246">
        <v>233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Y246*Source!I105</f>
        <v>2.0900000000000002E-2</v>
      </c>
      <c r="CY246">
        <f>AA246</f>
        <v>3573.58</v>
      </c>
      <c r="CZ246">
        <f>AE246</f>
        <v>517.91</v>
      </c>
      <c r="DA246">
        <f>AI246</f>
        <v>6.9</v>
      </c>
      <c r="DB246">
        <v>0</v>
      </c>
    </row>
    <row r="247" spans="1:106" x14ac:dyDescent="0.2">
      <c r="A247">
        <f>ROW(Source!A106)</f>
        <v>106</v>
      </c>
      <c r="B247">
        <v>39579451</v>
      </c>
      <c r="C247">
        <v>39580002</v>
      </c>
      <c r="D247">
        <v>37064878</v>
      </c>
      <c r="E247">
        <v>1</v>
      </c>
      <c r="F247">
        <v>1</v>
      </c>
      <c r="G247">
        <v>1</v>
      </c>
      <c r="H247">
        <v>1</v>
      </c>
      <c r="I247" t="s">
        <v>517</v>
      </c>
      <c r="J247" t="s">
        <v>3</v>
      </c>
      <c r="K247" t="s">
        <v>518</v>
      </c>
      <c r="L247">
        <v>1191</v>
      </c>
      <c r="N247">
        <v>1013</v>
      </c>
      <c r="O247" t="s">
        <v>519</v>
      </c>
      <c r="P247" t="s">
        <v>519</v>
      </c>
      <c r="Q247">
        <v>1</v>
      </c>
      <c r="W247">
        <v>0</v>
      </c>
      <c r="X247">
        <v>-1081351934</v>
      </c>
      <c r="Y247">
        <v>16.5</v>
      </c>
      <c r="AA247">
        <v>0</v>
      </c>
      <c r="AB247">
        <v>0</v>
      </c>
      <c r="AC247">
        <v>0</v>
      </c>
      <c r="AD247">
        <v>64.86</v>
      </c>
      <c r="AE247">
        <v>0</v>
      </c>
      <c r="AF247">
        <v>0</v>
      </c>
      <c r="AG247">
        <v>0</v>
      </c>
      <c r="AH247">
        <v>9.4</v>
      </c>
      <c r="AI247">
        <v>1</v>
      </c>
      <c r="AJ247">
        <v>1</v>
      </c>
      <c r="AK247">
        <v>1</v>
      </c>
      <c r="AL247">
        <v>6.9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3</v>
      </c>
      <c r="AT247">
        <v>16.5</v>
      </c>
      <c r="AU247" t="s">
        <v>3</v>
      </c>
      <c r="AV247">
        <v>1</v>
      </c>
      <c r="AW247">
        <v>2</v>
      </c>
      <c r="AX247">
        <v>39580003</v>
      </c>
      <c r="AY247">
        <v>1</v>
      </c>
      <c r="AZ247">
        <v>0</v>
      </c>
      <c r="BA247">
        <v>234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Y247*Source!I106</f>
        <v>6.2700000000000005</v>
      </c>
      <c r="CY247">
        <f>AD247</f>
        <v>64.86</v>
      </c>
      <c r="CZ247">
        <f>AH247</f>
        <v>9.4</v>
      </c>
      <c r="DA247">
        <f>AL247</f>
        <v>6.9</v>
      </c>
      <c r="DB247">
        <v>0</v>
      </c>
    </row>
    <row r="248" spans="1:106" x14ac:dyDescent="0.2">
      <c r="A248">
        <f>ROW(Source!A106)</f>
        <v>106</v>
      </c>
      <c r="B248">
        <v>39579451</v>
      </c>
      <c r="C248">
        <v>39580002</v>
      </c>
      <c r="D248">
        <v>37064876</v>
      </c>
      <c r="E248">
        <v>1</v>
      </c>
      <c r="F248">
        <v>1</v>
      </c>
      <c r="G248">
        <v>1</v>
      </c>
      <c r="H248">
        <v>1</v>
      </c>
      <c r="I248" t="s">
        <v>520</v>
      </c>
      <c r="J248" t="s">
        <v>3</v>
      </c>
      <c r="K248" t="s">
        <v>521</v>
      </c>
      <c r="L248">
        <v>1191</v>
      </c>
      <c r="N248">
        <v>1013</v>
      </c>
      <c r="O248" t="s">
        <v>519</v>
      </c>
      <c r="P248" t="s">
        <v>519</v>
      </c>
      <c r="Q248">
        <v>1</v>
      </c>
      <c r="W248">
        <v>0</v>
      </c>
      <c r="X248">
        <v>-1417349443</v>
      </c>
      <c r="Y248">
        <v>0.04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6.9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0.04</v>
      </c>
      <c r="AU248" t="s">
        <v>3</v>
      </c>
      <c r="AV248">
        <v>2</v>
      </c>
      <c r="AW248">
        <v>2</v>
      </c>
      <c r="AX248">
        <v>39580004</v>
      </c>
      <c r="AY248">
        <v>1</v>
      </c>
      <c r="AZ248">
        <v>0</v>
      </c>
      <c r="BA248">
        <v>235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Y248*Source!I106</f>
        <v>1.52E-2</v>
      </c>
      <c r="CY248">
        <f>AD248</f>
        <v>0</v>
      </c>
      <c r="CZ248">
        <f>AH248</f>
        <v>0</v>
      </c>
      <c r="DA248">
        <f>AL248</f>
        <v>1</v>
      </c>
      <c r="DB248">
        <v>0</v>
      </c>
    </row>
    <row r="249" spans="1:106" x14ac:dyDescent="0.2">
      <c r="A249">
        <f>ROW(Source!A106)</f>
        <v>106</v>
      </c>
      <c r="B249">
        <v>39579451</v>
      </c>
      <c r="C249">
        <v>39580002</v>
      </c>
      <c r="D249">
        <v>36882159</v>
      </c>
      <c r="E249">
        <v>1</v>
      </c>
      <c r="F249">
        <v>1</v>
      </c>
      <c r="G249">
        <v>1</v>
      </c>
      <c r="H249">
        <v>2</v>
      </c>
      <c r="I249" t="s">
        <v>620</v>
      </c>
      <c r="J249" t="s">
        <v>621</v>
      </c>
      <c r="K249" t="s">
        <v>622</v>
      </c>
      <c r="L249">
        <v>1368</v>
      </c>
      <c r="N249">
        <v>1011</v>
      </c>
      <c r="O249" t="s">
        <v>525</v>
      </c>
      <c r="P249" t="s">
        <v>525</v>
      </c>
      <c r="Q249">
        <v>1</v>
      </c>
      <c r="W249">
        <v>0</v>
      </c>
      <c r="X249">
        <v>-1718674368</v>
      </c>
      <c r="Y249">
        <v>0.02</v>
      </c>
      <c r="AA249">
        <v>0</v>
      </c>
      <c r="AB249">
        <v>772.73</v>
      </c>
      <c r="AC249">
        <v>13.5</v>
      </c>
      <c r="AD249">
        <v>0</v>
      </c>
      <c r="AE249">
        <v>0</v>
      </c>
      <c r="AF249">
        <v>111.99</v>
      </c>
      <c r="AG249">
        <v>13.5</v>
      </c>
      <c r="AH249">
        <v>0</v>
      </c>
      <c r="AI249">
        <v>1</v>
      </c>
      <c r="AJ249">
        <v>6.9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3</v>
      </c>
      <c r="AT249">
        <v>0.02</v>
      </c>
      <c r="AU249" t="s">
        <v>3</v>
      </c>
      <c r="AV249">
        <v>0</v>
      </c>
      <c r="AW249">
        <v>2</v>
      </c>
      <c r="AX249">
        <v>39580005</v>
      </c>
      <c r="AY249">
        <v>1</v>
      </c>
      <c r="AZ249">
        <v>0</v>
      </c>
      <c r="BA249">
        <v>236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Y249*Source!I106</f>
        <v>7.6E-3</v>
      </c>
      <c r="CY249">
        <f>AB249</f>
        <v>772.73</v>
      </c>
      <c r="CZ249">
        <f>AF249</f>
        <v>111.99</v>
      </c>
      <c r="DA249">
        <f>AJ249</f>
        <v>6.9</v>
      </c>
      <c r="DB249">
        <v>0</v>
      </c>
    </row>
    <row r="250" spans="1:106" x14ac:dyDescent="0.2">
      <c r="A250">
        <f>ROW(Source!A106)</f>
        <v>106</v>
      </c>
      <c r="B250">
        <v>39579451</v>
      </c>
      <c r="C250">
        <v>39580002</v>
      </c>
      <c r="D250">
        <v>36883554</v>
      </c>
      <c r="E250">
        <v>1</v>
      </c>
      <c r="F250">
        <v>1</v>
      </c>
      <c r="G250">
        <v>1</v>
      </c>
      <c r="H250">
        <v>2</v>
      </c>
      <c r="I250" t="s">
        <v>526</v>
      </c>
      <c r="J250" t="s">
        <v>527</v>
      </c>
      <c r="K250" t="s">
        <v>528</v>
      </c>
      <c r="L250">
        <v>1368</v>
      </c>
      <c r="N250">
        <v>1011</v>
      </c>
      <c r="O250" t="s">
        <v>525</v>
      </c>
      <c r="P250" t="s">
        <v>525</v>
      </c>
      <c r="Q250">
        <v>1</v>
      </c>
      <c r="W250">
        <v>0</v>
      </c>
      <c r="X250">
        <v>1372534845</v>
      </c>
      <c r="Y250">
        <v>0.02</v>
      </c>
      <c r="AA250">
        <v>0</v>
      </c>
      <c r="AB250">
        <v>453.4</v>
      </c>
      <c r="AC250">
        <v>11.6</v>
      </c>
      <c r="AD250">
        <v>0</v>
      </c>
      <c r="AE250">
        <v>0</v>
      </c>
      <c r="AF250">
        <v>65.709999999999994</v>
      </c>
      <c r="AG250">
        <v>11.6</v>
      </c>
      <c r="AH250">
        <v>0</v>
      </c>
      <c r="AI250">
        <v>1</v>
      </c>
      <c r="AJ250">
        <v>6.9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0.02</v>
      </c>
      <c r="AU250" t="s">
        <v>3</v>
      </c>
      <c r="AV250">
        <v>0</v>
      </c>
      <c r="AW250">
        <v>2</v>
      </c>
      <c r="AX250">
        <v>39580006</v>
      </c>
      <c r="AY250">
        <v>1</v>
      </c>
      <c r="AZ250">
        <v>0</v>
      </c>
      <c r="BA250">
        <v>237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Y250*Source!I106</f>
        <v>7.6E-3</v>
      </c>
      <c r="CY250">
        <f>AB250</f>
        <v>453.4</v>
      </c>
      <c r="CZ250">
        <f>AF250</f>
        <v>65.709999999999994</v>
      </c>
      <c r="DA250">
        <f>AJ250</f>
        <v>6.9</v>
      </c>
      <c r="DB250">
        <v>0</v>
      </c>
    </row>
    <row r="251" spans="1:106" x14ac:dyDescent="0.2">
      <c r="A251">
        <f>ROW(Source!A106)</f>
        <v>106</v>
      </c>
      <c r="B251">
        <v>39579451</v>
      </c>
      <c r="C251">
        <v>39580002</v>
      </c>
      <c r="D251">
        <v>36806488</v>
      </c>
      <c r="E251">
        <v>1</v>
      </c>
      <c r="F251">
        <v>1</v>
      </c>
      <c r="G251">
        <v>1</v>
      </c>
      <c r="H251">
        <v>3</v>
      </c>
      <c r="I251" t="s">
        <v>160</v>
      </c>
      <c r="J251" t="s">
        <v>162</v>
      </c>
      <c r="K251" t="s">
        <v>161</v>
      </c>
      <c r="L251">
        <v>1348</v>
      </c>
      <c r="N251">
        <v>1009</v>
      </c>
      <c r="O251" t="s">
        <v>105</v>
      </c>
      <c r="P251" t="s">
        <v>105</v>
      </c>
      <c r="Q251">
        <v>1000</v>
      </c>
      <c r="W251">
        <v>0</v>
      </c>
      <c r="X251">
        <v>-1421715385</v>
      </c>
      <c r="Y251">
        <v>0.01</v>
      </c>
      <c r="AA251">
        <v>5036.8599999999997</v>
      </c>
      <c r="AB251">
        <v>0</v>
      </c>
      <c r="AC251">
        <v>0</v>
      </c>
      <c r="AD251">
        <v>0</v>
      </c>
      <c r="AE251">
        <v>729.98</v>
      </c>
      <c r="AF251">
        <v>0</v>
      </c>
      <c r="AG251">
        <v>0</v>
      </c>
      <c r="AH251">
        <v>0</v>
      </c>
      <c r="AI251">
        <v>6.9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0.01</v>
      </c>
      <c r="AU251" t="s">
        <v>3</v>
      </c>
      <c r="AV251">
        <v>0</v>
      </c>
      <c r="AW251">
        <v>2</v>
      </c>
      <c r="AX251">
        <v>39580007</v>
      </c>
      <c r="AY251">
        <v>1</v>
      </c>
      <c r="AZ251">
        <v>0</v>
      </c>
      <c r="BA251">
        <v>238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Y251*Source!I106</f>
        <v>3.8E-3</v>
      </c>
      <c r="CY251">
        <f>AA251</f>
        <v>5036.8599999999997</v>
      </c>
      <c r="CZ251">
        <f>AE251</f>
        <v>729.98</v>
      </c>
      <c r="DA251">
        <f>AI251</f>
        <v>6.9</v>
      </c>
      <c r="DB251">
        <v>0</v>
      </c>
    </row>
    <row r="252" spans="1:106" x14ac:dyDescent="0.2">
      <c r="A252">
        <f>ROW(Source!A106)</f>
        <v>106</v>
      </c>
      <c r="B252">
        <v>39579451</v>
      </c>
      <c r="C252">
        <v>39580002</v>
      </c>
      <c r="D252">
        <v>36838317</v>
      </c>
      <c r="E252">
        <v>1</v>
      </c>
      <c r="F252">
        <v>1</v>
      </c>
      <c r="G252">
        <v>1</v>
      </c>
      <c r="H252">
        <v>3</v>
      </c>
      <c r="I252" t="s">
        <v>703</v>
      </c>
      <c r="J252" t="s">
        <v>704</v>
      </c>
      <c r="K252" t="s">
        <v>229</v>
      </c>
      <c r="L252">
        <v>1346</v>
      </c>
      <c r="N252">
        <v>1009</v>
      </c>
      <c r="O252" t="s">
        <v>118</v>
      </c>
      <c r="P252" t="s">
        <v>118</v>
      </c>
      <c r="Q252">
        <v>1</v>
      </c>
      <c r="W252">
        <v>0</v>
      </c>
      <c r="X252">
        <v>210558753</v>
      </c>
      <c r="Y252">
        <v>0.3</v>
      </c>
      <c r="AA252">
        <v>197.34</v>
      </c>
      <c r="AB252">
        <v>0</v>
      </c>
      <c r="AC252">
        <v>0</v>
      </c>
      <c r="AD252">
        <v>0</v>
      </c>
      <c r="AE252">
        <v>28.6</v>
      </c>
      <c r="AF252">
        <v>0</v>
      </c>
      <c r="AG252">
        <v>0</v>
      </c>
      <c r="AH252">
        <v>0</v>
      </c>
      <c r="AI252">
        <v>6.9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3</v>
      </c>
      <c r="AT252">
        <v>0.3</v>
      </c>
      <c r="AU252" t="s">
        <v>3</v>
      </c>
      <c r="AV252">
        <v>0</v>
      </c>
      <c r="AW252">
        <v>2</v>
      </c>
      <c r="AX252">
        <v>39580008</v>
      </c>
      <c r="AY252">
        <v>1</v>
      </c>
      <c r="AZ252">
        <v>0</v>
      </c>
      <c r="BA252">
        <v>239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Y252*Source!I106</f>
        <v>0.11399999999999999</v>
      </c>
      <c r="CY252">
        <f>AA252</f>
        <v>197.34</v>
      </c>
      <c r="CZ252">
        <f>AE252</f>
        <v>28.6</v>
      </c>
      <c r="DA252">
        <f>AI252</f>
        <v>6.9</v>
      </c>
      <c r="DB252">
        <v>0</v>
      </c>
    </row>
    <row r="253" spans="1:106" x14ac:dyDescent="0.2">
      <c r="A253">
        <f>ROW(Source!A106)</f>
        <v>106</v>
      </c>
      <c r="B253">
        <v>39579451</v>
      </c>
      <c r="C253">
        <v>39580002</v>
      </c>
      <c r="D253">
        <v>36857459</v>
      </c>
      <c r="E253">
        <v>1</v>
      </c>
      <c r="F253">
        <v>1</v>
      </c>
      <c r="G253">
        <v>1</v>
      </c>
      <c r="H253">
        <v>3</v>
      </c>
      <c r="I253" t="s">
        <v>324</v>
      </c>
      <c r="J253" t="s">
        <v>326</v>
      </c>
      <c r="K253" t="s">
        <v>325</v>
      </c>
      <c r="L253">
        <v>1477</v>
      </c>
      <c r="N253">
        <v>1013</v>
      </c>
      <c r="O253" t="s">
        <v>316</v>
      </c>
      <c r="P253" t="s">
        <v>318</v>
      </c>
      <c r="Q253">
        <v>1</v>
      </c>
      <c r="W253">
        <v>0</v>
      </c>
      <c r="X253">
        <v>194647264</v>
      </c>
      <c r="Y253">
        <v>0.1</v>
      </c>
      <c r="AA253">
        <v>20953.23</v>
      </c>
      <c r="AB253">
        <v>0</v>
      </c>
      <c r="AC253">
        <v>0</v>
      </c>
      <c r="AD253">
        <v>0</v>
      </c>
      <c r="AE253">
        <v>3036.7</v>
      </c>
      <c r="AF253">
        <v>0</v>
      </c>
      <c r="AG253">
        <v>0</v>
      </c>
      <c r="AH253">
        <v>0</v>
      </c>
      <c r="AI253">
        <v>6.9</v>
      </c>
      <c r="AJ253">
        <v>1</v>
      </c>
      <c r="AK253">
        <v>1</v>
      </c>
      <c r="AL253">
        <v>1</v>
      </c>
      <c r="AN253">
        <v>0</v>
      </c>
      <c r="AO253">
        <v>0</v>
      </c>
      <c r="AP253">
        <v>0</v>
      </c>
      <c r="AQ253">
        <v>0</v>
      </c>
      <c r="AR253">
        <v>0</v>
      </c>
      <c r="AS253" t="s">
        <v>3</v>
      </c>
      <c r="AT253">
        <v>0.1</v>
      </c>
      <c r="AU253" t="s">
        <v>3</v>
      </c>
      <c r="AV253">
        <v>0</v>
      </c>
      <c r="AW253">
        <v>1</v>
      </c>
      <c r="AX253">
        <v>-1</v>
      </c>
      <c r="AY253">
        <v>0</v>
      </c>
      <c r="AZ253">
        <v>0</v>
      </c>
      <c r="BA253" t="s">
        <v>3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Y253*Source!I106</f>
        <v>3.8000000000000006E-2</v>
      </c>
      <c r="CY253">
        <f>AA253</f>
        <v>20953.23</v>
      </c>
      <c r="CZ253">
        <f>AE253</f>
        <v>3036.7</v>
      </c>
      <c r="DA253">
        <f>AI253</f>
        <v>6.9</v>
      </c>
      <c r="DB253">
        <v>0</v>
      </c>
    </row>
    <row r="254" spans="1:106" x14ac:dyDescent="0.2">
      <c r="A254">
        <f>ROW(Source!A106)</f>
        <v>106</v>
      </c>
      <c r="B254">
        <v>39579451</v>
      </c>
      <c r="C254">
        <v>39580002</v>
      </c>
      <c r="D254">
        <v>36867793</v>
      </c>
      <c r="E254">
        <v>1</v>
      </c>
      <c r="F254">
        <v>1</v>
      </c>
      <c r="G254">
        <v>1</v>
      </c>
      <c r="H254">
        <v>3</v>
      </c>
      <c r="I254" t="s">
        <v>727</v>
      </c>
      <c r="J254" t="s">
        <v>728</v>
      </c>
      <c r="K254" t="s">
        <v>729</v>
      </c>
      <c r="L254">
        <v>1346</v>
      </c>
      <c r="N254">
        <v>1009</v>
      </c>
      <c r="O254" t="s">
        <v>118</v>
      </c>
      <c r="P254" t="s">
        <v>118</v>
      </c>
      <c r="Q254">
        <v>1</v>
      </c>
      <c r="W254">
        <v>0</v>
      </c>
      <c r="X254">
        <v>1907110972</v>
      </c>
      <c r="Y254">
        <v>0.53</v>
      </c>
      <c r="AA254">
        <v>287.73</v>
      </c>
      <c r="AB254">
        <v>0</v>
      </c>
      <c r="AC254">
        <v>0</v>
      </c>
      <c r="AD254">
        <v>0</v>
      </c>
      <c r="AE254">
        <v>41.7</v>
      </c>
      <c r="AF254">
        <v>0</v>
      </c>
      <c r="AG254">
        <v>0</v>
      </c>
      <c r="AH254">
        <v>0</v>
      </c>
      <c r="AI254">
        <v>6.9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0.53</v>
      </c>
      <c r="AU254" t="s">
        <v>3</v>
      </c>
      <c r="AV254">
        <v>0</v>
      </c>
      <c r="AW254">
        <v>2</v>
      </c>
      <c r="AX254">
        <v>39580009</v>
      </c>
      <c r="AY254">
        <v>1</v>
      </c>
      <c r="AZ254">
        <v>0</v>
      </c>
      <c r="BA254">
        <v>240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Y254*Source!I106</f>
        <v>0.20140000000000002</v>
      </c>
      <c r="CY254">
        <f>AA254</f>
        <v>287.73</v>
      </c>
      <c r="CZ254">
        <f>AE254</f>
        <v>41.7</v>
      </c>
      <c r="DA254">
        <f>AI254</f>
        <v>6.9</v>
      </c>
      <c r="DB254">
        <v>0</v>
      </c>
    </row>
    <row r="255" spans="1:106" x14ac:dyDescent="0.2">
      <c r="A255">
        <f>ROW(Source!A106)</f>
        <v>106</v>
      </c>
      <c r="B255">
        <v>39579451</v>
      </c>
      <c r="C255">
        <v>39580002</v>
      </c>
      <c r="D255">
        <v>36799065</v>
      </c>
      <c r="E255">
        <v>17</v>
      </c>
      <c r="F255">
        <v>1</v>
      </c>
      <c r="G255">
        <v>1</v>
      </c>
      <c r="H255">
        <v>3</v>
      </c>
      <c r="I255" t="s">
        <v>694</v>
      </c>
      <c r="J255" t="s">
        <v>3</v>
      </c>
      <c r="K255" t="s">
        <v>695</v>
      </c>
      <c r="L255">
        <v>1374</v>
      </c>
      <c r="N255">
        <v>1013</v>
      </c>
      <c r="O255" t="s">
        <v>696</v>
      </c>
      <c r="P255" t="s">
        <v>696</v>
      </c>
      <c r="Q255">
        <v>1</v>
      </c>
      <c r="W255">
        <v>0</v>
      </c>
      <c r="X255">
        <v>-1731369543</v>
      </c>
      <c r="Y255">
        <v>3.1</v>
      </c>
      <c r="AA255">
        <v>1</v>
      </c>
      <c r="AB255">
        <v>0</v>
      </c>
      <c r="AC255">
        <v>0</v>
      </c>
      <c r="AD255">
        <v>0</v>
      </c>
      <c r="AE255">
        <v>1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3</v>
      </c>
      <c r="AT255">
        <v>3.1</v>
      </c>
      <c r="AU255" t="s">
        <v>3</v>
      </c>
      <c r="AV255">
        <v>0</v>
      </c>
      <c r="AW255">
        <v>2</v>
      </c>
      <c r="AX255">
        <v>39580010</v>
      </c>
      <c r="AY255">
        <v>1</v>
      </c>
      <c r="AZ255">
        <v>0</v>
      </c>
      <c r="BA255">
        <v>241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Y255*Source!I106</f>
        <v>1.1780000000000002</v>
      </c>
      <c r="CY255">
        <f>AA255</f>
        <v>1</v>
      </c>
      <c r="CZ255">
        <f>AE255</f>
        <v>1</v>
      </c>
      <c r="DA255">
        <f>AI255</f>
        <v>1</v>
      </c>
      <c r="DB255">
        <v>0</v>
      </c>
    </row>
    <row r="256" spans="1:106" x14ac:dyDescent="0.2">
      <c r="A256">
        <f>ROW(Source!A108)</f>
        <v>108</v>
      </c>
      <c r="B256">
        <v>39579451</v>
      </c>
      <c r="C256">
        <v>39580013</v>
      </c>
      <c r="D256">
        <v>37082223</v>
      </c>
      <c r="E256">
        <v>1</v>
      </c>
      <c r="F256">
        <v>1</v>
      </c>
      <c r="G256">
        <v>1</v>
      </c>
      <c r="H256">
        <v>1</v>
      </c>
      <c r="I256" t="s">
        <v>730</v>
      </c>
      <c r="J256" t="s">
        <v>3</v>
      </c>
      <c r="K256" t="s">
        <v>731</v>
      </c>
      <c r="L256">
        <v>1191</v>
      </c>
      <c r="N256">
        <v>1013</v>
      </c>
      <c r="O256" t="s">
        <v>519</v>
      </c>
      <c r="P256" t="s">
        <v>519</v>
      </c>
      <c r="Q256">
        <v>1</v>
      </c>
      <c r="W256">
        <v>0</v>
      </c>
      <c r="X256">
        <v>-2143564933</v>
      </c>
      <c r="Y256">
        <v>0.5</v>
      </c>
      <c r="AA256">
        <v>0</v>
      </c>
      <c r="AB256">
        <v>0</v>
      </c>
      <c r="AC256">
        <v>0</v>
      </c>
      <c r="AD256">
        <v>67.34</v>
      </c>
      <c r="AE256">
        <v>0</v>
      </c>
      <c r="AF256">
        <v>0</v>
      </c>
      <c r="AG256">
        <v>0</v>
      </c>
      <c r="AH256">
        <v>9.76</v>
      </c>
      <c r="AI256">
        <v>1</v>
      </c>
      <c r="AJ256">
        <v>1</v>
      </c>
      <c r="AK256">
        <v>1</v>
      </c>
      <c r="AL256">
        <v>6.9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3</v>
      </c>
      <c r="AT256">
        <v>0.5</v>
      </c>
      <c r="AU256" t="s">
        <v>3</v>
      </c>
      <c r="AV256">
        <v>1</v>
      </c>
      <c r="AW256">
        <v>2</v>
      </c>
      <c r="AX256">
        <v>39580014</v>
      </c>
      <c r="AY256">
        <v>1</v>
      </c>
      <c r="AZ256">
        <v>0</v>
      </c>
      <c r="BA256">
        <v>242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Y256*Source!I108</f>
        <v>5</v>
      </c>
      <c r="CY256">
        <f>AD256</f>
        <v>67.34</v>
      </c>
      <c r="CZ256">
        <f>AH256</f>
        <v>9.76</v>
      </c>
      <c r="DA256">
        <f>AL256</f>
        <v>6.9</v>
      </c>
      <c r="DB256">
        <v>0</v>
      </c>
    </row>
    <row r="257" spans="1:106" x14ac:dyDescent="0.2">
      <c r="A257">
        <f>ROW(Source!A108)</f>
        <v>108</v>
      </c>
      <c r="B257">
        <v>39579451</v>
      </c>
      <c r="C257">
        <v>39580013</v>
      </c>
      <c r="D257">
        <v>36804944</v>
      </c>
      <c r="E257">
        <v>1</v>
      </c>
      <c r="F257">
        <v>1</v>
      </c>
      <c r="G257">
        <v>1</v>
      </c>
      <c r="H257">
        <v>3</v>
      </c>
      <c r="I257" t="s">
        <v>732</v>
      </c>
      <c r="J257" t="s">
        <v>733</v>
      </c>
      <c r="K257" t="s">
        <v>734</v>
      </c>
      <c r="L257">
        <v>1348</v>
      </c>
      <c r="N257">
        <v>1009</v>
      </c>
      <c r="O257" t="s">
        <v>105</v>
      </c>
      <c r="P257" t="s">
        <v>105</v>
      </c>
      <c r="Q257">
        <v>1000</v>
      </c>
      <c r="W257">
        <v>0</v>
      </c>
      <c r="X257">
        <v>-1755229539</v>
      </c>
      <c r="Y257">
        <v>1.0000000000000001E-5</v>
      </c>
      <c r="AA257">
        <v>85767</v>
      </c>
      <c r="AB257">
        <v>0</v>
      </c>
      <c r="AC257">
        <v>0</v>
      </c>
      <c r="AD257">
        <v>0</v>
      </c>
      <c r="AE257">
        <v>12430</v>
      </c>
      <c r="AF257">
        <v>0</v>
      </c>
      <c r="AG257">
        <v>0</v>
      </c>
      <c r="AH257">
        <v>0</v>
      </c>
      <c r="AI257">
        <v>6.9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3</v>
      </c>
      <c r="AT257">
        <v>1.0000000000000001E-5</v>
      </c>
      <c r="AU257" t="s">
        <v>3</v>
      </c>
      <c r="AV257">
        <v>0</v>
      </c>
      <c r="AW257">
        <v>2</v>
      </c>
      <c r="AX257">
        <v>39580015</v>
      </c>
      <c r="AY257">
        <v>1</v>
      </c>
      <c r="AZ257">
        <v>0</v>
      </c>
      <c r="BA257">
        <v>243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Y257*Source!I108</f>
        <v>1E-4</v>
      </c>
      <c r="CY257">
        <f>AA257</f>
        <v>85767</v>
      </c>
      <c r="CZ257">
        <f>AE257</f>
        <v>12430</v>
      </c>
      <c r="DA257">
        <f>AI257</f>
        <v>6.9</v>
      </c>
      <c r="DB257">
        <v>0</v>
      </c>
    </row>
    <row r="258" spans="1:106" x14ac:dyDescent="0.2">
      <c r="A258">
        <f>ROW(Source!A108)</f>
        <v>108</v>
      </c>
      <c r="B258">
        <v>39579451</v>
      </c>
      <c r="C258">
        <v>39580013</v>
      </c>
      <c r="D258">
        <v>36806488</v>
      </c>
      <c r="E258">
        <v>1</v>
      </c>
      <c r="F258">
        <v>1</v>
      </c>
      <c r="G258">
        <v>1</v>
      </c>
      <c r="H258">
        <v>3</v>
      </c>
      <c r="I258" t="s">
        <v>160</v>
      </c>
      <c r="J258" t="s">
        <v>162</v>
      </c>
      <c r="K258" t="s">
        <v>161</v>
      </c>
      <c r="L258">
        <v>1348</v>
      </c>
      <c r="N258">
        <v>1009</v>
      </c>
      <c r="O258" t="s">
        <v>105</v>
      </c>
      <c r="P258" t="s">
        <v>105</v>
      </c>
      <c r="Q258">
        <v>1000</v>
      </c>
      <c r="W258">
        <v>0</v>
      </c>
      <c r="X258">
        <v>-1421715385</v>
      </c>
      <c r="Y258">
        <v>5.0000000000000002E-5</v>
      </c>
      <c r="AA258">
        <v>5036.8599999999997</v>
      </c>
      <c r="AB258">
        <v>0</v>
      </c>
      <c r="AC258">
        <v>0</v>
      </c>
      <c r="AD258">
        <v>0</v>
      </c>
      <c r="AE258">
        <v>729.98</v>
      </c>
      <c r="AF258">
        <v>0</v>
      </c>
      <c r="AG258">
        <v>0</v>
      </c>
      <c r="AH258">
        <v>0</v>
      </c>
      <c r="AI258">
        <v>6.9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5.0000000000000002E-5</v>
      </c>
      <c r="AU258" t="s">
        <v>3</v>
      </c>
      <c r="AV258">
        <v>0</v>
      </c>
      <c r="AW258">
        <v>2</v>
      </c>
      <c r="AX258">
        <v>39580016</v>
      </c>
      <c r="AY258">
        <v>1</v>
      </c>
      <c r="AZ258">
        <v>0</v>
      </c>
      <c r="BA258">
        <v>244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Y258*Source!I108</f>
        <v>5.0000000000000001E-4</v>
      </c>
      <c r="CY258">
        <f>AA258</f>
        <v>5036.8599999999997</v>
      </c>
      <c r="CZ258">
        <f>AE258</f>
        <v>729.98</v>
      </c>
      <c r="DA258">
        <f>AI258</f>
        <v>6.9</v>
      </c>
      <c r="DB258">
        <v>0</v>
      </c>
    </row>
    <row r="259" spans="1:106" x14ac:dyDescent="0.2">
      <c r="A259">
        <f>ROW(Source!A108)</f>
        <v>108</v>
      </c>
      <c r="B259">
        <v>39579451</v>
      </c>
      <c r="C259">
        <v>39580013</v>
      </c>
      <c r="D259">
        <v>36825637</v>
      </c>
      <c r="E259">
        <v>1</v>
      </c>
      <c r="F259">
        <v>1</v>
      </c>
      <c r="G259">
        <v>1</v>
      </c>
      <c r="H259">
        <v>3</v>
      </c>
      <c r="I259" t="s">
        <v>735</v>
      </c>
      <c r="J259" t="s">
        <v>736</v>
      </c>
      <c r="K259" t="s">
        <v>737</v>
      </c>
      <c r="L259">
        <v>1348</v>
      </c>
      <c r="N259">
        <v>1009</v>
      </c>
      <c r="O259" t="s">
        <v>105</v>
      </c>
      <c r="P259" t="s">
        <v>105</v>
      </c>
      <c r="Q259">
        <v>1000</v>
      </c>
      <c r="W259">
        <v>0</v>
      </c>
      <c r="X259">
        <v>-1328921133</v>
      </c>
      <c r="Y259">
        <v>1.0000000000000001E-5</v>
      </c>
      <c r="AA259">
        <v>101361</v>
      </c>
      <c r="AB259">
        <v>0</v>
      </c>
      <c r="AC259">
        <v>0</v>
      </c>
      <c r="AD259">
        <v>0</v>
      </c>
      <c r="AE259">
        <v>14690</v>
      </c>
      <c r="AF259">
        <v>0</v>
      </c>
      <c r="AG259">
        <v>0</v>
      </c>
      <c r="AH259">
        <v>0</v>
      </c>
      <c r="AI259">
        <v>6.9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1.0000000000000001E-5</v>
      </c>
      <c r="AU259" t="s">
        <v>3</v>
      </c>
      <c r="AV259">
        <v>0</v>
      </c>
      <c r="AW259">
        <v>2</v>
      </c>
      <c r="AX259">
        <v>39580017</v>
      </c>
      <c r="AY259">
        <v>1</v>
      </c>
      <c r="AZ259">
        <v>0</v>
      </c>
      <c r="BA259">
        <v>245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Y259*Source!I108</f>
        <v>1E-4</v>
      </c>
      <c r="CY259">
        <f>AA259</f>
        <v>101361</v>
      </c>
      <c r="CZ259">
        <f>AE259</f>
        <v>14690</v>
      </c>
      <c r="DA259">
        <f>AI259</f>
        <v>6.9</v>
      </c>
      <c r="DB259">
        <v>0</v>
      </c>
    </row>
    <row r="260" spans="1:106" x14ac:dyDescent="0.2">
      <c r="A260">
        <f>ROW(Source!A108)</f>
        <v>108</v>
      </c>
      <c r="B260">
        <v>39579451</v>
      </c>
      <c r="C260">
        <v>39580013</v>
      </c>
      <c r="D260">
        <v>36855492</v>
      </c>
      <c r="E260">
        <v>1</v>
      </c>
      <c r="F260">
        <v>1</v>
      </c>
      <c r="G260">
        <v>1</v>
      </c>
      <c r="H260">
        <v>3</v>
      </c>
      <c r="I260" t="s">
        <v>349</v>
      </c>
      <c r="J260" t="s">
        <v>352</v>
      </c>
      <c r="K260" t="s">
        <v>350</v>
      </c>
      <c r="L260">
        <v>1358</v>
      </c>
      <c r="N260">
        <v>1010</v>
      </c>
      <c r="O260" t="s">
        <v>351</v>
      </c>
      <c r="P260" t="s">
        <v>351</v>
      </c>
      <c r="Q260">
        <v>10</v>
      </c>
      <c r="W260">
        <v>0</v>
      </c>
      <c r="X260">
        <v>990506408</v>
      </c>
      <c r="Y260">
        <v>0.1</v>
      </c>
      <c r="AA260">
        <v>196.65</v>
      </c>
      <c r="AB260">
        <v>0</v>
      </c>
      <c r="AC260">
        <v>0</v>
      </c>
      <c r="AD260">
        <v>0</v>
      </c>
      <c r="AE260">
        <v>28.5</v>
      </c>
      <c r="AF260">
        <v>0</v>
      </c>
      <c r="AG260">
        <v>0</v>
      </c>
      <c r="AH260">
        <v>0</v>
      </c>
      <c r="AI260">
        <v>6.9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3</v>
      </c>
      <c r="AT260">
        <v>0.1</v>
      </c>
      <c r="AU260" t="s">
        <v>3</v>
      </c>
      <c r="AV260">
        <v>0</v>
      </c>
      <c r="AW260">
        <v>1</v>
      </c>
      <c r="AX260">
        <v>-1</v>
      </c>
      <c r="AY260">
        <v>0</v>
      </c>
      <c r="AZ260">
        <v>0</v>
      </c>
      <c r="BA260" t="s">
        <v>3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Y260*Source!I108</f>
        <v>1</v>
      </c>
      <c r="CY260">
        <f>AA260</f>
        <v>196.65</v>
      </c>
      <c r="CZ260">
        <f>AE260</f>
        <v>28.5</v>
      </c>
      <c r="DA260">
        <f>AI260</f>
        <v>6.9</v>
      </c>
      <c r="DB260">
        <v>0</v>
      </c>
    </row>
    <row r="261" spans="1:106" x14ac:dyDescent="0.2">
      <c r="A261">
        <f>ROW(Source!A108)</f>
        <v>108</v>
      </c>
      <c r="B261">
        <v>39579451</v>
      </c>
      <c r="C261">
        <v>39580013</v>
      </c>
      <c r="D261">
        <v>36799065</v>
      </c>
      <c r="E261">
        <v>17</v>
      </c>
      <c r="F261">
        <v>1</v>
      </c>
      <c r="G261">
        <v>1</v>
      </c>
      <c r="H261">
        <v>3</v>
      </c>
      <c r="I261" t="s">
        <v>694</v>
      </c>
      <c r="J261" t="s">
        <v>3</v>
      </c>
      <c r="K261" t="s">
        <v>695</v>
      </c>
      <c r="L261">
        <v>1374</v>
      </c>
      <c r="N261">
        <v>1013</v>
      </c>
      <c r="O261" t="s">
        <v>696</v>
      </c>
      <c r="P261" t="s">
        <v>696</v>
      </c>
      <c r="Q261">
        <v>1</v>
      </c>
      <c r="W261">
        <v>0</v>
      </c>
      <c r="X261">
        <v>-1731369543</v>
      </c>
      <c r="Y261">
        <v>0.1</v>
      </c>
      <c r="AA261">
        <v>1</v>
      </c>
      <c r="AB261">
        <v>0</v>
      </c>
      <c r="AC261">
        <v>0</v>
      </c>
      <c r="AD261">
        <v>0</v>
      </c>
      <c r="AE261">
        <v>1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3</v>
      </c>
      <c r="AT261">
        <v>0.1</v>
      </c>
      <c r="AU261" t="s">
        <v>3</v>
      </c>
      <c r="AV261">
        <v>0</v>
      </c>
      <c r="AW261">
        <v>2</v>
      </c>
      <c r="AX261">
        <v>39580018</v>
      </c>
      <c r="AY261">
        <v>1</v>
      </c>
      <c r="AZ261">
        <v>0</v>
      </c>
      <c r="BA261">
        <v>246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Y261*Source!I108</f>
        <v>1</v>
      </c>
      <c r="CY261">
        <f>AA261</f>
        <v>1</v>
      </c>
      <c r="CZ261">
        <f>AE261</f>
        <v>1</v>
      </c>
      <c r="DA261">
        <f>AI261</f>
        <v>1</v>
      </c>
      <c r="DB261">
        <v>0</v>
      </c>
    </row>
    <row r="262" spans="1:106" x14ac:dyDescent="0.2">
      <c r="A262">
        <f>ROW(Source!A110)</f>
        <v>110</v>
      </c>
      <c r="B262">
        <v>39579451</v>
      </c>
      <c r="C262">
        <v>39580019</v>
      </c>
      <c r="D262">
        <v>37080781</v>
      </c>
      <c r="E262">
        <v>1</v>
      </c>
      <c r="F262">
        <v>1</v>
      </c>
      <c r="G262">
        <v>1</v>
      </c>
      <c r="H262">
        <v>1</v>
      </c>
      <c r="I262" t="s">
        <v>689</v>
      </c>
      <c r="J262" t="s">
        <v>3</v>
      </c>
      <c r="K262" t="s">
        <v>690</v>
      </c>
      <c r="L262">
        <v>1191</v>
      </c>
      <c r="N262">
        <v>1013</v>
      </c>
      <c r="O262" t="s">
        <v>519</v>
      </c>
      <c r="P262" t="s">
        <v>519</v>
      </c>
      <c r="Q262">
        <v>1</v>
      </c>
      <c r="W262">
        <v>0</v>
      </c>
      <c r="X262">
        <v>912892513</v>
      </c>
      <c r="Y262">
        <v>30.48</v>
      </c>
      <c r="AA262">
        <v>0</v>
      </c>
      <c r="AB262">
        <v>0</v>
      </c>
      <c r="AC262">
        <v>0</v>
      </c>
      <c r="AD262">
        <v>68.45</v>
      </c>
      <c r="AE262">
        <v>0</v>
      </c>
      <c r="AF262">
        <v>0</v>
      </c>
      <c r="AG262">
        <v>0</v>
      </c>
      <c r="AH262">
        <v>9.92</v>
      </c>
      <c r="AI262">
        <v>1</v>
      </c>
      <c r="AJ262">
        <v>1</v>
      </c>
      <c r="AK262">
        <v>1</v>
      </c>
      <c r="AL262">
        <v>6.9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3</v>
      </c>
      <c r="AT262">
        <v>30.48</v>
      </c>
      <c r="AU262" t="s">
        <v>3</v>
      </c>
      <c r="AV262">
        <v>1</v>
      </c>
      <c r="AW262">
        <v>2</v>
      </c>
      <c r="AX262">
        <v>39580020</v>
      </c>
      <c r="AY262">
        <v>1</v>
      </c>
      <c r="AZ262">
        <v>0</v>
      </c>
      <c r="BA262">
        <v>247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Y262*Source!I110</f>
        <v>10.972799999999999</v>
      </c>
      <c r="CY262">
        <f>AD262</f>
        <v>68.45</v>
      </c>
      <c r="CZ262">
        <f>AH262</f>
        <v>9.92</v>
      </c>
      <c r="DA262">
        <f>AL262</f>
        <v>6.9</v>
      </c>
      <c r="DB262">
        <v>0</v>
      </c>
    </row>
    <row r="263" spans="1:106" x14ac:dyDescent="0.2">
      <c r="A263">
        <f>ROW(Source!A110)</f>
        <v>110</v>
      </c>
      <c r="B263">
        <v>39579451</v>
      </c>
      <c r="C263">
        <v>39580019</v>
      </c>
      <c r="D263">
        <v>37064876</v>
      </c>
      <c r="E263">
        <v>1</v>
      </c>
      <c r="F263">
        <v>1</v>
      </c>
      <c r="G263">
        <v>1</v>
      </c>
      <c r="H263">
        <v>1</v>
      </c>
      <c r="I263" t="s">
        <v>520</v>
      </c>
      <c r="J263" t="s">
        <v>3</v>
      </c>
      <c r="K263" t="s">
        <v>521</v>
      </c>
      <c r="L263">
        <v>1191</v>
      </c>
      <c r="N263">
        <v>1013</v>
      </c>
      <c r="O263" t="s">
        <v>519</v>
      </c>
      <c r="P263" t="s">
        <v>519</v>
      </c>
      <c r="Q263">
        <v>1</v>
      </c>
      <c r="W263">
        <v>0</v>
      </c>
      <c r="X263">
        <v>-1417349443</v>
      </c>
      <c r="Y263">
        <v>0.05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6.9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3</v>
      </c>
      <c r="AT263">
        <v>0.05</v>
      </c>
      <c r="AU263" t="s">
        <v>3</v>
      </c>
      <c r="AV263">
        <v>2</v>
      </c>
      <c r="AW263">
        <v>2</v>
      </c>
      <c r="AX263">
        <v>39580021</v>
      </c>
      <c r="AY263">
        <v>1</v>
      </c>
      <c r="AZ263">
        <v>0</v>
      </c>
      <c r="BA263">
        <v>248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Y263*Source!I110</f>
        <v>1.7999999999999999E-2</v>
      </c>
      <c r="CY263">
        <f>AD263</f>
        <v>0</v>
      </c>
      <c r="CZ263">
        <f>AH263</f>
        <v>0</v>
      </c>
      <c r="DA263">
        <f>AL263</f>
        <v>1</v>
      </c>
      <c r="DB263">
        <v>0</v>
      </c>
    </row>
    <row r="264" spans="1:106" x14ac:dyDescent="0.2">
      <c r="A264">
        <f>ROW(Source!A110)</f>
        <v>110</v>
      </c>
      <c r="B264">
        <v>39579451</v>
      </c>
      <c r="C264">
        <v>39580019</v>
      </c>
      <c r="D264">
        <v>36882159</v>
      </c>
      <c r="E264">
        <v>1</v>
      </c>
      <c r="F264">
        <v>1</v>
      </c>
      <c r="G264">
        <v>1</v>
      </c>
      <c r="H264">
        <v>2</v>
      </c>
      <c r="I264" t="s">
        <v>620</v>
      </c>
      <c r="J264" t="s">
        <v>621</v>
      </c>
      <c r="K264" t="s">
        <v>622</v>
      </c>
      <c r="L264">
        <v>1368</v>
      </c>
      <c r="N264">
        <v>1011</v>
      </c>
      <c r="O264" t="s">
        <v>525</v>
      </c>
      <c r="P264" t="s">
        <v>525</v>
      </c>
      <c r="Q264">
        <v>1</v>
      </c>
      <c r="W264">
        <v>0</v>
      </c>
      <c r="X264">
        <v>-1718674368</v>
      </c>
      <c r="Y264">
        <v>0.03</v>
      </c>
      <c r="AA264">
        <v>0</v>
      </c>
      <c r="AB264">
        <v>772.73</v>
      </c>
      <c r="AC264">
        <v>13.5</v>
      </c>
      <c r="AD264">
        <v>0</v>
      </c>
      <c r="AE264">
        <v>0</v>
      </c>
      <c r="AF264">
        <v>111.99</v>
      </c>
      <c r="AG264">
        <v>13.5</v>
      </c>
      <c r="AH264">
        <v>0</v>
      </c>
      <c r="AI264">
        <v>1</v>
      </c>
      <c r="AJ264">
        <v>6.9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0.03</v>
      </c>
      <c r="AU264" t="s">
        <v>3</v>
      </c>
      <c r="AV264">
        <v>0</v>
      </c>
      <c r="AW264">
        <v>2</v>
      </c>
      <c r="AX264">
        <v>39580022</v>
      </c>
      <c r="AY264">
        <v>1</v>
      </c>
      <c r="AZ264">
        <v>0</v>
      </c>
      <c r="BA264">
        <v>249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Y264*Source!I110</f>
        <v>1.0799999999999999E-2</v>
      </c>
      <c r="CY264">
        <f>AB264</f>
        <v>772.73</v>
      </c>
      <c r="CZ264">
        <f>AF264</f>
        <v>111.99</v>
      </c>
      <c r="DA264">
        <f>AJ264</f>
        <v>6.9</v>
      </c>
      <c r="DB264">
        <v>0</v>
      </c>
    </row>
    <row r="265" spans="1:106" x14ac:dyDescent="0.2">
      <c r="A265">
        <f>ROW(Source!A110)</f>
        <v>110</v>
      </c>
      <c r="B265">
        <v>39579451</v>
      </c>
      <c r="C265">
        <v>39580019</v>
      </c>
      <c r="D265">
        <v>36883554</v>
      </c>
      <c r="E265">
        <v>1</v>
      </c>
      <c r="F265">
        <v>1</v>
      </c>
      <c r="G265">
        <v>1</v>
      </c>
      <c r="H265">
        <v>2</v>
      </c>
      <c r="I265" t="s">
        <v>526</v>
      </c>
      <c r="J265" t="s">
        <v>527</v>
      </c>
      <c r="K265" t="s">
        <v>528</v>
      </c>
      <c r="L265">
        <v>1368</v>
      </c>
      <c r="N265">
        <v>1011</v>
      </c>
      <c r="O265" t="s">
        <v>525</v>
      </c>
      <c r="P265" t="s">
        <v>525</v>
      </c>
      <c r="Q265">
        <v>1</v>
      </c>
      <c r="W265">
        <v>0</v>
      </c>
      <c r="X265">
        <v>1372534845</v>
      </c>
      <c r="Y265">
        <v>0.02</v>
      </c>
      <c r="AA265">
        <v>0</v>
      </c>
      <c r="AB265">
        <v>453.4</v>
      </c>
      <c r="AC265">
        <v>11.6</v>
      </c>
      <c r="AD265">
        <v>0</v>
      </c>
      <c r="AE265">
        <v>0</v>
      </c>
      <c r="AF265">
        <v>65.709999999999994</v>
      </c>
      <c r="AG265">
        <v>11.6</v>
      </c>
      <c r="AH265">
        <v>0</v>
      </c>
      <c r="AI265">
        <v>1</v>
      </c>
      <c r="AJ265">
        <v>6.9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3</v>
      </c>
      <c r="AT265">
        <v>0.02</v>
      </c>
      <c r="AU265" t="s">
        <v>3</v>
      </c>
      <c r="AV265">
        <v>0</v>
      </c>
      <c r="AW265">
        <v>2</v>
      </c>
      <c r="AX265">
        <v>39580023</v>
      </c>
      <c r="AY265">
        <v>1</v>
      </c>
      <c r="AZ265">
        <v>0</v>
      </c>
      <c r="BA265">
        <v>250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Y265*Source!I110</f>
        <v>7.1999999999999998E-3</v>
      </c>
      <c r="CY265">
        <f>AB265</f>
        <v>453.4</v>
      </c>
      <c r="CZ265">
        <f>AF265</f>
        <v>65.709999999999994</v>
      </c>
      <c r="DA265">
        <f>AJ265</f>
        <v>6.9</v>
      </c>
      <c r="DB265">
        <v>0</v>
      </c>
    </row>
    <row r="266" spans="1:106" x14ac:dyDescent="0.2">
      <c r="A266">
        <f>ROW(Source!A110)</f>
        <v>110</v>
      </c>
      <c r="B266">
        <v>39579451</v>
      </c>
      <c r="C266">
        <v>39580019</v>
      </c>
      <c r="D266">
        <v>36802094</v>
      </c>
      <c r="E266">
        <v>1</v>
      </c>
      <c r="F266">
        <v>1</v>
      </c>
      <c r="G266">
        <v>1</v>
      </c>
      <c r="H266">
        <v>3</v>
      </c>
      <c r="I266" t="s">
        <v>697</v>
      </c>
      <c r="J266" t="s">
        <v>698</v>
      </c>
      <c r="K266" t="s">
        <v>699</v>
      </c>
      <c r="L266">
        <v>1346</v>
      </c>
      <c r="N266">
        <v>1009</v>
      </c>
      <c r="O266" t="s">
        <v>118</v>
      </c>
      <c r="P266" t="s">
        <v>118</v>
      </c>
      <c r="Q266">
        <v>1</v>
      </c>
      <c r="W266">
        <v>0</v>
      </c>
      <c r="X266">
        <v>-1088866022</v>
      </c>
      <c r="Y266">
        <v>0.42</v>
      </c>
      <c r="AA266">
        <v>209.76</v>
      </c>
      <c r="AB266">
        <v>0</v>
      </c>
      <c r="AC266">
        <v>0</v>
      </c>
      <c r="AD266">
        <v>0</v>
      </c>
      <c r="AE266">
        <v>30.4</v>
      </c>
      <c r="AF266">
        <v>0</v>
      </c>
      <c r="AG266">
        <v>0</v>
      </c>
      <c r="AH266">
        <v>0</v>
      </c>
      <c r="AI266">
        <v>6.9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0.42</v>
      </c>
      <c r="AU266" t="s">
        <v>3</v>
      </c>
      <c r="AV266">
        <v>0</v>
      </c>
      <c r="AW266">
        <v>2</v>
      </c>
      <c r="AX266">
        <v>39580024</v>
      </c>
      <c r="AY266">
        <v>1</v>
      </c>
      <c r="AZ266">
        <v>0</v>
      </c>
      <c r="BA266">
        <v>251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Y266*Source!I110</f>
        <v>0.1512</v>
      </c>
      <c r="CY266">
        <f t="shared" ref="CY266:CY271" si="33">AA266</f>
        <v>209.76</v>
      </c>
      <c r="CZ266">
        <f t="shared" ref="CZ266:CZ271" si="34">AE266</f>
        <v>30.4</v>
      </c>
      <c r="DA266">
        <f t="shared" ref="DA266:DA271" si="35">AI266</f>
        <v>6.9</v>
      </c>
      <c r="DB266">
        <v>0</v>
      </c>
    </row>
    <row r="267" spans="1:106" x14ac:dyDescent="0.2">
      <c r="A267">
        <f>ROW(Source!A110)</f>
        <v>110</v>
      </c>
      <c r="B267">
        <v>39579451</v>
      </c>
      <c r="C267">
        <v>39580019</v>
      </c>
      <c r="D267">
        <v>36804448</v>
      </c>
      <c r="E267">
        <v>1</v>
      </c>
      <c r="F267">
        <v>1</v>
      </c>
      <c r="G267">
        <v>1</v>
      </c>
      <c r="H267">
        <v>3</v>
      </c>
      <c r="I267" t="s">
        <v>738</v>
      </c>
      <c r="J267" t="s">
        <v>739</v>
      </c>
      <c r="K267" t="s">
        <v>631</v>
      </c>
      <c r="L267">
        <v>1346</v>
      </c>
      <c r="N267">
        <v>1009</v>
      </c>
      <c r="O267" t="s">
        <v>118</v>
      </c>
      <c r="P267" t="s">
        <v>118</v>
      </c>
      <c r="Q267">
        <v>1</v>
      </c>
      <c r="W267">
        <v>0</v>
      </c>
      <c r="X267">
        <v>103900845</v>
      </c>
      <c r="Y267">
        <v>1.5</v>
      </c>
      <c r="AA267">
        <v>62.38</v>
      </c>
      <c r="AB267">
        <v>0</v>
      </c>
      <c r="AC267">
        <v>0</v>
      </c>
      <c r="AD267">
        <v>0</v>
      </c>
      <c r="AE267">
        <v>9.0399999999999991</v>
      </c>
      <c r="AF267">
        <v>0</v>
      </c>
      <c r="AG267">
        <v>0</v>
      </c>
      <c r="AH267">
        <v>0</v>
      </c>
      <c r="AI267">
        <v>6.9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1.5</v>
      </c>
      <c r="AU267" t="s">
        <v>3</v>
      </c>
      <c r="AV267">
        <v>0</v>
      </c>
      <c r="AW267">
        <v>2</v>
      </c>
      <c r="AX267">
        <v>39580025</v>
      </c>
      <c r="AY267">
        <v>1</v>
      </c>
      <c r="AZ267">
        <v>0</v>
      </c>
      <c r="BA267">
        <v>252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Y267*Source!I110</f>
        <v>0.54</v>
      </c>
      <c r="CY267">
        <f t="shared" si="33"/>
        <v>62.38</v>
      </c>
      <c r="CZ267">
        <f t="shared" si="34"/>
        <v>9.0399999999999991</v>
      </c>
      <c r="DA267">
        <f t="shared" si="35"/>
        <v>6.9</v>
      </c>
      <c r="DB267">
        <v>0</v>
      </c>
    </row>
    <row r="268" spans="1:106" x14ac:dyDescent="0.2">
      <c r="A268">
        <f>ROW(Source!A110)</f>
        <v>110</v>
      </c>
      <c r="B268">
        <v>39579451</v>
      </c>
      <c r="C268">
        <v>39580019</v>
      </c>
      <c r="D268">
        <v>36806488</v>
      </c>
      <c r="E268">
        <v>1</v>
      </c>
      <c r="F268">
        <v>1</v>
      </c>
      <c r="G268">
        <v>1</v>
      </c>
      <c r="H268">
        <v>3</v>
      </c>
      <c r="I268" t="s">
        <v>160</v>
      </c>
      <c r="J268" t="s">
        <v>162</v>
      </c>
      <c r="K268" t="s">
        <v>161</v>
      </c>
      <c r="L268">
        <v>1348</v>
      </c>
      <c r="N268">
        <v>1009</v>
      </c>
      <c r="O268" t="s">
        <v>105</v>
      </c>
      <c r="P268" t="s">
        <v>105</v>
      </c>
      <c r="Q268">
        <v>1000</v>
      </c>
      <c r="W268">
        <v>0</v>
      </c>
      <c r="X268">
        <v>-1421715385</v>
      </c>
      <c r="Y268">
        <v>3.15E-3</v>
      </c>
      <c r="AA268">
        <v>5036.8599999999997</v>
      </c>
      <c r="AB268">
        <v>0</v>
      </c>
      <c r="AC268">
        <v>0</v>
      </c>
      <c r="AD268">
        <v>0</v>
      </c>
      <c r="AE268">
        <v>729.98</v>
      </c>
      <c r="AF268">
        <v>0</v>
      </c>
      <c r="AG268">
        <v>0</v>
      </c>
      <c r="AH268">
        <v>0</v>
      </c>
      <c r="AI268">
        <v>6.9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3</v>
      </c>
      <c r="AT268">
        <v>3.15E-3</v>
      </c>
      <c r="AU268" t="s">
        <v>3</v>
      </c>
      <c r="AV268">
        <v>0</v>
      </c>
      <c r="AW268">
        <v>2</v>
      </c>
      <c r="AX268">
        <v>39580026</v>
      </c>
      <c r="AY268">
        <v>1</v>
      </c>
      <c r="AZ268">
        <v>0</v>
      </c>
      <c r="BA268">
        <v>253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Y268*Source!I110</f>
        <v>1.134E-3</v>
      </c>
      <c r="CY268">
        <f t="shared" si="33"/>
        <v>5036.8599999999997</v>
      </c>
      <c r="CZ268">
        <f t="shared" si="34"/>
        <v>729.98</v>
      </c>
      <c r="DA268">
        <f t="shared" si="35"/>
        <v>6.9</v>
      </c>
      <c r="DB268">
        <v>0</v>
      </c>
    </row>
    <row r="269" spans="1:106" x14ac:dyDescent="0.2">
      <c r="A269">
        <f>ROW(Source!A110)</f>
        <v>110</v>
      </c>
      <c r="B269">
        <v>39579451</v>
      </c>
      <c r="C269">
        <v>39580019</v>
      </c>
      <c r="D269">
        <v>36852067</v>
      </c>
      <c r="E269">
        <v>1</v>
      </c>
      <c r="F269">
        <v>1</v>
      </c>
      <c r="G269">
        <v>1</v>
      </c>
      <c r="H269">
        <v>3</v>
      </c>
      <c r="I269" t="s">
        <v>740</v>
      </c>
      <c r="J269" t="s">
        <v>741</v>
      </c>
      <c r="K269" t="s">
        <v>742</v>
      </c>
      <c r="L269">
        <v>1356</v>
      </c>
      <c r="N269">
        <v>1010</v>
      </c>
      <c r="O269" t="s">
        <v>711</v>
      </c>
      <c r="P269" t="s">
        <v>711</v>
      </c>
      <c r="Q269">
        <v>1000</v>
      </c>
      <c r="W269">
        <v>0</v>
      </c>
      <c r="X269">
        <v>40709342</v>
      </c>
      <c r="Y269">
        <v>0.10199999999999999</v>
      </c>
      <c r="AA269">
        <v>1863</v>
      </c>
      <c r="AB269">
        <v>0</v>
      </c>
      <c r="AC269">
        <v>0</v>
      </c>
      <c r="AD269">
        <v>0</v>
      </c>
      <c r="AE269">
        <v>270</v>
      </c>
      <c r="AF269">
        <v>0</v>
      </c>
      <c r="AG269">
        <v>0</v>
      </c>
      <c r="AH269">
        <v>0</v>
      </c>
      <c r="AI269">
        <v>6.9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3</v>
      </c>
      <c r="AT269">
        <v>0.10199999999999999</v>
      </c>
      <c r="AU269" t="s">
        <v>3</v>
      </c>
      <c r="AV269">
        <v>0</v>
      </c>
      <c r="AW269">
        <v>2</v>
      </c>
      <c r="AX269">
        <v>39580027</v>
      </c>
      <c r="AY269">
        <v>1</v>
      </c>
      <c r="AZ269">
        <v>0</v>
      </c>
      <c r="BA269">
        <v>254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Y269*Source!I110</f>
        <v>3.6719999999999996E-2</v>
      </c>
      <c r="CY269">
        <f t="shared" si="33"/>
        <v>1863</v>
      </c>
      <c r="CZ269">
        <f t="shared" si="34"/>
        <v>270</v>
      </c>
      <c r="DA269">
        <f t="shared" si="35"/>
        <v>6.9</v>
      </c>
      <c r="DB269">
        <v>0</v>
      </c>
    </row>
    <row r="270" spans="1:106" x14ac:dyDescent="0.2">
      <c r="A270">
        <f>ROW(Source!A110)</f>
        <v>110</v>
      </c>
      <c r="B270">
        <v>39579451</v>
      </c>
      <c r="C270">
        <v>39580019</v>
      </c>
      <c r="D270">
        <v>36855295</v>
      </c>
      <c r="E270">
        <v>1</v>
      </c>
      <c r="F270">
        <v>1</v>
      </c>
      <c r="G270">
        <v>1</v>
      </c>
      <c r="H270">
        <v>3</v>
      </c>
      <c r="I270" t="s">
        <v>358</v>
      </c>
      <c r="J270" t="s">
        <v>361</v>
      </c>
      <c r="K270" t="s">
        <v>359</v>
      </c>
      <c r="L270">
        <v>1355</v>
      </c>
      <c r="N270">
        <v>1010</v>
      </c>
      <c r="O270" t="s">
        <v>360</v>
      </c>
      <c r="P270" t="s">
        <v>360</v>
      </c>
      <c r="Q270">
        <v>100</v>
      </c>
      <c r="W270">
        <v>0</v>
      </c>
      <c r="X270">
        <v>2039165603</v>
      </c>
      <c r="Y270">
        <v>1</v>
      </c>
      <c r="AA270">
        <v>22200.13</v>
      </c>
      <c r="AB270">
        <v>0</v>
      </c>
      <c r="AC270">
        <v>0</v>
      </c>
      <c r="AD270">
        <v>0</v>
      </c>
      <c r="AE270">
        <v>3217.41</v>
      </c>
      <c r="AF270">
        <v>0</v>
      </c>
      <c r="AG270">
        <v>0</v>
      </c>
      <c r="AH270">
        <v>0</v>
      </c>
      <c r="AI270">
        <v>6.9</v>
      </c>
      <c r="AJ270">
        <v>1</v>
      </c>
      <c r="AK270">
        <v>1</v>
      </c>
      <c r="AL270">
        <v>1</v>
      </c>
      <c r="AN270">
        <v>0</v>
      </c>
      <c r="AO270">
        <v>0</v>
      </c>
      <c r="AP270">
        <v>0</v>
      </c>
      <c r="AQ270">
        <v>0</v>
      </c>
      <c r="AR270">
        <v>0</v>
      </c>
      <c r="AS270" t="s">
        <v>3</v>
      </c>
      <c r="AT270">
        <v>1</v>
      </c>
      <c r="AU270" t="s">
        <v>3</v>
      </c>
      <c r="AV270">
        <v>0</v>
      </c>
      <c r="AW270">
        <v>1</v>
      </c>
      <c r="AX270">
        <v>-1</v>
      </c>
      <c r="AY270">
        <v>0</v>
      </c>
      <c r="AZ270">
        <v>0</v>
      </c>
      <c r="BA270" t="s">
        <v>3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Y270*Source!I110</f>
        <v>0.36</v>
      </c>
      <c r="CY270">
        <f t="shared" si="33"/>
        <v>22200.13</v>
      </c>
      <c r="CZ270">
        <f t="shared" si="34"/>
        <v>3217.41</v>
      </c>
      <c r="DA270">
        <f t="shared" si="35"/>
        <v>6.9</v>
      </c>
      <c r="DB270">
        <v>0</v>
      </c>
    </row>
    <row r="271" spans="1:106" x14ac:dyDescent="0.2">
      <c r="A271">
        <f>ROW(Source!A110)</f>
        <v>110</v>
      </c>
      <c r="B271">
        <v>39579451</v>
      </c>
      <c r="C271">
        <v>39580019</v>
      </c>
      <c r="D271">
        <v>36799065</v>
      </c>
      <c r="E271">
        <v>17</v>
      </c>
      <c r="F271">
        <v>1</v>
      </c>
      <c r="G271">
        <v>1</v>
      </c>
      <c r="H271">
        <v>3</v>
      </c>
      <c r="I271" t="s">
        <v>694</v>
      </c>
      <c r="J271" t="s">
        <v>3</v>
      </c>
      <c r="K271" t="s">
        <v>695</v>
      </c>
      <c r="L271">
        <v>1374</v>
      </c>
      <c r="N271">
        <v>1013</v>
      </c>
      <c r="O271" t="s">
        <v>696</v>
      </c>
      <c r="P271" t="s">
        <v>696</v>
      </c>
      <c r="Q271">
        <v>1</v>
      </c>
      <c r="W271">
        <v>0</v>
      </c>
      <c r="X271">
        <v>-1731369543</v>
      </c>
      <c r="Y271">
        <v>6.05</v>
      </c>
      <c r="AA271">
        <v>1</v>
      </c>
      <c r="AB271">
        <v>0</v>
      </c>
      <c r="AC271">
        <v>0</v>
      </c>
      <c r="AD271">
        <v>0</v>
      </c>
      <c r="AE271">
        <v>1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6.05</v>
      </c>
      <c r="AU271" t="s">
        <v>3</v>
      </c>
      <c r="AV271">
        <v>0</v>
      </c>
      <c r="AW271">
        <v>2</v>
      </c>
      <c r="AX271">
        <v>39580028</v>
      </c>
      <c r="AY271">
        <v>1</v>
      </c>
      <c r="AZ271">
        <v>0</v>
      </c>
      <c r="BA271">
        <v>255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Y271*Source!I110</f>
        <v>2.1779999999999999</v>
      </c>
      <c r="CY271">
        <f t="shared" si="33"/>
        <v>1</v>
      </c>
      <c r="CZ271">
        <f t="shared" si="34"/>
        <v>1</v>
      </c>
      <c r="DA271">
        <f t="shared" si="35"/>
        <v>1</v>
      </c>
      <c r="DB271">
        <v>0</v>
      </c>
    </row>
    <row r="272" spans="1:106" x14ac:dyDescent="0.2">
      <c r="A272">
        <f>ROW(Source!A112)</f>
        <v>112</v>
      </c>
      <c r="B272">
        <v>39579451</v>
      </c>
      <c r="C272">
        <v>39580029</v>
      </c>
      <c r="D272">
        <v>37070202</v>
      </c>
      <c r="E272">
        <v>1</v>
      </c>
      <c r="F272">
        <v>1</v>
      </c>
      <c r="G272">
        <v>1</v>
      </c>
      <c r="H272">
        <v>1</v>
      </c>
      <c r="I272" t="s">
        <v>614</v>
      </c>
      <c r="J272" t="s">
        <v>3</v>
      </c>
      <c r="K272" t="s">
        <v>615</v>
      </c>
      <c r="L272">
        <v>1191</v>
      </c>
      <c r="N272">
        <v>1013</v>
      </c>
      <c r="O272" t="s">
        <v>519</v>
      </c>
      <c r="P272" t="s">
        <v>519</v>
      </c>
      <c r="Q272">
        <v>1</v>
      </c>
      <c r="W272">
        <v>0</v>
      </c>
      <c r="X272">
        <v>1983201532</v>
      </c>
      <c r="Y272">
        <v>1.56</v>
      </c>
      <c r="AA272">
        <v>0</v>
      </c>
      <c r="AB272">
        <v>0</v>
      </c>
      <c r="AC272">
        <v>0</v>
      </c>
      <c r="AD272">
        <v>65.62</v>
      </c>
      <c r="AE272">
        <v>0</v>
      </c>
      <c r="AF272">
        <v>0</v>
      </c>
      <c r="AG272">
        <v>0</v>
      </c>
      <c r="AH272">
        <v>9.51</v>
      </c>
      <c r="AI272">
        <v>1</v>
      </c>
      <c r="AJ272">
        <v>1</v>
      </c>
      <c r="AK272">
        <v>1</v>
      </c>
      <c r="AL272">
        <v>6.9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3</v>
      </c>
      <c r="AT272">
        <v>1.56</v>
      </c>
      <c r="AU272" t="s">
        <v>3</v>
      </c>
      <c r="AV272">
        <v>1</v>
      </c>
      <c r="AW272">
        <v>2</v>
      </c>
      <c r="AX272">
        <v>39580030</v>
      </c>
      <c r="AY272">
        <v>1</v>
      </c>
      <c r="AZ272">
        <v>0</v>
      </c>
      <c r="BA272">
        <v>256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Y272*Source!I112</f>
        <v>3.12</v>
      </c>
      <c r="CY272">
        <f>AD272</f>
        <v>65.62</v>
      </c>
      <c r="CZ272">
        <f>AH272</f>
        <v>9.51</v>
      </c>
      <c r="DA272">
        <f>AL272</f>
        <v>6.9</v>
      </c>
      <c r="DB272">
        <v>0</v>
      </c>
    </row>
    <row r="273" spans="1:106" x14ac:dyDescent="0.2">
      <c r="A273">
        <f>ROW(Source!A112)</f>
        <v>112</v>
      </c>
      <c r="B273">
        <v>39579451</v>
      </c>
      <c r="C273">
        <v>39580029</v>
      </c>
      <c r="D273">
        <v>36883858</v>
      </c>
      <c r="E273">
        <v>1</v>
      </c>
      <c r="F273">
        <v>1</v>
      </c>
      <c r="G273">
        <v>1</v>
      </c>
      <c r="H273">
        <v>2</v>
      </c>
      <c r="I273" t="s">
        <v>623</v>
      </c>
      <c r="J273" t="s">
        <v>624</v>
      </c>
      <c r="K273" t="s">
        <v>625</v>
      </c>
      <c r="L273">
        <v>1368</v>
      </c>
      <c r="N273">
        <v>1011</v>
      </c>
      <c r="O273" t="s">
        <v>525</v>
      </c>
      <c r="P273" t="s">
        <v>525</v>
      </c>
      <c r="Q273">
        <v>1</v>
      </c>
      <c r="W273">
        <v>0</v>
      </c>
      <c r="X273">
        <v>-353815937</v>
      </c>
      <c r="Y273">
        <v>0.13</v>
      </c>
      <c r="AA273">
        <v>0</v>
      </c>
      <c r="AB273">
        <v>55.89</v>
      </c>
      <c r="AC273">
        <v>0</v>
      </c>
      <c r="AD273">
        <v>0</v>
      </c>
      <c r="AE273">
        <v>0</v>
      </c>
      <c r="AF273">
        <v>8.1</v>
      </c>
      <c r="AG273">
        <v>0</v>
      </c>
      <c r="AH273">
        <v>0</v>
      </c>
      <c r="AI273">
        <v>1</v>
      </c>
      <c r="AJ273">
        <v>6.9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3</v>
      </c>
      <c r="AT273">
        <v>0.13</v>
      </c>
      <c r="AU273" t="s">
        <v>3</v>
      </c>
      <c r="AV273">
        <v>0</v>
      </c>
      <c r="AW273">
        <v>2</v>
      </c>
      <c r="AX273">
        <v>39580031</v>
      </c>
      <c r="AY273">
        <v>1</v>
      </c>
      <c r="AZ273">
        <v>0</v>
      </c>
      <c r="BA273">
        <v>257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Y273*Source!I112</f>
        <v>0.26</v>
      </c>
      <c r="CY273">
        <f>AB273</f>
        <v>55.89</v>
      </c>
      <c r="CZ273">
        <f>AF273</f>
        <v>8.1</v>
      </c>
      <c r="DA273">
        <f>AJ273</f>
        <v>6.9</v>
      </c>
      <c r="DB273">
        <v>0</v>
      </c>
    </row>
    <row r="274" spans="1:106" x14ac:dyDescent="0.2">
      <c r="A274">
        <f>ROW(Source!A112)</f>
        <v>112</v>
      </c>
      <c r="B274">
        <v>39579451</v>
      </c>
      <c r="C274">
        <v>39580029</v>
      </c>
      <c r="D274">
        <v>36800043</v>
      </c>
      <c r="E274">
        <v>1</v>
      </c>
      <c r="F274">
        <v>1</v>
      </c>
      <c r="G274">
        <v>1</v>
      </c>
      <c r="H274">
        <v>3</v>
      </c>
      <c r="I274" t="s">
        <v>743</v>
      </c>
      <c r="J274" t="s">
        <v>744</v>
      </c>
      <c r="K274" t="s">
        <v>745</v>
      </c>
      <c r="L274">
        <v>1346</v>
      </c>
      <c r="N274">
        <v>1009</v>
      </c>
      <c r="O274" t="s">
        <v>118</v>
      </c>
      <c r="P274" t="s">
        <v>118</v>
      </c>
      <c r="Q274">
        <v>1</v>
      </c>
      <c r="W274">
        <v>0</v>
      </c>
      <c r="X274">
        <v>618806536</v>
      </c>
      <c r="Y274">
        <v>6.0000000000000001E-3</v>
      </c>
      <c r="AA274">
        <v>310.29000000000002</v>
      </c>
      <c r="AB274">
        <v>0</v>
      </c>
      <c r="AC274">
        <v>0</v>
      </c>
      <c r="AD274">
        <v>0</v>
      </c>
      <c r="AE274">
        <v>44.97</v>
      </c>
      <c r="AF274">
        <v>0</v>
      </c>
      <c r="AG274">
        <v>0</v>
      </c>
      <c r="AH274">
        <v>0</v>
      </c>
      <c r="AI274">
        <v>6.9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3</v>
      </c>
      <c r="AT274">
        <v>6.0000000000000001E-3</v>
      </c>
      <c r="AU274" t="s">
        <v>3</v>
      </c>
      <c r="AV274">
        <v>0</v>
      </c>
      <c r="AW274">
        <v>2</v>
      </c>
      <c r="AX274">
        <v>39580032</v>
      </c>
      <c r="AY274">
        <v>1</v>
      </c>
      <c r="AZ274">
        <v>0</v>
      </c>
      <c r="BA274">
        <v>258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Y274*Source!I112</f>
        <v>1.2E-2</v>
      </c>
      <c r="CY274">
        <f t="shared" ref="CY274:CY286" si="36">AA274</f>
        <v>310.29000000000002</v>
      </c>
      <c r="CZ274">
        <f t="shared" ref="CZ274:CZ286" si="37">AE274</f>
        <v>44.97</v>
      </c>
      <c r="DA274">
        <f t="shared" ref="DA274:DA286" si="38">AI274</f>
        <v>6.9</v>
      </c>
      <c r="DB274">
        <v>0</v>
      </c>
    </row>
    <row r="275" spans="1:106" x14ac:dyDescent="0.2">
      <c r="A275">
        <f>ROW(Source!A112)</f>
        <v>112</v>
      </c>
      <c r="B275">
        <v>39579451</v>
      </c>
      <c r="C275">
        <v>39580029</v>
      </c>
      <c r="D275">
        <v>36801775</v>
      </c>
      <c r="E275">
        <v>1</v>
      </c>
      <c r="F275">
        <v>1</v>
      </c>
      <c r="G275">
        <v>1</v>
      </c>
      <c r="H275">
        <v>3</v>
      </c>
      <c r="I275" t="s">
        <v>746</v>
      </c>
      <c r="J275" t="s">
        <v>747</v>
      </c>
      <c r="K275" t="s">
        <v>748</v>
      </c>
      <c r="L275">
        <v>1346</v>
      </c>
      <c r="N275">
        <v>1009</v>
      </c>
      <c r="O275" t="s">
        <v>118</v>
      </c>
      <c r="P275" t="s">
        <v>118</v>
      </c>
      <c r="Q275">
        <v>1</v>
      </c>
      <c r="W275">
        <v>0</v>
      </c>
      <c r="X275">
        <v>56922527</v>
      </c>
      <c r="Y275">
        <v>1E-3</v>
      </c>
      <c r="AA275">
        <v>79.349999999999994</v>
      </c>
      <c r="AB275">
        <v>0</v>
      </c>
      <c r="AC275">
        <v>0</v>
      </c>
      <c r="AD275">
        <v>0</v>
      </c>
      <c r="AE275">
        <v>11.5</v>
      </c>
      <c r="AF275">
        <v>0</v>
      </c>
      <c r="AG275">
        <v>0</v>
      </c>
      <c r="AH275">
        <v>0</v>
      </c>
      <c r="AI275">
        <v>6.9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3</v>
      </c>
      <c r="AT275">
        <v>1E-3</v>
      </c>
      <c r="AU275" t="s">
        <v>3</v>
      </c>
      <c r="AV275">
        <v>0</v>
      </c>
      <c r="AW275">
        <v>2</v>
      </c>
      <c r="AX275">
        <v>39580033</v>
      </c>
      <c r="AY275">
        <v>1</v>
      </c>
      <c r="AZ275">
        <v>0</v>
      </c>
      <c r="BA275">
        <v>259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Y275*Source!I112</f>
        <v>2E-3</v>
      </c>
      <c r="CY275">
        <f t="shared" si="36"/>
        <v>79.349999999999994</v>
      </c>
      <c r="CZ275">
        <f t="shared" si="37"/>
        <v>11.5</v>
      </c>
      <c r="DA275">
        <f t="shared" si="38"/>
        <v>6.9</v>
      </c>
      <c r="DB275">
        <v>0</v>
      </c>
    </row>
    <row r="276" spans="1:106" x14ac:dyDescent="0.2">
      <c r="A276">
        <f>ROW(Source!A112)</f>
        <v>112</v>
      </c>
      <c r="B276">
        <v>39579451</v>
      </c>
      <c r="C276">
        <v>39580029</v>
      </c>
      <c r="D276">
        <v>36802094</v>
      </c>
      <c r="E276">
        <v>1</v>
      </c>
      <c r="F276">
        <v>1</v>
      </c>
      <c r="G276">
        <v>1</v>
      </c>
      <c r="H276">
        <v>3</v>
      </c>
      <c r="I276" t="s">
        <v>697</v>
      </c>
      <c r="J276" t="s">
        <v>698</v>
      </c>
      <c r="K276" t="s">
        <v>699</v>
      </c>
      <c r="L276">
        <v>1346</v>
      </c>
      <c r="N276">
        <v>1009</v>
      </c>
      <c r="O276" t="s">
        <v>118</v>
      </c>
      <c r="P276" t="s">
        <v>118</v>
      </c>
      <c r="Q276">
        <v>1</v>
      </c>
      <c r="W276">
        <v>0</v>
      </c>
      <c r="X276">
        <v>-1088866022</v>
      </c>
      <c r="Y276">
        <v>1.2E-2</v>
      </c>
      <c r="AA276">
        <v>209.76</v>
      </c>
      <c r="AB276">
        <v>0</v>
      </c>
      <c r="AC276">
        <v>0</v>
      </c>
      <c r="AD276">
        <v>0</v>
      </c>
      <c r="AE276">
        <v>30.4</v>
      </c>
      <c r="AF276">
        <v>0</v>
      </c>
      <c r="AG276">
        <v>0</v>
      </c>
      <c r="AH276">
        <v>0</v>
      </c>
      <c r="AI276">
        <v>6.9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3</v>
      </c>
      <c r="AT276">
        <v>1.2E-2</v>
      </c>
      <c r="AU276" t="s">
        <v>3</v>
      </c>
      <c r="AV276">
        <v>0</v>
      </c>
      <c r="AW276">
        <v>2</v>
      </c>
      <c r="AX276">
        <v>39580034</v>
      </c>
      <c r="AY276">
        <v>1</v>
      </c>
      <c r="AZ276">
        <v>0</v>
      </c>
      <c r="BA276">
        <v>260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Y276*Source!I112</f>
        <v>2.4E-2</v>
      </c>
      <c r="CY276">
        <f t="shared" si="36"/>
        <v>209.76</v>
      </c>
      <c r="CZ276">
        <f t="shared" si="37"/>
        <v>30.4</v>
      </c>
      <c r="DA276">
        <f t="shared" si="38"/>
        <v>6.9</v>
      </c>
      <c r="DB276">
        <v>0</v>
      </c>
    </row>
    <row r="277" spans="1:106" x14ac:dyDescent="0.2">
      <c r="A277">
        <f>ROW(Source!A112)</f>
        <v>112</v>
      </c>
      <c r="B277">
        <v>39579451</v>
      </c>
      <c r="C277">
        <v>39580029</v>
      </c>
      <c r="D277">
        <v>36803258</v>
      </c>
      <c r="E277">
        <v>1</v>
      </c>
      <c r="F277">
        <v>1</v>
      </c>
      <c r="G277">
        <v>1</v>
      </c>
      <c r="H277">
        <v>3</v>
      </c>
      <c r="I277" t="s">
        <v>749</v>
      </c>
      <c r="J277" t="s">
        <v>750</v>
      </c>
      <c r="K277" t="s">
        <v>751</v>
      </c>
      <c r="L277">
        <v>1346</v>
      </c>
      <c r="N277">
        <v>1009</v>
      </c>
      <c r="O277" t="s">
        <v>118</v>
      </c>
      <c r="P277" t="s">
        <v>118</v>
      </c>
      <c r="Q277">
        <v>1</v>
      </c>
      <c r="W277">
        <v>0</v>
      </c>
      <c r="X277">
        <v>586013393</v>
      </c>
      <c r="Y277">
        <v>7.0000000000000007E-2</v>
      </c>
      <c r="AA277">
        <v>72.930000000000007</v>
      </c>
      <c r="AB277">
        <v>0</v>
      </c>
      <c r="AC277">
        <v>0</v>
      </c>
      <c r="AD277">
        <v>0</v>
      </c>
      <c r="AE277">
        <v>10.57</v>
      </c>
      <c r="AF277">
        <v>0</v>
      </c>
      <c r="AG277">
        <v>0</v>
      </c>
      <c r="AH277">
        <v>0</v>
      </c>
      <c r="AI277">
        <v>6.9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3</v>
      </c>
      <c r="AT277">
        <v>7.0000000000000007E-2</v>
      </c>
      <c r="AU277" t="s">
        <v>3</v>
      </c>
      <c r="AV277">
        <v>0</v>
      </c>
      <c r="AW277">
        <v>2</v>
      </c>
      <c r="AX277">
        <v>39580035</v>
      </c>
      <c r="AY277">
        <v>1</v>
      </c>
      <c r="AZ277">
        <v>0</v>
      </c>
      <c r="BA277">
        <v>261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Y277*Source!I112</f>
        <v>0.14000000000000001</v>
      </c>
      <c r="CY277">
        <f t="shared" si="36"/>
        <v>72.930000000000007</v>
      </c>
      <c r="CZ277">
        <f t="shared" si="37"/>
        <v>10.57</v>
      </c>
      <c r="DA277">
        <f t="shared" si="38"/>
        <v>6.9</v>
      </c>
      <c r="DB277">
        <v>0</v>
      </c>
    </row>
    <row r="278" spans="1:106" x14ac:dyDescent="0.2">
      <c r="A278">
        <f>ROW(Source!A112)</f>
        <v>112</v>
      </c>
      <c r="B278">
        <v>39579451</v>
      </c>
      <c r="C278">
        <v>39580029</v>
      </c>
      <c r="D278">
        <v>36804448</v>
      </c>
      <c r="E278">
        <v>1</v>
      </c>
      <c r="F278">
        <v>1</v>
      </c>
      <c r="G278">
        <v>1</v>
      </c>
      <c r="H278">
        <v>3</v>
      </c>
      <c r="I278" t="s">
        <v>738</v>
      </c>
      <c r="J278" t="s">
        <v>739</v>
      </c>
      <c r="K278" t="s">
        <v>631</v>
      </c>
      <c r="L278">
        <v>1346</v>
      </c>
      <c r="N278">
        <v>1009</v>
      </c>
      <c r="O278" t="s">
        <v>118</v>
      </c>
      <c r="P278" t="s">
        <v>118</v>
      </c>
      <c r="Q278">
        <v>1</v>
      </c>
      <c r="W278">
        <v>0</v>
      </c>
      <c r="X278">
        <v>103900845</v>
      </c>
      <c r="Y278">
        <v>4.9000000000000002E-2</v>
      </c>
      <c r="AA278">
        <v>62.38</v>
      </c>
      <c r="AB278">
        <v>0</v>
      </c>
      <c r="AC278">
        <v>0</v>
      </c>
      <c r="AD278">
        <v>0</v>
      </c>
      <c r="AE278">
        <v>9.0399999999999991</v>
      </c>
      <c r="AF278">
        <v>0</v>
      </c>
      <c r="AG278">
        <v>0</v>
      </c>
      <c r="AH278">
        <v>0</v>
      </c>
      <c r="AI278">
        <v>6.9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4.9000000000000002E-2</v>
      </c>
      <c r="AU278" t="s">
        <v>3</v>
      </c>
      <c r="AV278">
        <v>0</v>
      </c>
      <c r="AW278">
        <v>2</v>
      </c>
      <c r="AX278">
        <v>39580036</v>
      </c>
      <c r="AY278">
        <v>1</v>
      </c>
      <c r="AZ278">
        <v>0</v>
      </c>
      <c r="BA278">
        <v>262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Y278*Source!I112</f>
        <v>9.8000000000000004E-2</v>
      </c>
      <c r="CY278">
        <f t="shared" si="36"/>
        <v>62.38</v>
      </c>
      <c r="CZ278">
        <f t="shared" si="37"/>
        <v>9.0399999999999991</v>
      </c>
      <c r="DA278">
        <f t="shared" si="38"/>
        <v>6.9</v>
      </c>
      <c r="DB278">
        <v>0</v>
      </c>
    </row>
    <row r="279" spans="1:106" x14ac:dyDescent="0.2">
      <c r="A279">
        <f>ROW(Source!A112)</f>
        <v>112</v>
      </c>
      <c r="B279">
        <v>39579451</v>
      </c>
      <c r="C279">
        <v>39580029</v>
      </c>
      <c r="D279">
        <v>36804580</v>
      </c>
      <c r="E279">
        <v>1</v>
      </c>
      <c r="F279">
        <v>1</v>
      </c>
      <c r="G279">
        <v>1</v>
      </c>
      <c r="H279">
        <v>3</v>
      </c>
      <c r="I279" t="s">
        <v>752</v>
      </c>
      <c r="J279" t="s">
        <v>753</v>
      </c>
      <c r="K279" t="s">
        <v>754</v>
      </c>
      <c r="L279">
        <v>1355</v>
      </c>
      <c r="N279">
        <v>1010</v>
      </c>
      <c r="O279" t="s">
        <v>360</v>
      </c>
      <c r="P279" t="s">
        <v>360</v>
      </c>
      <c r="Q279">
        <v>100</v>
      </c>
      <c r="W279">
        <v>0</v>
      </c>
      <c r="X279">
        <v>1794244060</v>
      </c>
      <c r="Y279">
        <v>1.4E-2</v>
      </c>
      <c r="AA279">
        <v>593.4</v>
      </c>
      <c r="AB279">
        <v>0</v>
      </c>
      <c r="AC279">
        <v>0</v>
      </c>
      <c r="AD279">
        <v>0</v>
      </c>
      <c r="AE279">
        <v>86</v>
      </c>
      <c r="AF279">
        <v>0</v>
      </c>
      <c r="AG279">
        <v>0</v>
      </c>
      <c r="AH279">
        <v>0</v>
      </c>
      <c r="AI279">
        <v>6.9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3</v>
      </c>
      <c r="AT279">
        <v>1.4E-2</v>
      </c>
      <c r="AU279" t="s">
        <v>3</v>
      </c>
      <c r="AV279">
        <v>0</v>
      </c>
      <c r="AW279">
        <v>2</v>
      </c>
      <c r="AX279">
        <v>39580037</v>
      </c>
      <c r="AY279">
        <v>1</v>
      </c>
      <c r="AZ279">
        <v>0</v>
      </c>
      <c r="BA279">
        <v>263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Y279*Source!I112</f>
        <v>2.8000000000000001E-2</v>
      </c>
      <c r="CY279">
        <f t="shared" si="36"/>
        <v>593.4</v>
      </c>
      <c r="CZ279">
        <f t="shared" si="37"/>
        <v>86</v>
      </c>
      <c r="DA279">
        <f t="shared" si="38"/>
        <v>6.9</v>
      </c>
      <c r="DB279">
        <v>0</v>
      </c>
    </row>
    <row r="280" spans="1:106" x14ac:dyDescent="0.2">
      <c r="A280">
        <f>ROW(Source!A112)</f>
        <v>112</v>
      </c>
      <c r="B280">
        <v>39579451</v>
      </c>
      <c r="C280">
        <v>39580029</v>
      </c>
      <c r="D280">
        <v>36805500</v>
      </c>
      <c r="E280">
        <v>1</v>
      </c>
      <c r="F280">
        <v>1</v>
      </c>
      <c r="G280">
        <v>1</v>
      </c>
      <c r="H280">
        <v>3</v>
      </c>
      <c r="I280" t="s">
        <v>755</v>
      </c>
      <c r="J280" t="s">
        <v>756</v>
      </c>
      <c r="K280" t="s">
        <v>757</v>
      </c>
      <c r="L280">
        <v>1346</v>
      </c>
      <c r="N280">
        <v>1009</v>
      </c>
      <c r="O280" t="s">
        <v>118</v>
      </c>
      <c r="P280" t="s">
        <v>118</v>
      </c>
      <c r="Q280">
        <v>1</v>
      </c>
      <c r="W280">
        <v>0</v>
      </c>
      <c r="X280">
        <v>-856710481</v>
      </c>
      <c r="Y280">
        <v>1E-3</v>
      </c>
      <c r="AA280">
        <v>918.05</v>
      </c>
      <c r="AB280">
        <v>0</v>
      </c>
      <c r="AC280">
        <v>0</v>
      </c>
      <c r="AD280">
        <v>0</v>
      </c>
      <c r="AE280">
        <v>133.05000000000001</v>
      </c>
      <c r="AF280">
        <v>0</v>
      </c>
      <c r="AG280">
        <v>0</v>
      </c>
      <c r="AH280">
        <v>0</v>
      </c>
      <c r="AI280">
        <v>6.9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3</v>
      </c>
      <c r="AT280">
        <v>1E-3</v>
      </c>
      <c r="AU280" t="s">
        <v>3</v>
      </c>
      <c r="AV280">
        <v>0</v>
      </c>
      <c r="AW280">
        <v>2</v>
      </c>
      <c r="AX280">
        <v>39580038</v>
      </c>
      <c r="AY280">
        <v>1</v>
      </c>
      <c r="AZ280">
        <v>0</v>
      </c>
      <c r="BA280">
        <v>264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Y280*Source!I112</f>
        <v>2E-3</v>
      </c>
      <c r="CY280">
        <f t="shared" si="36"/>
        <v>918.05</v>
      </c>
      <c r="CZ280">
        <f t="shared" si="37"/>
        <v>133.05000000000001</v>
      </c>
      <c r="DA280">
        <f t="shared" si="38"/>
        <v>6.9</v>
      </c>
      <c r="DB280">
        <v>0</v>
      </c>
    </row>
    <row r="281" spans="1:106" x14ac:dyDescent="0.2">
      <c r="A281">
        <f>ROW(Source!A112)</f>
        <v>112</v>
      </c>
      <c r="B281">
        <v>39579451</v>
      </c>
      <c r="C281">
        <v>39580029</v>
      </c>
      <c r="D281">
        <v>36823140</v>
      </c>
      <c r="E281">
        <v>1</v>
      </c>
      <c r="F281">
        <v>1</v>
      </c>
      <c r="G281">
        <v>1</v>
      </c>
      <c r="H281">
        <v>3</v>
      </c>
      <c r="I281" t="s">
        <v>758</v>
      </c>
      <c r="J281" t="s">
        <v>759</v>
      </c>
      <c r="K281" t="s">
        <v>760</v>
      </c>
      <c r="L281">
        <v>1348</v>
      </c>
      <c r="N281">
        <v>1009</v>
      </c>
      <c r="O281" t="s">
        <v>105</v>
      </c>
      <c r="P281" t="s">
        <v>105</v>
      </c>
      <c r="Q281">
        <v>1000</v>
      </c>
      <c r="W281">
        <v>0</v>
      </c>
      <c r="X281">
        <v>426000481</v>
      </c>
      <c r="Y281">
        <v>1E-3</v>
      </c>
      <c r="AA281">
        <v>79350</v>
      </c>
      <c r="AB281">
        <v>0</v>
      </c>
      <c r="AC281">
        <v>0</v>
      </c>
      <c r="AD281">
        <v>0</v>
      </c>
      <c r="AE281">
        <v>11500</v>
      </c>
      <c r="AF281">
        <v>0</v>
      </c>
      <c r="AG281">
        <v>0</v>
      </c>
      <c r="AH281">
        <v>0</v>
      </c>
      <c r="AI281">
        <v>6.9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3</v>
      </c>
      <c r="AT281">
        <v>1E-3</v>
      </c>
      <c r="AU281" t="s">
        <v>3</v>
      </c>
      <c r="AV281">
        <v>0</v>
      </c>
      <c r="AW281">
        <v>2</v>
      </c>
      <c r="AX281">
        <v>39580039</v>
      </c>
      <c r="AY281">
        <v>1</v>
      </c>
      <c r="AZ281">
        <v>0</v>
      </c>
      <c r="BA281">
        <v>265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Y281*Source!I112</f>
        <v>2E-3</v>
      </c>
      <c r="CY281">
        <f t="shared" si="36"/>
        <v>79350</v>
      </c>
      <c r="CZ281">
        <f t="shared" si="37"/>
        <v>11500</v>
      </c>
      <c r="DA281">
        <f t="shared" si="38"/>
        <v>6.9</v>
      </c>
      <c r="DB281">
        <v>0</v>
      </c>
    </row>
    <row r="282" spans="1:106" x14ac:dyDescent="0.2">
      <c r="A282">
        <f>ROW(Source!A112)</f>
        <v>112</v>
      </c>
      <c r="B282">
        <v>39579451</v>
      </c>
      <c r="C282">
        <v>39580029</v>
      </c>
      <c r="D282">
        <v>36838317</v>
      </c>
      <c r="E282">
        <v>1</v>
      </c>
      <c r="F282">
        <v>1</v>
      </c>
      <c r="G282">
        <v>1</v>
      </c>
      <c r="H282">
        <v>3</v>
      </c>
      <c r="I282" t="s">
        <v>703</v>
      </c>
      <c r="J282" t="s">
        <v>704</v>
      </c>
      <c r="K282" t="s">
        <v>229</v>
      </c>
      <c r="L282">
        <v>1346</v>
      </c>
      <c r="N282">
        <v>1009</v>
      </c>
      <c r="O282" t="s">
        <v>118</v>
      </c>
      <c r="P282" t="s">
        <v>118</v>
      </c>
      <c r="Q282">
        <v>1</v>
      </c>
      <c r="W282">
        <v>0</v>
      </c>
      <c r="X282">
        <v>210558753</v>
      </c>
      <c r="Y282">
        <v>3.5999999999999997E-2</v>
      </c>
      <c r="AA282">
        <v>197.34</v>
      </c>
      <c r="AB282">
        <v>0</v>
      </c>
      <c r="AC282">
        <v>0</v>
      </c>
      <c r="AD282">
        <v>0</v>
      </c>
      <c r="AE282">
        <v>28.6</v>
      </c>
      <c r="AF282">
        <v>0</v>
      </c>
      <c r="AG282">
        <v>0</v>
      </c>
      <c r="AH282">
        <v>0</v>
      </c>
      <c r="AI282">
        <v>6.9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3</v>
      </c>
      <c r="AT282">
        <v>3.5999999999999997E-2</v>
      </c>
      <c r="AU282" t="s">
        <v>3</v>
      </c>
      <c r="AV282">
        <v>0</v>
      </c>
      <c r="AW282">
        <v>2</v>
      </c>
      <c r="AX282">
        <v>39580040</v>
      </c>
      <c r="AY282">
        <v>1</v>
      </c>
      <c r="AZ282">
        <v>0</v>
      </c>
      <c r="BA282">
        <v>266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Y282*Source!I112</f>
        <v>7.1999999999999995E-2</v>
      </c>
      <c r="CY282">
        <f t="shared" si="36"/>
        <v>197.34</v>
      </c>
      <c r="CZ282">
        <f t="shared" si="37"/>
        <v>28.6</v>
      </c>
      <c r="DA282">
        <f t="shared" si="38"/>
        <v>6.9</v>
      </c>
      <c r="DB282">
        <v>0</v>
      </c>
    </row>
    <row r="283" spans="1:106" x14ac:dyDescent="0.2">
      <c r="A283">
        <f>ROW(Source!A112)</f>
        <v>112</v>
      </c>
      <c r="B283">
        <v>39579451</v>
      </c>
      <c r="C283">
        <v>39580029</v>
      </c>
      <c r="D283">
        <v>36838470</v>
      </c>
      <c r="E283">
        <v>1</v>
      </c>
      <c r="F283">
        <v>1</v>
      </c>
      <c r="G283">
        <v>1</v>
      </c>
      <c r="H283">
        <v>3</v>
      </c>
      <c r="I283" t="s">
        <v>761</v>
      </c>
      <c r="J283" t="s">
        <v>762</v>
      </c>
      <c r="K283" t="s">
        <v>763</v>
      </c>
      <c r="L283">
        <v>1346</v>
      </c>
      <c r="N283">
        <v>1009</v>
      </c>
      <c r="O283" t="s">
        <v>118</v>
      </c>
      <c r="P283" t="s">
        <v>118</v>
      </c>
      <c r="Q283">
        <v>1</v>
      </c>
      <c r="W283">
        <v>0</v>
      </c>
      <c r="X283">
        <v>-1274984028</v>
      </c>
      <c r="Y283">
        <v>6.0000000000000001E-3</v>
      </c>
      <c r="AA283">
        <v>245.85</v>
      </c>
      <c r="AB283">
        <v>0</v>
      </c>
      <c r="AC283">
        <v>0</v>
      </c>
      <c r="AD283">
        <v>0</v>
      </c>
      <c r="AE283">
        <v>35.630000000000003</v>
      </c>
      <c r="AF283">
        <v>0</v>
      </c>
      <c r="AG283">
        <v>0</v>
      </c>
      <c r="AH283">
        <v>0</v>
      </c>
      <c r="AI283">
        <v>6.9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3</v>
      </c>
      <c r="AT283">
        <v>6.0000000000000001E-3</v>
      </c>
      <c r="AU283" t="s">
        <v>3</v>
      </c>
      <c r="AV283">
        <v>0</v>
      </c>
      <c r="AW283">
        <v>2</v>
      </c>
      <c r="AX283">
        <v>39580041</v>
      </c>
      <c r="AY283">
        <v>1</v>
      </c>
      <c r="AZ283">
        <v>0</v>
      </c>
      <c r="BA283">
        <v>267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Y283*Source!I112</f>
        <v>1.2E-2</v>
      </c>
      <c r="CY283">
        <f t="shared" si="36"/>
        <v>245.85</v>
      </c>
      <c r="CZ283">
        <f t="shared" si="37"/>
        <v>35.630000000000003</v>
      </c>
      <c r="DA283">
        <f t="shared" si="38"/>
        <v>6.9</v>
      </c>
      <c r="DB283">
        <v>0</v>
      </c>
    </row>
    <row r="284" spans="1:106" x14ac:dyDescent="0.2">
      <c r="A284">
        <f>ROW(Source!A112)</f>
        <v>112</v>
      </c>
      <c r="B284">
        <v>39579451</v>
      </c>
      <c r="C284">
        <v>39580029</v>
      </c>
      <c r="D284">
        <v>36851945</v>
      </c>
      <c r="E284">
        <v>1</v>
      </c>
      <c r="F284">
        <v>1</v>
      </c>
      <c r="G284">
        <v>1</v>
      </c>
      <c r="H284">
        <v>3</v>
      </c>
      <c r="I284" t="s">
        <v>764</v>
      </c>
      <c r="J284" t="s">
        <v>765</v>
      </c>
      <c r="K284" t="s">
        <v>766</v>
      </c>
      <c r="L284">
        <v>1358</v>
      </c>
      <c r="N284">
        <v>1010</v>
      </c>
      <c r="O284" t="s">
        <v>351</v>
      </c>
      <c r="P284" t="s">
        <v>351</v>
      </c>
      <c r="Q284">
        <v>10</v>
      </c>
      <c r="W284">
        <v>0</v>
      </c>
      <c r="X284">
        <v>1386890308</v>
      </c>
      <c r="Y284">
        <v>0.1</v>
      </c>
      <c r="AA284">
        <v>269.10000000000002</v>
      </c>
      <c r="AB284">
        <v>0</v>
      </c>
      <c r="AC284">
        <v>0</v>
      </c>
      <c r="AD284">
        <v>0</v>
      </c>
      <c r="AE284">
        <v>39</v>
      </c>
      <c r="AF284">
        <v>0</v>
      </c>
      <c r="AG284">
        <v>0</v>
      </c>
      <c r="AH284">
        <v>0</v>
      </c>
      <c r="AI284">
        <v>6.9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3</v>
      </c>
      <c r="AT284">
        <v>0.1</v>
      </c>
      <c r="AU284" t="s">
        <v>3</v>
      </c>
      <c r="AV284">
        <v>0</v>
      </c>
      <c r="AW284">
        <v>2</v>
      </c>
      <c r="AX284">
        <v>39580042</v>
      </c>
      <c r="AY284">
        <v>1</v>
      </c>
      <c r="AZ284">
        <v>0</v>
      </c>
      <c r="BA284">
        <v>268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Y284*Source!I112</f>
        <v>0.2</v>
      </c>
      <c r="CY284">
        <f t="shared" si="36"/>
        <v>269.10000000000002</v>
      </c>
      <c r="CZ284">
        <f t="shared" si="37"/>
        <v>39</v>
      </c>
      <c r="DA284">
        <f t="shared" si="38"/>
        <v>6.9</v>
      </c>
      <c r="DB284">
        <v>0</v>
      </c>
    </row>
    <row r="285" spans="1:106" x14ac:dyDescent="0.2">
      <c r="A285">
        <f>ROW(Source!A112)</f>
        <v>112</v>
      </c>
      <c r="B285">
        <v>39579451</v>
      </c>
      <c r="C285">
        <v>39580029</v>
      </c>
      <c r="D285">
        <v>36873251</v>
      </c>
      <c r="E285">
        <v>1</v>
      </c>
      <c r="F285">
        <v>1</v>
      </c>
      <c r="G285">
        <v>1</v>
      </c>
      <c r="H285">
        <v>3</v>
      </c>
      <c r="I285" t="s">
        <v>367</v>
      </c>
      <c r="J285" t="s">
        <v>369</v>
      </c>
      <c r="K285" t="s">
        <v>368</v>
      </c>
      <c r="L285">
        <v>1354</v>
      </c>
      <c r="N285">
        <v>1010</v>
      </c>
      <c r="O285" t="s">
        <v>189</v>
      </c>
      <c r="P285" t="s">
        <v>189</v>
      </c>
      <c r="Q285">
        <v>1</v>
      </c>
      <c r="W285">
        <v>0</v>
      </c>
      <c r="X285">
        <v>-980876846</v>
      </c>
      <c r="Y285">
        <v>1</v>
      </c>
      <c r="AA285">
        <v>656.6</v>
      </c>
      <c r="AB285">
        <v>0</v>
      </c>
      <c r="AC285">
        <v>0</v>
      </c>
      <c r="AD285">
        <v>0</v>
      </c>
      <c r="AE285">
        <v>95.16</v>
      </c>
      <c r="AF285">
        <v>0</v>
      </c>
      <c r="AG285">
        <v>0</v>
      </c>
      <c r="AH285">
        <v>0</v>
      </c>
      <c r="AI285">
        <v>6.9</v>
      </c>
      <c r="AJ285">
        <v>1</v>
      </c>
      <c r="AK285">
        <v>1</v>
      </c>
      <c r="AL285">
        <v>1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3</v>
      </c>
      <c r="AT285">
        <v>1</v>
      </c>
      <c r="AU285" t="s">
        <v>3</v>
      </c>
      <c r="AV285">
        <v>0</v>
      </c>
      <c r="AW285">
        <v>1</v>
      </c>
      <c r="AX285">
        <v>-1</v>
      </c>
      <c r="AY285">
        <v>0</v>
      </c>
      <c r="AZ285">
        <v>0</v>
      </c>
      <c r="BA285" t="s">
        <v>3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Y285*Source!I112</f>
        <v>2</v>
      </c>
      <c r="CY285">
        <f t="shared" si="36"/>
        <v>656.6</v>
      </c>
      <c r="CZ285">
        <f t="shared" si="37"/>
        <v>95.16</v>
      </c>
      <c r="DA285">
        <f t="shared" si="38"/>
        <v>6.9</v>
      </c>
      <c r="DB285">
        <v>0</v>
      </c>
    </row>
    <row r="286" spans="1:106" x14ac:dyDescent="0.2">
      <c r="A286">
        <f>ROW(Source!A112)</f>
        <v>112</v>
      </c>
      <c r="B286">
        <v>39579451</v>
      </c>
      <c r="C286">
        <v>39580029</v>
      </c>
      <c r="D286">
        <v>36799065</v>
      </c>
      <c r="E286">
        <v>17</v>
      </c>
      <c r="F286">
        <v>1</v>
      </c>
      <c r="G286">
        <v>1</v>
      </c>
      <c r="H286">
        <v>3</v>
      </c>
      <c r="I286" t="s">
        <v>694</v>
      </c>
      <c r="J286" t="s">
        <v>3</v>
      </c>
      <c r="K286" t="s">
        <v>695</v>
      </c>
      <c r="L286">
        <v>1374</v>
      </c>
      <c r="N286">
        <v>1013</v>
      </c>
      <c r="O286" t="s">
        <v>696</v>
      </c>
      <c r="P286" t="s">
        <v>696</v>
      </c>
      <c r="Q286">
        <v>1</v>
      </c>
      <c r="W286">
        <v>0</v>
      </c>
      <c r="X286">
        <v>-1731369543</v>
      </c>
      <c r="Y286">
        <v>0.3</v>
      </c>
      <c r="AA286">
        <v>1</v>
      </c>
      <c r="AB286">
        <v>0</v>
      </c>
      <c r="AC286">
        <v>0</v>
      </c>
      <c r="AD286">
        <v>0</v>
      </c>
      <c r="AE286">
        <v>1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3</v>
      </c>
      <c r="AT286">
        <v>0.3</v>
      </c>
      <c r="AU286" t="s">
        <v>3</v>
      </c>
      <c r="AV286">
        <v>0</v>
      </c>
      <c r="AW286">
        <v>2</v>
      </c>
      <c r="AX286">
        <v>39580043</v>
      </c>
      <c r="AY286">
        <v>1</v>
      </c>
      <c r="AZ286">
        <v>0</v>
      </c>
      <c r="BA286">
        <v>269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Y286*Source!I112</f>
        <v>0.6</v>
      </c>
      <c r="CY286">
        <f t="shared" si="36"/>
        <v>1</v>
      </c>
      <c r="CZ286">
        <f t="shared" si="37"/>
        <v>1</v>
      </c>
      <c r="DA286">
        <f t="shared" si="38"/>
        <v>1</v>
      </c>
      <c r="DB286">
        <v>0</v>
      </c>
    </row>
    <row r="287" spans="1:106" x14ac:dyDescent="0.2">
      <c r="A287">
        <f>ROW(Source!A114)</f>
        <v>114</v>
      </c>
      <c r="B287">
        <v>39579451</v>
      </c>
      <c r="C287">
        <v>39580473</v>
      </c>
      <c r="D287">
        <v>37065248</v>
      </c>
      <c r="E287">
        <v>1</v>
      </c>
      <c r="F287">
        <v>1</v>
      </c>
      <c r="G287">
        <v>1</v>
      </c>
      <c r="H287">
        <v>1</v>
      </c>
      <c r="I287" t="s">
        <v>536</v>
      </c>
      <c r="J287" t="s">
        <v>3</v>
      </c>
      <c r="K287" t="s">
        <v>537</v>
      </c>
      <c r="L287">
        <v>1191</v>
      </c>
      <c r="N287">
        <v>1013</v>
      </c>
      <c r="O287" t="s">
        <v>519</v>
      </c>
      <c r="P287" t="s">
        <v>519</v>
      </c>
      <c r="Q287">
        <v>1</v>
      </c>
      <c r="W287">
        <v>0</v>
      </c>
      <c r="X287">
        <v>-400197608</v>
      </c>
      <c r="Y287">
        <v>46.19</v>
      </c>
      <c r="AA287">
        <v>0</v>
      </c>
      <c r="AB287">
        <v>0</v>
      </c>
      <c r="AC287">
        <v>0</v>
      </c>
      <c r="AD287">
        <v>58.86</v>
      </c>
      <c r="AE287">
        <v>0</v>
      </c>
      <c r="AF287">
        <v>0</v>
      </c>
      <c r="AG287">
        <v>0</v>
      </c>
      <c r="AH287">
        <v>8.5299999999999994</v>
      </c>
      <c r="AI287">
        <v>1</v>
      </c>
      <c r="AJ287">
        <v>1</v>
      </c>
      <c r="AK287">
        <v>1</v>
      </c>
      <c r="AL287">
        <v>6.9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3</v>
      </c>
      <c r="AT287">
        <v>46.19</v>
      </c>
      <c r="AU287" t="s">
        <v>3</v>
      </c>
      <c r="AV287">
        <v>1</v>
      </c>
      <c r="AW287">
        <v>2</v>
      </c>
      <c r="AX287">
        <v>39580474</v>
      </c>
      <c r="AY287">
        <v>1</v>
      </c>
      <c r="AZ287">
        <v>0</v>
      </c>
      <c r="BA287">
        <v>270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Y287*Source!I114</f>
        <v>2.7713999999999999</v>
      </c>
      <c r="CY287">
        <f>AD287</f>
        <v>58.86</v>
      </c>
      <c r="CZ287">
        <f>AH287</f>
        <v>8.5299999999999994</v>
      </c>
      <c r="DA287">
        <f>AL287</f>
        <v>6.9</v>
      </c>
      <c r="DB287">
        <v>0</v>
      </c>
    </row>
    <row r="288" spans="1:106" x14ac:dyDescent="0.2">
      <c r="A288">
        <f>ROW(Source!A114)</f>
        <v>114</v>
      </c>
      <c r="B288">
        <v>39579451</v>
      </c>
      <c r="C288">
        <v>39580473</v>
      </c>
      <c r="D288">
        <v>37064876</v>
      </c>
      <c r="E288">
        <v>1</v>
      </c>
      <c r="F288">
        <v>1</v>
      </c>
      <c r="G288">
        <v>1</v>
      </c>
      <c r="H288">
        <v>1</v>
      </c>
      <c r="I288" t="s">
        <v>520</v>
      </c>
      <c r="J288" t="s">
        <v>3</v>
      </c>
      <c r="K288" t="s">
        <v>521</v>
      </c>
      <c r="L288">
        <v>1191</v>
      </c>
      <c r="N288">
        <v>1013</v>
      </c>
      <c r="O288" t="s">
        <v>519</v>
      </c>
      <c r="P288" t="s">
        <v>519</v>
      </c>
      <c r="Q288">
        <v>1</v>
      </c>
      <c r="W288">
        <v>0</v>
      </c>
      <c r="X288">
        <v>-1417349443</v>
      </c>
      <c r="Y288">
        <v>0.01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6.9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3</v>
      </c>
      <c r="AT288">
        <v>0.01</v>
      </c>
      <c r="AU288" t="s">
        <v>3</v>
      </c>
      <c r="AV288">
        <v>2</v>
      </c>
      <c r="AW288">
        <v>2</v>
      </c>
      <c r="AX288">
        <v>39580475</v>
      </c>
      <c r="AY288">
        <v>1</v>
      </c>
      <c r="AZ288">
        <v>0</v>
      </c>
      <c r="BA288">
        <v>271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Y288*Source!I114</f>
        <v>5.9999999999999995E-4</v>
      </c>
      <c r="CY288">
        <f>AD288</f>
        <v>0</v>
      </c>
      <c r="CZ288">
        <f>AH288</f>
        <v>0</v>
      </c>
      <c r="DA288">
        <f>AL288</f>
        <v>1</v>
      </c>
      <c r="DB288">
        <v>0</v>
      </c>
    </row>
    <row r="289" spans="1:106" x14ac:dyDescent="0.2">
      <c r="A289">
        <f>ROW(Source!A114)</f>
        <v>114</v>
      </c>
      <c r="B289">
        <v>39579451</v>
      </c>
      <c r="C289">
        <v>39580473</v>
      </c>
      <c r="D289">
        <v>36882452</v>
      </c>
      <c r="E289">
        <v>1</v>
      </c>
      <c r="F289">
        <v>1</v>
      </c>
      <c r="G289">
        <v>1</v>
      </c>
      <c r="H289">
        <v>2</v>
      </c>
      <c r="I289" t="s">
        <v>522</v>
      </c>
      <c r="J289" t="s">
        <v>523</v>
      </c>
      <c r="K289" t="s">
        <v>524</v>
      </c>
      <c r="L289">
        <v>1368</v>
      </c>
      <c r="N289">
        <v>1011</v>
      </c>
      <c r="O289" t="s">
        <v>525</v>
      </c>
      <c r="P289" t="s">
        <v>525</v>
      </c>
      <c r="Q289">
        <v>1</v>
      </c>
      <c r="W289">
        <v>0</v>
      </c>
      <c r="X289">
        <v>1188625873</v>
      </c>
      <c r="Y289">
        <v>0.01</v>
      </c>
      <c r="AA289">
        <v>0</v>
      </c>
      <c r="AB289">
        <v>215.69</v>
      </c>
      <c r="AC289">
        <v>13.5</v>
      </c>
      <c r="AD289">
        <v>0</v>
      </c>
      <c r="AE289">
        <v>0</v>
      </c>
      <c r="AF289">
        <v>31.26</v>
      </c>
      <c r="AG289">
        <v>13.5</v>
      </c>
      <c r="AH289">
        <v>0</v>
      </c>
      <c r="AI289">
        <v>1</v>
      </c>
      <c r="AJ289">
        <v>6.9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0.01</v>
      </c>
      <c r="AU289" t="s">
        <v>3</v>
      </c>
      <c r="AV289">
        <v>0</v>
      </c>
      <c r="AW289">
        <v>2</v>
      </c>
      <c r="AX289">
        <v>39580476</v>
      </c>
      <c r="AY289">
        <v>1</v>
      </c>
      <c r="AZ289">
        <v>0</v>
      </c>
      <c r="BA289">
        <v>272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Y289*Source!I114</f>
        <v>5.9999999999999995E-4</v>
      </c>
      <c r="CY289">
        <f>AB289</f>
        <v>215.69</v>
      </c>
      <c r="CZ289">
        <f>AF289</f>
        <v>31.26</v>
      </c>
      <c r="DA289">
        <f>AJ289</f>
        <v>6.9</v>
      </c>
      <c r="DB289">
        <v>0</v>
      </c>
    </row>
    <row r="290" spans="1:106" x14ac:dyDescent="0.2">
      <c r="A290">
        <f>ROW(Source!A114)</f>
        <v>114</v>
      </c>
      <c r="B290">
        <v>39579451</v>
      </c>
      <c r="C290">
        <v>39580473</v>
      </c>
      <c r="D290">
        <v>36801792</v>
      </c>
      <c r="E290">
        <v>1</v>
      </c>
      <c r="F290">
        <v>1</v>
      </c>
      <c r="G290">
        <v>1</v>
      </c>
      <c r="H290">
        <v>3</v>
      </c>
      <c r="I290" t="s">
        <v>564</v>
      </c>
      <c r="J290" t="s">
        <v>565</v>
      </c>
      <c r="K290" t="s">
        <v>566</v>
      </c>
      <c r="L290">
        <v>1339</v>
      </c>
      <c r="N290">
        <v>1007</v>
      </c>
      <c r="O290" t="s">
        <v>86</v>
      </c>
      <c r="P290" t="s">
        <v>86</v>
      </c>
      <c r="Q290">
        <v>1</v>
      </c>
      <c r="W290">
        <v>0</v>
      </c>
      <c r="X290">
        <v>-1660354250</v>
      </c>
      <c r="Y290">
        <v>0.02</v>
      </c>
      <c r="AA290">
        <v>16.84</v>
      </c>
      <c r="AB290">
        <v>0</v>
      </c>
      <c r="AC290">
        <v>0</v>
      </c>
      <c r="AD290">
        <v>0</v>
      </c>
      <c r="AE290">
        <v>2.44</v>
      </c>
      <c r="AF290">
        <v>0</v>
      </c>
      <c r="AG290">
        <v>0</v>
      </c>
      <c r="AH290">
        <v>0</v>
      </c>
      <c r="AI290">
        <v>6.9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3</v>
      </c>
      <c r="AT290">
        <v>0.02</v>
      </c>
      <c r="AU290" t="s">
        <v>3</v>
      </c>
      <c r="AV290">
        <v>0</v>
      </c>
      <c r="AW290">
        <v>2</v>
      </c>
      <c r="AX290">
        <v>39580477</v>
      </c>
      <c r="AY290">
        <v>1</v>
      </c>
      <c r="AZ290">
        <v>0</v>
      </c>
      <c r="BA290">
        <v>273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Y290*Source!I114</f>
        <v>1.1999999999999999E-3</v>
      </c>
      <c r="CY290">
        <f>AA290</f>
        <v>16.84</v>
      </c>
      <c r="CZ290">
        <f>AE290</f>
        <v>2.44</v>
      </c>
      <c r="DA290">
        <f>AI290</f>
        <v>6.9</v>
      </c>
      <c r="DB290">
        <v>0</v>
      </c>
    </row>
    <row r="291" spans="1:106" x14ac:dyDescent="0.2">
      <c r="A291">
        <f>ROW(Source!A114)</f>
        <v>114</v>
      </c>
      <c r="B291">
        <v>39579451</v>
      </c>
      <c r="C291">
        <v>39580473</v>
      </c>
      <c r="D291">
        <v>36806488</v>
      </c>
      <c r="E291">
        <v>1</v>
      </c>
      <c r="F291">
        <v>1</v>
      </c>
      <c r="G291">
        <v>1</v>
      </c>
      <c r="H291">
        <v>3</v>
      </c>
      <c r="I291" t="s">
        <v>160</v>
      </c>
      <c r="J291" t="s">
        <v>162</v>
      </c>
      <c r="K291" t="s">
        <v>161</v>
      </c>
      <c r="L291">
        <v>1348</v>
      </c>
      <c r="N291">
        <v>1009</v>
      </c>
      <c r="O291" t="s">
        <v>105</v>
      </c>
      <c r="P291" t="s">
        <v>105</v>
      </c>
      <c r="Q291">
        <v>1000</v>
      </c>
      <c r="W291">
        <v>0</v>
      </c>
      <c r="X291">
        <v>-1421715385</v>
      </c>
      <c r="Y291">
        <v>0.05</v>
      </c>
      <c r="AA291">
        <v>5036.8599999999997</v>
      </c>
      <c r="AB291">
        <v>0</v>
      </c>
      <c r="AC291">
        <v>0</v>
      </c>
      <c r="AD291">
        <v>0</v>
      </c>
      <c r="AE291">
        <v>729.98</v>
      </c>
      <c r="AF291">
        <v>0</v>
      </c>
      <c r="AG291">
        <v>0</v>
      </c>
      <c r="AH291">
        <v>0</v>
      </c>
      <c r="AI291">
        <v>6.9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0.05</v>
      </c>
      <c r="AU291" t="s">
        <v>3</v>
      </c>
      <c r="AV291">
        <v>0</v>
      </c>
      <c r="AW291">
        <v>2</v>
      </c>
      <c r="AX291">
        <v>39580479</v>
      </c>
      <c r="AY291">
        <v>1</v>
      </c>
      <c r="AZ291">
        <v>0</v>
      </c>
      <c r="BA291">
        <v>275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Y291*Source!I114</f>
        <v>3.0000000000000001E-3</v>
      </c>
      <c r="CY291">
        <f>AA291</f>
        <v>5036.8599999999997</v>
      </c>
      <c r="CZ291">
        <f>AE291</f>
        <v>729.98</v>
      </c>
      <c r="DA291">
        <f>AI291</f>
        <v>6.9</v>
      </c>
      <c r="DB291">
        <v>0</v>
      </c>
    </row>
    <row r="292" spans="1:106" x14ac:dyDescent="0.2">
      <c r="A292">
        <f>ROW(Source!A114)</f>
        <v>114</v>
      </c>
      <c r="B292">
        <v>39579451</v>
      </c>
      <c r="C292">
        <v>39580473</v>
      </c>
      <c r="D292">
        <v>36849893</v>
      </c>
      <c r="E292">
        <v>1</v>
      </c>
      <c r="F292">
        <v>1</v>
      </c>
      <c r="G292">
        <v>1</v>
      </c>
      <c r="H292">
        <v>3</v>
      </c>
      <c r="I292" t="s">
        <v>377</v>
      </c>
      <c r="J292" t="s">
        <v>379</v>
      </c>
      <c r="K292" t="s">
        <v>378</v>
      </c>
      <c r="L292">
        <v>1354</v>
      </c>
      <c r="N292">
        <v>1010</v>
      </c>
      <c r="O292" t="s">
        <v>189</v>
      </c>
      <c r="P292" t="s">
        <v>189</v>
      </c>
      <c r="Q292">
        <v>1</v>
      </c>
      <c r="W292">
        <v>0</v>
      </c>
      <c r="X292">
        <v>1245683594</v>
      </c>
      <c r="Y292">
        <v>100</v>
      </c>
      <c r="AA292">
        <v>128.82</v>
      </c>
      <c r="AB292">
        <v>0</v>
      </c>
      <c r="AC292">
        <v>0</v>
      </c>
      <c r="AD292">
        <v>0</v>
      </c>
      <c r="AE292">
        <v>18.670000000000002</v>
      </c>
      <c r="AF292">
        <v>0</v>
      </c>
      <c r="AG292">
        <v>0</v>
      </c>
      <c r="AH292">
        <v>0</v>
      </c>
      <c r="AI292">
        <v>6.9</v>
      </c>
      <c r="AJ292">
        <v>1</v>
      </c>
      <c r="AK292">
        <v>1</v>
      </c>
      <c r="AL292">
        <v>1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3</v>
      </c>
      <c r="AT292">
        <v>100</v>
      </c>
      <c r="AU292" t="s">
        <v>3</v>
      </c>
      <c r="AV292">
        <v>0</v>
      </c>
      <c r="AW292">
        <v>1</v>
      </c>
      <c r="AX292">
        <v>-1</v>
      </c>
      <c r="AY292">
        <v>0</v>
      </c>
      <c r="AZ292">
        <v>0</v>
      </c>
      <c r="BA292" t="s">
        <v>3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Y292*Source!I114</f>
        <v>6</v>
      </c>
      <c r="CY292">
        <f>AA292</f>
        <v>128.82</v>
      </c>
      <c r="CZ292">
        <f>AE292</f>
        <v>18.670000000000002</v>
      </c>
      <c r="DA292">
        <f>AI292</f>
        <v>6.9</v>
      </c>
      <c r="DB292">
        <v>0</v>
      </c>
    </row>
    <row r="293" spans="1:106" x14ac:dyDescent="0.2">
      <c r="A293">
        <f>ROW(Source!A114)</f>
        <v>114</v>
      </c>
      <c r="B293">
        <v>39579451</v>
      </c>
      <c r="C293">
        <v>39580473</v>
      </c>
      <c r="D293">
        <v>36797832</v>
      </c>
      <c r="E293">
        <v>17</v>
      </c>
      <c r="F293">
        <v>1</v>
      </c>
      <c r="G293">
        <v>1</v>
      </c>
      <c r="H293">
        <v>3</v>
      </c>
      <c r="I293" t="s">
        <v>187</v>
      </c>
      <c r="J293" t="s">
        <v>3</v>
      </c>
      <c r="K293" t="s">
        <v>188</v>
      </c>
      <c r="L293">
        <v>1354</v>
      </c>
      <c r="N293">
        <v>1010</v>
      </c>
      <c r="O293" t="s">
        <v>189</v>
      </c>
      <c r="P293" t="s">
        <v>189</v>
      </c>
      <c r="Q293">
        <v>1</v>
      </c>
      <c r="W293">
        <v>0</v>
      </c>
      <c r="X293">
        <v>-698526538</v>
      </c>
      <c r="Y293">
        <v>100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6.9</v>
      </c>
      <c r="AJ293">
        <v>1</v>
      </c>
      <c r="AK293">
        <v>1</v>
      </c>
      <c r="AL293">
        <v>1</v>
      </c>
      <c r="AN293">
        <v>0</v>
      </c>
      <c r="AO293">
        <v>0</v>
      </c>
      <c r="AP293">
        <v>0</v>
      </c>
      <c r="AQ293">
        <v>0</v>
      </c>
      <c r="AR293">
        <v>0</v>
      </c>
      <c r="AS293" t="s">
        <v>3</v>
      </c>
      <c r="AT293">
        <v>100</v>
      </c>
      <c r="AU293" t="s">
        <v>3</v>
      </c>
      <c r="AV293">
        <v>0</v>
      </c>
      <c r="AW293">
        <v>2</v>
      </c>
      <c r="AX293">
        <v>39580480</v>
      </c>
      <c r="AY293">
        <v>1</v>
      </c>
      <c r="AZ293">
        <v>0</v>
      </c>
      <c r="BA293">
        <v>276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Y293*Source!I114</f>
        <v>6</v>
      </c>
      <c r="CY293">
        <f>AA293</f>
        <v>0</v>
      </c>
      <c r="CZ293">
        <f>AE293</f>
        <v>0</v>
      </c>
      <c r="DA293">
        <f>AI293</f>
        <v>6.9</v>
      </c>
      <c r="DB29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7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39579469</v>
      </c>
      <c r="C1">
        <v>39579468</v>
      </c>
      <c r="D1">
        <v>37064878</v>
      </c>
      <c r="E1">
        <v>1</v>
      </c>
      <c r="F1">
        <v>1</v>
      </c>
      <c r="G1">
        <v>1</v>
      </c>
      <c r="H1">
        <v>1</v>
      </c>
      <c r="I1" t="s">
        <v>517</v>
      </c>
      <c r="J1" t="s">
        <v>3</v>
      </c>
      <c r="K1" t="s">
        <v>518</v>
      </c>
      <c r="L1">
        <v>1191</v>
      </c>
      <c r="N1">
        <v>1013</v>
      </c>
      <c r="O1" t="s">
        <v>519</v>
      </c>
      <c r="P1" t="s">
        <v>519</v>
      </c>
      <c r="Q1">
        <v>1</v>
      </c>
      <c r="X1">
        <v>102.46</v>
      </c>
      <c r="Y1">
        <v>0</v>
      </c>
      <c r="Z1">
        <v>0</v>
      </c>
      <c r="AA1">
        <v>0</v>
      </c>
      <c r="AB1">
        <v>9.4</v>
      </c>
      <c r="AC1">
        <v>0</v>
      </c>
      <c r="AD1">
        <v>1</v>
      </c>
      <c r="AE1">
        <v>1</v>
      </c>
      <c r="AF1" t="s">
        <v>19</v>
      </c>
      <c r="AG1">
        <v>81.968000000000004</v>
      </c>
      <c r="AH1">
        <v>2</v>
      </c>
      <c r="AI1">
        <v>39579469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39579470</v>
      </c>
      <c r="C2">
        <v>39579468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520</v>
      </c>
      <c r="J2" t="s">
        <v>3</v>
      </c>
      <c r="K2" t="s">
        <v>521</v>
      </c>
      <c r="L2">
        <v>1191</v>
      </c>
      <c r="N2">
        <v>1013</v>
      </c>
      <c r="O2" t="s">
        <v>519</v>
      </c>
      <c r="P2" t="s">
        <v>519</v>
      </c>
      <c r="Q2">
        <v>1</v>
      </c>
      <c r="X2">
        <v>5.34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19</v>
      </c>
      <c r="AG2">
        <v>4.2720000000000002</v>
      </c>
      <c r="AH2">
        <v>2</v>
      </c>
      <c r="AI2">
        <v>39579470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39579471</v>
      </c>
      <c r="C3">
        <v>39579468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522</v>
      </c>
      <c r="J3" t="s">
        <v>523</v>
      </c>
      <c r="K3" t="s">
        <v>524</v>
      </c>
      <c r="L3">
        <v>1368</v>
      </c>
      <c r="N3">
        <v>1011</v>
      </c>
      <c r="O3" t="s">
        <v>525</v>
      </c>
      <c r="P3" t="s">
        <v>525</v>
      </c>
      <c r="Q3">
        <v>1</v>
      </c>
      <c r="X3">
        <v>0.76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19</v>
      </c>
      <c r="AG3">
        <v>0.6080000000000001</v>
      </c>
      <c r="AH3">
        <v>2</v>
      </c>
      <c r="AI3">
        <v>39579471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ROW(Source!A24)</f>
        <v>24</v>
      </c>
      <c r="B4">
        <v>39579472</v>
      </c>
      <c r="C4">
        <v>39579468</v>
      </c>
      <c r="D4">
        <v>36883554</v>
      </c>
      <c r="E4">
        <v>1</v>
      </c>
      <c r="F4">
        <v>1</v>
      </c>
      <c r="G4">
        <v>1</v>
      </c>
      <c r="H4">
        <v>2</v>
      </c>
      <c r="I4" t="s">
        <v>526</v>
      </c>
      <c r="J4" t="s">
        <v>527</v>
      </c>
      <c r="K4" t="s">
        <v>528</v>
      </c>
      <c r="L4">
        <v>1368</v>
      </c>
      <c r="N4">
        <v>1011</v>
      </c>
      <c r="O4" t="s">
        <v>525</v>
      </c>
      <c r="P4" t="s">
        <v>525</v>
      </c>
      <c r="Q4">
        <v>1</v>
      </c>
      <c r="X4">
        <v>4.58</v>
      </c>
      <c r="Y4">
        <v>0</v>
      </c>
      <c r="Z4">
        <v>65.709999999999994</v>
      </c>
      <c r="AA4">
        <v>11.6</v>
      </c>
      <c r="AB4">
        <v>0</v>
      </c>
      <c r="AC4">
        <v>0</v>
      </c>
      <c r="AD4">
        <v>1</v>
      </c>
      <c r="AE4">
        <v>0</v>
      </c>
      <c r="AF4" t="s">
        <v>19</v>
      </c>
      <c r="AG4">
        <v>3.6640000000000001</v>
      </c>
      <c r="AH4">
        <v>2</v>
      </c>
      <c r="AI4">
        <v>39579472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ROW(Source!A24)</f>
        <v>24</v>
      </c>
      <c r="B5">
        <v>39579473</v>
      </c>
      <c r="C5">
        <v>39579468</v>
      </c>
      <c r="D5">
        <v>36801649</v>
      </c>
      <c r="E5">
        <v>1</v>
      </c>
      <c r="F5">
        <v>1</v>
      </c>
      <c r="G5">
        <v>1</v>
      </c>
      <c r="H5">
        <v>3</v>
      </c>
      <c r="I5" t="s">
        <v>529</v>
      </c>
      <c r="J5" t="s">
        <v>530</v>
      </c>
      <c r="K5" t="s">
        <v>531</v>
      </c>
      <c r="L5">
        <v>1327</v>
      </c>
      <c r="N5">
        <v>1005</v>
      </c>
      <c r="O5" t="s">
        <v>154</v>
      </c>
      <c r="P5" t="s">
        <v>154</v>
      </c>
      <c r="Q5">
        <v>1</v>
      </c>
      <c r="X5">
        <v>103</v>
      </c>
      <c r="Y5">
        <v>51.8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18</v>
      </c>
      <c r="AG5">
        <v>0</v>
      </c>
      <c r="AH5">
        <v>2</v>
      </c>
      <c r="AI5">
        <v>39579473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39579475</v>
      </c>
      <c r="C6">
        <v>39579474</v>
      </c>
      <c r="D6">
        <v>37064998</v>
      </c>
      <c r="E6">
        <v>1</v>
      </c>
      <c r="F6">
        <v>1</v>
      </c>
      <c r="G6">
        <v>1</v>
      </c>
      <c r="H6">
        <v>1</v>
      </c>
      <c r="I6" t="s">
        <v>532</v>
      </c>
      <c r="J6" t="s">
        <v>3</v>
      </c>
      <c r="K6" t="s">
        <v>533</v>
      </c>
      <c r="L6">
        <v>1191</v>
      </c>
      <c r="N6">
        <v>1013</v>
      </c>
      <c r="O6" t="s">
        <v>519</v>
      </c>
      <c r="P6" t="s">
        <v>519</v>
      </c>
      <c r="Q6">
        <v>1</v>
      </c>
      <c r="X6">
        <v>10.4</v>
      </c>
      <c r="Y6">
        <v>0</v>
      </c>
      <c r="Z6">
        <v>0</v>
      </c>
      <c r="AA6">
        <v>0</v>
      </c>
      <c r="AB6">
        <v>7.8</v>
      </c>
      <c r="AC6">
        <v>0</v>
      </c>
      <c r="AD6">
        <v>1</v>
      </c>
      <c r="AE6">
        <v>1</v>
      </c>
      <c r="AF6" t="s">
        <v>3</v>
      </c>
      <c r="AG6">
        <v>10.4</v>
      </c>
      <c r="AH6">
        <v>2</v>
      </c>
      <c r="AI6">
        <v>39579475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ROW(Source!A25)</f>
        <v>25</v>
      </c>
      <c r="B7">
        <v>39579476</v>
      </c>
      <c r="C7">
        <v>39579474</v>
      </c>
      <c r="D7">
        <v>36799072</v>
      </c>
      <c r="E7">
        <v>17</v>
      </c>
      <c r="F7">
        <v>1</v>
      </c>
      <c r="G7">
        <v>1</v>
      </c>
      <c r="H7">
        <v>3</v>
      </c>
      <c r="I7" t="s">
        <v>767</v>
      </c>
      <c r="J7" t="s">
        <v>3</v>
      </c>
      <c r="K7" t="s">
        <v>768</v>
      </c>
      <c r="L7">
        <v>1348</v>
      </c>
      <c r="N7">
        <v>1009</v>
      </c>
      <c r="O7" t="s">
        <v>105</v>
      </c>
      <c r="P7" t="s">
        <v>105</v>
      </c>
      <c r="Q7">
        <v>1000</v>
      </c>
      <c r="X7">
        <v>0.03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 t="s">
        <v>3</v>
      </c>
      <c r="AG7">
        <v>0.03</v>
      </c>
      <c r="AH7">
        <v>3</v>
      </c>
      <c r="AI7">
        <v>-1</v>
      </c>
      <c r="AJ7" t="s">
        <v>3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39580444</v>
      </c>
      <c r="C8">
        <v>39580440</v>
      </c>
      <c r="D8">
        <v>37069580</v>
      </c>
      <c r="E8">
        <v>1</v>
      </c>
      <c r="F8">
        <v>1</v>
      </c>
      <c r="G8">
        <v>1</v>
      </c>
      <c r="H8">
        <v>1</v>
      </c>
      <c r="I8" t="s">
        <v>534</v>
      </c>
      <c r="J8" t="s">
        <v>3</v>
      </c>
      <c r="K8" t="s">
        <v>535</v>
      </c>
      <c r="L8">
        <v>1191</v>
      </c>
      <c r="N8">
        <v>1013</v>
      </c>
      <c r="O8" t="s">
        <v>519</v>
      </c>
      <c r="P8" t="s">
        <v>519</v>
      </c>
      <c r="Q8">
        <v>1</v>
      </c>
      <c r="X8">
        <v>7.31</v>
      </c>
      <c r="Y8">
        <v>0</v>
      </c>
      <c r="Z8">
        <v>0</v>
      </c>
      <c r="AA8">
        <v>0</v>
      </c>
      <c r="AB8">
        <v>8.64</v>
      </c>
      <c r="AC8">
        <v>0</v>
      </c>
      <c r="AD8">
        <v>1</v>
      </c>
      <c r="AE8">
        <v>1</v>
      </c>
      <c r="AF8" t="s">
        <v>3</v>
      </c>
      <c r="AG8">
        <v>7.31</v>
      </c>
      <c r="AH8">
        <v>2</v>
      </c>
      <c r="AI8">
        <v>39580441</v>
      </c>
      <c r="AJ8">
        <v>7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39580445</v>
      </c>
      <c r="C9">
        <v>39580440</v>
      </c>
      <c r="D9">
        <v>37064876</v>
      </c>
      <c r="E9">
        <v>1</v>
      </c>
      <c r="F9">
        <v>1</v>
      </c>
      <c r="G9">
        <v>1</v>
      </c>
      <c r="H9">
        <v>1</v>
      </c>
      <c r="I9" t="s">
        <v>520</v>
      </c>
      <c r="J9" t="s">
        <v>3</v>
      </c>
      <c r="K9" t="s">
        <v>521</v>
      </c>
      <c r="L9">
        <v>1191</v>
      </c>
      <c r="N9">
        <v>1013</v>
      </c>
      <c r="O9" t="s">
        <v>519</v>
      </c>
      <c r="P9" t="s">
        <v>519</v>
      </c>
      <c r="Q9">
        <v>1</v>
      </c>
      <c r="X9">
        <v>0.2</v>
      </c>
      <c r="Y9">
        <v>0</v>
      </c>
      <c r="Z9">
        <v>0</v>
      </c>
      <c r="AA9">
        <v>0</v>
      </c>
      <c r="AB9">
        <v>0</v>
      </c>
      <c r="AC9">
        <v>0</v>
      </c>
      <c r="AD9">
        <v>1</v>
      </c>
      <c r="AE9">
        <v>2</v>
      </c>
      <c r="AF9" t="s">
        <v>3</v>
      </c>
      <c r="AG9">
        <v>0.2</v>
      </c>
      <c r="AH9">
        <v>2</v>
      </c>
      <c r="AI9">
        <v>39580442</v>
      </c>
      <c r="AJ9">
        <v>8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39580446</v>
      </c>
      <c r="C10">
        <v>39580440</v>
      </c>
      <c r="D10">
        <v>36882452</v>
      </c>
      <c r="E10">
        <v>1</v>
      </c>
      <c r="F10">
        <v>1</v>
      </c>
      <c r="G10">
        <v>1</v>
      </c>
      <c r="H10">
        <v>2</v>
      </c>
      <c r="I10" t="s">
        <v>522</v>
      </c>
      <c r="J10" t="s">
        <v>523</v>
      </c>
      <c r="K10" t="s">
        <v>524</v>
      </c>
      <c r="L10">
        <v>1368</v>
      </c>
      <c r="N10">
        <v>1011</v>
      </c>
      <c r="O10" t="s">
        <v>525</v>
      </c>
      <c r="P10" t="s">
        <v>525</v>
      </c>
      <c r="Q10">
        <v>1</v>
      </c>
      <c r="X10">
        <v>0.2</v>
      </c>
      <c r="Y10">
        <v>0</v>
      </c>
      <c r="Z10">
        <v>31.26</v>
      </c>
      <c r="AA10">
        <v>13.5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0.2</v>
      </c>
      <c r="AH10">
        <v>2</v>
      </c>
      <c r="AI10">
        <v>39580443</v>
      </c>
      <c r="AJ10">
        <v>9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ROW(Source!A27)</f>
        <v>27</v>
      </c>
      <c r="B11">
        <v>39580460</v>
      </c>
      <c r="C11">
        <v>39580448</v>
      </c>
      <c r="D11">
        <v>37065248</v>
      </c>
      <c r="E11">
        <v>1</v>
      </c>
      <c r="F11">
        <v>1</v>
      </c>
      <c r="G11">
        <v>1</v>
      </c>
      <c r="H11">
        <v>1</v>
      </c>
      <c r="I11" t="s">
        <v>536</v>
      </c>
      <c r="J11" t="s">
        <v>3</v>
      </c>
      <c r="K11" t="s">
        <v>537</v>
      </c>
      <c r="L11">
        <v>1191</v>
      </c>
      <c r="N11">
        <v>1013</v>
      </c>
      <c r="O11" t="s">
        <v>519</v>
      </c>
      <c r="P11" t="s">
        <v>519</v>
      </c>
      <c r="Q11">
        <v>1</v>
      </c>
      <c r="X11">
        <v>46.11</v>
      </c>
      <c r="Y11">
        <v>0</v>
      </c>
      <c r="Z11">
        <v>0</v>
      </c>
      <c r="AA11">
        <v>0</v>
      </c>
      <c r="AB11">
        <v>8.5299999999999994</v>
      </c>
      <c r="AC11">
        <v>0</v>
      </c>
      <c r="AD11">
        <v>1</v>
      </c>
      <c r="AE11">
        <v>1</v>
      </c>
      <c r="AF11" t="s">
        <v>19</v>
      </c>
      <c r="AG11">
        <v>36.887999999999998</v>
      </c>
      <c r="AH11">
        <v>2</v>
      </c>
      <c r="AI11">
        <v>39580449</v>
      </c>
      <c r="AJ11">
        <v>10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ROW(Source!A27)</f>
        <v>27</v>
      </c>
      <c r="B12">
        <v>39580461</v>
      </c>
      <c r="C12">
        <v>39580448</v>
      </c>
      <c r="D12">
        <v>37064876</v>
      </c>
      <c r="E12">
        <v>1</v>
      </c>
      <c r="F12">
        <v>1</v>
      </c>
      <c r="G12">
        <v>1</v>
      </c>
      <c r="H12">
        <v>1</v>
      </c>
      <c r="I12" t="s">
        <v>520</v>
      </c>
      <c r="J12" t="s">
        <v>3</v>
      </c>
      <c r="K12" t="s">
        <v>521</v>
      </c>
      <c r="L12">
        <v>1191</v>
      </c>
      <c r="N12">
        <v>1013</v>
      </c>
      <c r="O12" t="s">
        <v>519</v>
      </c>
      <c r="P12" t="s">
        <v>519</v>
      </c>
      <c r="Q12">
        <v>1</v>
      </c>
      <c r="X12">
        <v>0.04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2</v>
      </c>
      <c r="AF12" t="s">
        <v>19</v>
      </c>
      <c r="AG12">
        <v>3.2000000000000001E-2</v>
      </c>
      <c r="AH12">
        <v>2</v>
      </c>
      <c r="AI12">
        <v>39580450</v>
      </c>
      <c r="AJ12">
        <v>11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ROW(Source!A27)</f>
        <v>27</v>
      </c>
      <c r="B13">
        <v>39580462</v>
      </c>
      <c r="C13">
        <v>39580448</v>
      </c>
      <c r="D13">
        <v>36882452</v>
      </c>
      <c r="E13">
        <v>1</v>
      </c>
      <c r="F13">
        <v>1</v>
      </c>
      <c r="G13">
        <v>1</v>
      </c>
      <c r="H13">
        <v>2</v>
      </c>
      <c r="I13" t="s">
        <v>522</v>
      </c>
      <c r="J13" t="s">
        <v>523</v>
      </c>
      <c r="K13" t="s">
        <v>524</v>
      </c>
      <c r="L13">
        <v>1368</v>
      </c>
      <c r="N13">
        <v>1011</v>
      </c>
      <c r="O13" t="s">
        <v>525</v>
      </c>
      <c r="P13" t="s">
        <v>525</v>
      </c>
      <c r="Q13">
        <v>1</v>
      </c>
      <c r="X13">
        <v>0.04</v>
      </c>
      <c r="Y13">
        <v>0</v>
      </c>
      <c r="Z13">
        <v>31.26</v>
      </c>
      <c r="AA13">
        <v>13.5</v>
      </c>
      <c r="AB13">
        <v>0</v>
      </c>
      <c r="AC13">
        <v>0</v>
      </c>
      <c r="AD13">
        <v>1</v>
      </c>
      <c r="AE13">
        <v>0</v>
      </c>
      <c r="AF13" t="s">
        <v>19</v>
      </c>
      <c r="AG13">
        <v>3.2000000000000001E-2</v>
      </c>
      <c r="AH13">
        <v>2</v>
      </c>
      <c r="AI13">
        <v>39580451</v>
      </c>
      <c r="AJ13">
        <v>12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ROW(Source!A27)</f>
        <v>27</v>
      </c>
      <c r="B14">
        <v>39580463</v>
      </c>
      <c r="C14">
        <v>39580448</v>
      </c>
      <c r="D14">
        <v>36883554</v>
      </c>
      <c r="E14">
        <v>1</v>
      </c>
      <c r="F14">
        <v>1</v>
      </c>
      <c r="G14">
        <v>1</v>
      </c>
      <c r="H14">
        <v>2</v>
      </c>
      <c r="I14" t="s">
        <v>526</v>
      </c>
      <c r="J14" t="s">
        <v>527</v>
      </c>
      <c r="K14" t="s">
        <v>528</v>
      </c>
      <c r="L14">
        <v>1368</v>
      </c>
      <c r="N14">
        <v>1011</v>
      </c>
      <c r="O14" t="s">
        <v>525</v>
      </c>
      <c r="P14" t="s">
        <v>525</v>
      </c>
      <c r="Q14">
        <v>1</v>
      </c>
      <c r="X14">
        <v>4.0000000000000001E-3</v>
      </c>
      <c r="Y14">
        <v>0</v>
      </c>
      <c r="Z14">
        <v>65.709999999999994</v>
      </c>
      <c r="AA14">
        <v>11.6</v>
      </c>
      <c r="AB14">
        <v>0</v>
      </c>
      <c r="AC14">
        <v>0</v>
      </c>
      <c r="AD14">
        <v>1</v>
      </c>
      <c r="AE14">
        <v>0</v>
      </c>
      <c r="AF14" t="s">
        <v>19</v>
      </c>
      <c r="AG14">
        <v>3.2000000000000002E-3</v>
      </c>
      <c r="AH14">
        <v>2</v>
      </c>
      <c r="AI14">
        <v>39580452</v>
      </c>
      <c r="AJ14">
        <v>13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ROW(Source!A27)</f>
        <v>27</v>
      </c>
      <c r="B15">
        <v>39580464</v>
      </c>
      <c r="C15">
        <v>39580448</v>
      </c>
      <c r="D15">
        <v>36804616</v>
      </c>
      <c r="E15">
        <v>1</v>
      </c>
      <c r="F15">
        <v>1</v>
      </c>
      <c r="G15">
        <v>1</v>
      </c>
      <c r="H15">
        <v>3</v>
      </c>
      <c r="I15" t="s">
        <v>538</v>
      </c>
      <c r="J15" t="s">
        <v>539</v>
      </c>
      <c r="K15" t="s">
        <v>540</v>
      </c>
      <c r="L15">
        <v>1355</v>
      </c>
      <c r="N15">
        <v>1010</v>
      </c>
      <c r="O15" t="s">
        <v>360</v>
      </c>
      <c r="P15" t="s">
        <v>360</v>
      </c>
      <c r="Q15">
        <v>100</v>
      </c>
      <c r="X15">
        <v>2.5099999999999998</v>
      </c>
      <c r="Y15">
        <v>70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18</v>
      </c>
      <c r="AG15">
        <v>0</v>
      </c>
      <c r="AH15">
        <v>2</v>
      </c>
      <c r="AI15">
        <v>39580453</v>
      </c>
      <c r="AJ15">
        <v>14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ROW(Source!A27)</f>
        <v>27</v>
      </c>
      <c r="B16">
        <v>39580465</v>
      </c>
      <c r="C16">
        <v>39580448</v>
      </c>
      <c r="D16">
        <v>36804661</v>
      </c>
      <c r="E16">
        <v>1</v>
      </c>
      <c r="F16">
        <v>1</v>
      </c>
      <c r="G16">
        <v>1</v>
      </c>
      <c r="H16">
        <v>3</v>
      </c>
      <c r="I16" t="s">
        <v>541</v>
      </c>
      <c r="J16" t="s">
        <v>542</v>
      </c>
      <c r="K16" t="s">
        <v>543</v>
      </c>
      <c r="L16">
        <v>1355</v>
      </c>
      <c r="N16">
        <v>1010</v>
      </c>
      <c r="O16" t="s">
        <v>360</v>
      </c>
      <c r="P16" t="s">
        <v>360</v>
      </c>
      <c r="Q16">
        <v>100</v>
      </c>
      <c r="X16">
        <v>1.51</v>
      </c>
      <c r="Y16">
        <v>8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18</v>
      </c>
      <c r="AG16">
        <v>0</v>
      </c>
      <c r="AH16">
        <v>2</v>
      </c>
      <c r="AI16">
        <v>39580454</v>
      </c>
      <c r="AJ16">
        <v>15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ROW(Source!A27)</f>
        <v>27</v>
      </c>
      <c r="B17">
        <v>39580466</v>
      </c>
      <c r="C17">
        <v>39580448</v>
      </c>
      <c r="D17">
        <v>36804889</v>
      </c>
      <c r="E17">
        <v>1</v>
      </c>
      <c r="F17">
        <v>1</v>
      </c>
      <c r="G17">
        <v>1</v>
      </c>
      <c r="H17">
        <v>3</v>
      </c>
      <c r="I17" t="s">
        <v>544</v>
      </c>
      <c r="J17" t="s">
        <v>545</v>
      </c>
      <c r="K17" t="s">
        <v>546</v>
      </c>
      <c r="L17">
        <v>1355</v>
      </c>
      <c r="N17">
        <v>1010</v>
      </c>
      <c r="O17" t="s">
        <v>360</v>
      </c>
      <c r="P17" t="s">
        <v>360</v>
      </c>
      <c r="Q17">
        <v>100</v>
      </c>
      <c r="X17">
        <v>5.0199999999999996</v>
      </c>
      <c r="Y17">
        <v>2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18</v>
      </c>
      <c r="AG17">
        <v>0</v>
      </c>
      <c r="AH17">
        <v>2</v>
      </c>
      <c r="AI17">
        <v>39580455</v>
      </c>
      <c r="AJ17">
        <v>16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39580467</v>
      </c>
      <c r="C18">
        <v>39580448</v>
      </c>
      <c r="D18">
        <v>36822895</v>
      </c>
      <c r="E18">
        <v>1</v>
      </c>
      <c r="F18">
        <v>1</v>
      </c>
      <c r="G18">
        <v>1</v>
      </c>
      <c r="H18">
        <v>3</v>
      </c>
      <c r="I18" t="s">
        <v>547</v>
      </c>
      <c r="J18" t="s">
        <v>548</v>
      </c>
      <c r="K18" t="s">
        <v>549</v>
      </c>
      <c r="L18">
        <v>1301</v>
      </c>
      <c r="N18">
        <v>1003</v>
      </c>
      <c r="O18" t="s">
        <v>131</v>
      </c>
      <c r="P18" t="s">
        <v>131</v>
      </c>
      <c r="Q18">
        <v>1</v>
      </c>
      <c r="X18">
        <v>121.5</v>
      </c>
      <c r="Y18">
        <v>6.91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18</v>
      </c>
      <c r="AG18">
        <v>0</v>
      </c>
      <c r="AH18">
        <v>2</v>
      </c>
      <c r="AI18">
        <v>39580456</v>
      </c>
      <c r="AJ18">
        <v>17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39580468</v>
      </c>
      <c r="C19">
        <v>39580448</v>
      </c>
      <c r="D19">
        <v>36822957</v>
      </c>
      <c r="E19">
        <v>1</v>
      </c>
      <c r="F19">
        <v>1</v>
      </c>
      <c r="G19">
        <v>1</v>
      </c>
      <c r="H19">
        <v>3</v>
      </c>
      <c r="I19" t="s">
        <v>550</v>
      </c>
      <c r="J19" t="s">
        <v>551</v>
      </c>
      <c r="K19" t="s">
        <v>552</v>
      </c>
      <c r="L19">
        <v>1301</v>
      </c>
      <c r="N19">
        <v>1003</v>
      </c>
      <c r="O19" t="s">
        <v>131</v>
      </c>
      <c r="P19" t="s">
        <v>131</v>
      </c>
      <c r="Q19">
        <v>1</v>
      </c>
      <c r="X19">
        <v>229.5</v>
      </c>
      <c r="Y19">
        <v>8.06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18</v>
      </c>
      <c r="AG19">
        <v>0</v>
      </c>
      <c r="AH19">
        <v>2</v>
      </c>
      <c r="AI19">
        <v>39580457</v>
      </c>
      <c r="AJ19">
        <v>18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ROW(Source!A27)</f>
        <v>27</v>
      </c>
      <c r="B20">
        <v>39580469</v>
      </c>
      <c r="C20">
        <v>39580448</v>
      </c>
      <c r="D20">
        <v>36822998</v>
      </c>
      <c r="E20">
        <v>1</v>
      </c>
      <c r="F20">
        <v>1</v>
      </c>
      <c r="G20">
        <v>1</v>
      </c>
      <c r="H20">
        <v>3</v>
      </c>
      <c r="I20" t="s">
        <v>553</v>
      </c>
      <c r="J20" t="s">
        <v>554</v>
      </c>
      <c r="K20" t="s">
        <v>555</v>
      </c>
      <c r="L20">
        <v>1355</v>
      </c>
      <c r="N20">
        <v>1010</v>
      </c>
      <c r="O20" t="s">
        <v>360</v>
      </c>
      <c r="P20" t="s">
        <v>360</v>
      </c>
      <c r="Q20">
        <v>100</v>
      </c>
      <c r="X20">
        <v>2.5099999999999998</v>
      </c>
      <c r="Y20">
        <v>43.76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18</v>
      </c>
      <c r="AG20">
        <v>0</v>
      </c>
      <c r="AH20">
        <v>2</v>
      </c>
      <c r="AI20">
        <v>39580458</v>
      </c>
      <c r="AJ20">
        <v>19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ROW(Source!A27)</f>
        <v>27</v>
      </c>
      <c r="B21">
        <v>39580470</v>
      </c>
      <c r="C21">
        <v>39580448</v>
      </c>
      <c r="D21">
        <v>36830271</v>
      </c>
      <c r="E21">
        <v>1</v>
      </c>
      <c r="F21">
        <v>1</v>
      </c>
      <c r="G21">
        <v>1</v>
      </c>
      <c r="H21">
        <v>3</v>
      </c>
      <c r="I21" t="s">
        <v>556</v>
      </c>
      <c r="J21" t="s">
        <v>557</v>
      </c>
      <c r="K21" t="s">
        <v>558</v>
      </c>
      <c r="L21">
        <v>1301</v>
      </c>
      <c r="N21">
        <v>1003</v>
      </c>
      <c r="O21" t="s">
        <v>131</v>
      </c>
      <c r="P21" t="s">
        <v>131</v>
      </c>
      <c r="Q21">
        <v>1</v>
      </c>
      <c r="X21">
        <v>37</v>
      </c>
      <c r="Y21">
        <v>6.26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18</v>
      </c>
      <c r="AG21">
        <v>0</v>
      </c>
      <c r="AH21">
        <v>2</v>
      </c>
      <c r="AI21">
        <v>39580459</v>
      </c>
      <c r="AJ21">
        <v>20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ROW(Source!A28)</f>
        <v>28</v>
      </c>
      <c r="B22">
        <v>39579510</v>
      </c>
      <c r="C22">
        <v>39579509</v>
      </c>
      <c r="D22">
        <v>37064998</v>
      </c>
      <c r="E22">
        <v>1</v>
      </c>
      <c r="F22">
        <v>1</v>
      </c>
      <c r="G22">
        <v>1</v>
      </c>
      <c r="H22">
        <v>1</v>
      </c>
      <c r="I22" t="s">
        <v>532</v>
      </c>
      <c r="J22" t="s">
        <v>3</v>
      </c>
      <c r="K22" t="s">
        <v>533</v>
      </c>
      <c r="L22">
        <v>1191</v>
      </c>
      <c r="N22">
        <v>1013</v>
      </c>
      <c r="O22" t="s">
        <v>519</v>
      </c>
      <c r="P22" t="s">
        <v>519</v>
      </c>
      <c r="Q22">
        <v>1</v>
      </c>
      <c r="X22">
        <v>3.77</v>
      </c>
      <c r="Y22">
        <v>0</v>
      </c>
      <c r="Z22">
        <v>0</v>
      </c>
      <c r="AA22">
        <v>0</v>
      </c>
      <c r="AB22">
        <v>7.8</v>
      </c>
      <c r="AC22">
        <v>0</v>
      </c>
      <c r="AD22">
        <v>1</v>
      </c>
      <c r="AE22">
        <v>1</v>
      </c>
      <c r="AF22" t="s">
        <v>3</v>
      </c>
      <c r="AG22">
        <v>3.77</v>
      </c>
      <c r="AH22">
        <v>2</v>
      </c>
      <c r="AI22">
        <v>39579510</v>
      </c>
      <c r="AJ22">
        <v>21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ROW(Source!A28)</f>
        <v>28</v>
      </c>
      <c r="B23">
        <v>39579511</v>
      </c>
      <c r="C23">
        <v>39579509</v>
      </c>
      <c r="D23">
        <v>36799072</v>
      </c>
      <c r="E23">
        <v>17</v>
      </c>
      <c r="F23">
        <v>1</v>
      </c>
      <c r="G23">
        <v>1</v>
      </c>
      <c r="H23">
        <v>3</v>
      </c>
      <c r="I23" t="s">
        <v>767</v>
      </c>
      <c r="J23" t="s">
        <v>3</v>
      </c>
      <c r="K23" t="s">
        <v>768</v>
      </c>
      <c r="L23">
        <v>1348</v>
      </c>
      <c r="N23">
        <v>1009</v>
      </c>
      <c r="O23" t="s">
        <v>105</v>
      </c>
      <c r="P23" t="s">
        <v>105</v>
      </c>
      <c r="Q23">
        <v>1000</v>
      </c>
      <c r="X23">
        <v>0.11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 t="s">
        <v>3</v>
      </c>
      <c r="AG23">
        <v>0.11</v>
      </c>
      <c r="AH23">
        <v>3</v>
      </c>
      <c r="AI23">
        <v>-1</v>
      </c>
      <c r="AJ23" t="s">
        <v>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ROW(Source!A29)</f>
        <v>29</v>
      </c>
      <c r="B24">
        <v>39579514</v>
      </c>
      <c r="C24">
        <v>39579513</v>
      </c>
      <c r="D24">
        <v>37065248</v>
      </c>
      <c r="E24">
        <v>1</v>
      </c>
      <c r="F24">
        <v>1</v>
      </c>
      <c r="G24">
        <v>1</v>
      </c>
      <c r="H24">
        <v>1</v>
      </c>
      <c r="I24" t="s">
        <v>536</v>
      </c>
      <c r="J24" t="s">
        <v>3</v>
      </c>
      <c r="K24" t="s">
        <v>537</v>
      </c>
      <c r="L24">
        <v>1191</v>
      </c>
      <c r="N24">
        <v>1013</v>
      </c>
      <c r="O24" t="s">
        <v>519</v>
      </c>
      <c r="P24" t="s">
        <v>519</v>
      </c>
      <c r="Q24">
        <v>1</v>
      </c>
      <c r="X24">
        <v>69.87</v>
      </c>
      <c r="Y24">
        <v>0</v>
      </c>
      <c r="Z24">
        <v>0</v>
      </c>
      <c r="AA24">
        <v>0</v>
      </c>
      <c r="AB24">
        <v>8.5299999999999994</v>
      </c>
      <c r="AC24">
        <v>0</v>
      </c>
      <c r="AD24">
        <v>1</v>
      </c>
      <c r="AE24">
        <v>1</v>
      </c>
      <c r="AF24" t="s">
        <v>3</v>
      </c>
      <c r="AG24">
        <v>69.87</v>
      </c>
      <c r="AH24">
        <v>2</v>
      </c>
      <c r="AI24">
        <v>39579514</v>
      </c>
      <c r="AJ24">
        <v>22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ROW(Source!A29)</f>
        <v>29</v>
      </c>
      <c r="B25">
        <v>39579515</v>
      </c>
      <c r="C25">
        <v>39579513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520</v>
      </c>
      <c r="J25" t="s">
        <v>3</v>
      </c>
      <c r="K25" t="s">
        <v>521</v>
      </c>
      <c r="L25">
        <v>1191</v>
      </c>
      <c r="N25">
        <v>1013</v>
      </c>
      <c r="O25" t="s">
        <v>519</v>
      </c>
      <c r="P25" t="s">
        <v>519</v>
      </c>
      <c r="Q25">
        <v>1</v>
      </c>
      <c r="X25">
        <v>1.44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3</v>
      </c>
      <c r="AG25">
        <v>1.44</v>
      </c>
      <c r="AH25">
        <v>2</v>
      </c>
      <c r="AI25">
        <v>39579515</v>
      </c>
      <c r="AJ25">
        <v>23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ROW(Source!A29)</f>
        <v>29</v>
      </c>
      <c r="B26">
        <v>39579516</v>
      </c>
      <c r="C26">
        <v>39579513</v>
      </c>
      <c r="D26">
        <v>36882452</v>
      </c>
      <c r="E26">
        <v>1</v>
      </c>
      <c r="F26">
        <v>1</v>
      </c>
      <c r="G26">
        <v>1</v>
      </c>
      <c r="H26">
        <v>2</v>
      </c>
      <c r="I26" t="s">
        <v>522</v>
      </c>
      <c r="J26" t="s">
        <v>523</v>
      </c>
      <c r="K26" t="s">
        <v>524</v>
      </c>
      <c r="L26">
        <v>1368</v>
      </c>
      <c r="N26">
        <v>1011</v>
      </c>
      <c r="O26" t="s">
        <v>525</v>
      </c>
      <c r="P26" t="s">
        <v>525</v>
      </c>
      <c r="Q26">
        <v>1</v>
      </c>
      <c r="X26">
        <v>1.44</v>
      </c>
      <c r="Y26">
        <v>0</v>
      </c>
      <c r="Z26">
        <v>31.26</v>
      </c>
      <c r="AA26">
        <v>13.5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1.44</v>
      </c>
      <c r="AH26">
        <v>2</v>
      </c>
      <c r="AI26">
        <v>39579516</v>
      </c>
      <c r="AJ26">
        <v>24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ROW(Source!A29)</f>
        <v>29</v>
      </c>
      <c r="B27">
        <v>39579517</v>
      </c>
      <c r="C27">
        <v>39579513</v>
      </c>
      <c r="D27">
        <v>36799072</v>
      </c>
      <c r="E27">
        <v>17</v>
      </c>
      <c r="F27">
        <v>1</v>
      </c>
      <c r="G27">
        <v>1</v>
      </c>
      <c r="H27">
        <v>3</v>
      </c>
      <c r="I27" t="s">
        <v>767</v>
      </c>
      <c r="J27" t="s">
        <v>3</v>
      </c>
      <c r="K27" t="s">
        <v>768</v>
      </c>
      <c r="L27">
        <v>1348</v>
      </c>
      <c r="N27">
        <v>1009</v>
      </c>
      <c r="O27" t="s">
        <v>105</v>
      </c>
      <c r="P27" t="s">
        <v>105</v>
      </c>
      <c r="Q27">
        <v>1000</v>
      </c>
      <c r="X27">
        <v>5.2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 t="s">
        <v>3</v>
      </c>
      <c r="AG27">
        <v>5.2</v>
      </c>
      <c r="AH27">
        <v>3</v>
      </c>
      <c r="AI27">
        <v>-1</v>
      </c>
      <c r="AJ27" t="s">
        <v>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ROW(Source!A30)</f>
        <v>30</v>
      </c>
      <c r="B28">
        <v>39579520</v>
      </c>
      <c r="C28">
        <v>39579519</v>
      </c>
      <c r="D28">
        <v>37068121</v>
      </c>
      <c r="E28">
        <v>1</v>
      </c>
      <c r="F28">
        <v>1</v>
      </c>
      <c r="G28">
        <v>1</v>
      </c>
      <c r="H28">
        <v>1</v>
      </c>
      <c r="I28" t="s">
        <v>559</v>
      </c>
      <c r="J28" t="s">
        <v>3</v>
      </c>
      <c r="K28" t="s">
        <v>560</v>
      </c>
      <c r="L28">
        <v>1191</v>
      </c>
      <c r="N28">
        <v>1013</v>
      </c>
      <c r="O28" t="s">
        <v>519</v>
      </c>
      <c r="P28" t="s">
        <v>519</v>
      </c>
      <c r="Q28">
        <v>1</v>
      </c>
      <c r="X28">
        <v>39.51</v>
      </c>
      <c r="Y28">
        <v>0</v>
      </c>
      <c r="Z28">
        <v>0</v>
      </c>
      <c r="AA28">
        <v>0</v>
      </c>
      <c r="AB28">
        <v>7.94</v>
      </c>
      <c r="AC28">
        <v>0</v>
      </c>
      <c r="AD28">
        <v>1</v>
      </c>
      <c r="AE28">
        <v>1</v>
      </c>
      <c r="AF28" t="s">
        <v>19</v>
      </c>
      <c r="AG28">
        <v>31.608000000000001</v>
      </c>
      <c r="AH28">
        <v>2</v>
      </c>
      <c r="AI28">
        <v>39579520</v>
      </c>
      <c r="AJ28">
        <v>25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39579521</v>
      </c>
      <c r="C29">
        <v>39579519</v>
      </c>
      <c r="D29">
        <v>37064876</v>
      </c>
      <c r="E29">
        <v>1</v>
      </c>
      <c r="F29">
        <v>1</v>
      </c>
      <c r="G29">
        <v>1</v>
      </c>
      <c r="H29">
        <v>1</v>
      </c>
      <c r="I29" t="s">
        <v>520</v>
      </c>
      <c r="J29" t="s">
        <v>3</v>
      </c>
      <c r="K29" t="s">
        <v>521</v>
      </c>
      <c r="L29">
        <v>1191</v>
      </c>
      <c r="N29">
        <v>1013</v>
      </c>
      <c r="O29" t="s">
        <v>519</v>
      </c>
      <c r="P29" t="s">
        <v>519</v>
      </c>
      <c r="Q29">
        <v>1</v>
      </c>
      <c r="X29">
        <v>1.27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2</v>
      </c>
      <c r="AF29" t="s">
        <v>19</v>
      </c>
      <c r="AG29">
        <v>1.016</v>
      </c>
      <c r="AH29">
        <v>2</v>
      </c>
      <c r="AI29">
        <v>39579521</v>
      </c>
      <c r="AJ29">
        <v>26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39579522</v>
      </c>
      <c r="C30">
        <v>39579519</v>
      </c>
      <c r="D30">
        <v>36882452</v>
      </c>
      <c r="E30">
        <v>1</v>
      </c>
      <c r="F30">
        <v>1</v>
      </c>
      <c r="G30">
        <v>1</v>
      </c>
      <c r="H30">
        <v>2</v>
      </c>
      <c r="I30" t="s">
        <v>522</v>
      </c>
      <c r="J30" t="s">
        <v>523</v>
      </c>
      <c r="K30" t="s">
        <v>524</v>
      </c>
      <c r="L30">
        <v>1368</v>
      </c>
      <c r="N30">
        <v>1011</v>
      </c>
      <c r="O30" t="s">
        <v>525</v>
      </c>
      <c r="P30" t="s">
        <v>525</v>
      </c>
      <c r="Q30">
        <v>1</v>
      </c>
      <c r="X30">
        <v>1.27</v>
      </c>
      <c r="Y30">
        <v>0</v>
      </c>
      <c r="Z30">
        <v>31.26</v>
      </c>
      <c r="AA30">
        <v>13.5</v>
      </c>
      <c r="AB30">
        <v>0</v>
      </c>
      <c r="AC30">
        <v>0</v>
      </c>
      <c r="AD30">
        <v>1</v>
      </c>
      <c r="AE30">
        <v>0</v>
      </c>
      <c r="AF30" t="s">
        <v>19</v>
      </c>
      <c r="AG30">
        <v>1.016</v>
      </c>
      <c r="AH30">
        <v>2</v>
      </c>
      <c r="AI30">
        <v>39579522</v>
      </c>
      <c r="AJ30">
        <v>27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39579523</v>
      </c>
      <c r="C31">
        <v>39579519</v>
      </c>
      <c r="D31">
        <v>36882569</v>
      </c>
      <c r="E31">
        <v>1</v>
      </c>
      <c r="F31">
        <v>1</v>
      </c>
      <c r="G31">
        <v>1</v>
      </c>
      <c r="H31">
        <v>2</v>
      </c>
      <c r="I31" t="s">
        <v>561</v>
      </c>
      <c r="J31" t="s">
        <v>562</v>
      </c>
      <c r="K31" t="s">
        <v>563</v>
      </c>
      <c r="L31">
        <v>1368</v>
      </c>
      <c r="N31">
        <v>1011</v>
      </c>
      <c r="O31" t="s">
        <v>525</v>
      </c>
      <c r="P31" t="s">
        <v>525</v>
      </c>
      <c r="Q31">
        <v>1</v>
      </c>
      <c r="X31">
        <v>9.07</v>
      </c>
      <c r="Y31">
        <v>0</v>
      </c>
      <c r="Z31">
        <v>0.5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19</v>
      </c>
      <c r="AG31">
        <v>7.2560000000000002</v>
      </c>
      <c r="AH31">
        <v>2</v>
      </c>
      <c r="AI31">
        <v>39579523</v>
      </c>
      <c r="AJ31">
        <v>28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ROW(Source!A30)</f>
        <v>30</v>
      </c>
      <c r="B32">
        <v>39579524</v>
      </c>
      <c r="C32">
        <v>39579519</v>
      </c>
      <c r="D32">
        <v>36801792</v>
      </c>
      <c r="E32">
        <v>1</v>
      </c>
      <c r="F32">
        <v>1</v>
      </c>
      <c r="G32">
        <v>1</v>
      </c>
      <c r="H32">
        <v>3</v>
      </c>
      <c r="I32" t="s">
        <v>564</v>
      </c>
      <c r="J32" t="s">
        <v>565</v>
      </c>
      <c r="K32" t="s">
        <v>566</v>
      </c>
      <c r="L32">
        <v>1339</v>
      </c>
      <c r="N32">
        <v>1007</v>
      </c>
      <c r="O32" t="s">
        <v>86</v>
      </c>
      <c r="P32" t="s">
        <v>86</v>
      </c>
      <c r="Q32">
        <v>1</v>
      </c>
      <c r="X32">
        <v>3.5</v>
      </c>
      <c r="Y32">
        <v>2.44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18</v>
      </c>
      <c r="AG32">
        <v>0</v>
      </c>
      <c r="AH32">
        <v>2</v>
      </c>
      <c r="AI32">
        <v>39579524</v>
      </c>
      <c r="AJ32">
        <v>29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ROW(Source!A30)</f>
        <v>30</v>
      </c>
      <c r="B33">
        <v>39579525</v>
      </c>
      <c r="C33">
        <v>39579519</v>
      </c>
      <c r="D33">
        <v>36797146</v>
      </c>
      <c r="E33">
        <v>17</v>
      </c>
      <c r="F33">
        <v>1</v>
      </c>
      <c r="G33">
        <v>1</v>
      </c>
      <c r="H33">
        <v>3</v>
      </c>
      <c r="I33" t="s">
        <v>89</v>
      </c>
      <c r="J33" t="s">
        <v>3</v>
      </c>
      <c r="K33" t="s">
        <v>90</v>
      </c>
      <c r="L33">
        <v>1339</v>
      </c>
      <c r="N33">
        <v>1007</v>
      </c>
      <c r="O33" t="s">
        <v>86</v>
      </c>
      <c r="P33" t="s">
        <v>86</v>
      </c>
      <c r="Q33">
        <v>1</v>
      </c>
      <c r="X33">
        <v>2.04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 t="s">
        <v>18</v>
      </c>
      <c r="AG33">
        <v>0</v>
      </c>
      <c r="AH33">
        <v>3</v>
      </c>
      <c r="AI33">
        <v>-1</v>
      </c>
      <c r="AJ33" t="s">
        <v>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ROW(Source!A31)</f>
        <v>31</v>
      </c>
      <c r="B34">
        <v>39579528</v>
      </c>
      <c r="C34">
        <v>39579527</v>
      </c>
      <c r="D34">
        <v>37068121</v>
      </c>
      <c r="E34">
        <v>1</v>
      </c>
      <c r="F34">
        <v>1</v>
      </c>
      <c r="G34">
        <v>1</v>
      </c>
      <c r="H34">
        <v>1</v>
      </c>
      <c r="I34" t="s">
        <v>559</v>
      </c>
      <c r="J34" t="s">
        <v>3</v>
      </c>
      <c r="K34" t="s">
        <v>560</v>
      </c>
      <c r="L34">
        <v>1191</v>
      </c>
      <c r="N34">
        <v>1013</v>
      </c>
      <c r="O34" t="s">
        <v>519</v>
      </c>
      <c r="P34" t="s">
        <v>519</v>
      </c>
      <c r="Q34">
        <v>1</v>
      </c>
      <c r="X34">
        <v>0.5</v>
      </c>
      <c r="Y34">
        <v>0</v>
      </c>
      <c r="Z34">
        <v>0</v>
      </c>
      <c r="AA34">
        <v>0</v>
      </c>
      <c r="AB34">
        <v>7.94</v>
      </c>
      <c r="AC34">
        <v>0</v>
      </c>
      <c r="AD34">
        <v>1</v>
      </c>
      <c r="AE34">
        <v>1</v>
      </c>
      <c r="AF34" t="s">
        <v>61</v>
      </c>
      <c r="AG34">
        <v>0.8</v>
      </c>
      <c r="AH34">
        <v>2</v>
      </c>
      <c r="AI34">
        <v>39579528</v>
      </c>
      <c r="AJ34">
        <v>30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ROW(Source!A31)</f>
        <v>31</v>
      </c>
      <c r="B35">
        <v>39579529</v>
      </c>
      <c r="C35">
        <v>39579527</v>
      </c>
      <c r="D35">
        <v>37064876</v>
      </c>
      <c r="E35">
        <v>1</v>
      </c>
      <c r="F35">
        <v>1</v>
      </c>
      <c r="G35">
        <v>1</v>
      </c>
      <c r="H35">
        <v>1</v>
      </c>
      <c r="I35" t="s">
        <v>520</v>
      </c>
      <c r="J35" t="s">
        <v>3</v>
      </c>
      <c r="K35" t="s">
        <v>521</v>
      </c>
      <c r="L35">
        <v>1191</v>
      </c>
      <c r="N35">
        <v>1013</v>
      </c>
      <c r="O35" t="s">
        <v>519</v>
      </c>
      <c r="P35" t="s">
        <v>519</v>
      </c>
      <c r="Q35">
        <v>1</v>
      </c>
      <c r="X35">
        <v>0.21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61</v>
      </c>
      <c r="AG35">
        <v>0.33600000000000002</v>
      </c>
      <c r="AH35">
        <v>2</v>
      </c>
      <c r="AI35">
        <v>39579529</v>
      </c>
      <c r="AJ35">
        <v>31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ROW(Source!A31)</f>
        <v>31</v>
      </c>
      <c r="B36">
        <v>39579530</v>
      </c>
      <c r="C36">
        <v>39579527</v>
      </c>
      <c r="D36">
        <v>36882452</v>
      </c>
      <c r="E36">
        <v>1</v>
      </c>
      <c r="F36">
        <v>1</v>
      </c>
      <c r="G36">
        <v>1</v>
      </c>
      <c r="H36">
        <v>2</v>
      </c>
      <c r="I36" t="s">
        <v>522</v>
      </c>
      <c r="J36" t="s">
        <v>523</v>
      </c>
      <c r="K36" t="s">
        <v>524</v>
      </c>
      <c r="L36">
        <v>1368</v>
      </c>
      <c r="N36">
        <v>1011</v>
      </c>
      <c r="O36" t="s">
        <v>525</v>
      </c>
      <c r="P36" t="s">
        <v>525</v>
      </c>
      <c r="Q36">
        <v>1</v>
      </c>
      <c r="X36">
        <v>0.21</v>
      </c>
      <c r="Y36">
        <v>0</v>
      </c>
      <c r="Z36">
        <v>31.26</v>
      </c>
      <c r="AA36">
        <v>13.5</v>
      </c>
      <c r="AB36">
        <v>0</v>
      </c>
      <c r="AC36">
        <v>0</v>
      </c>
      <c r="AD36">
        <v>1</v>
      </c>
      <c r="AE36">
        <v>0</v>
      </c>
      <c r="AF36" t="s">
        <v>61</v>
      </c>
      <c r="AG36">
        <v>0.33600000000000002</v>
      </c>
      <c r="AH36">
        <v>2</v>
      </c>
      <c r="AI36">
        <v>39579530</v>
      </c>
      <c r="AJ36">
        <v>32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ROW(Source!A31)</f>
        <v>31</v>
      </c>
      <c r="B37">
        <v>39579531</v>
      </c>
      <c r="C37">
        <v>39579527</v>
      </c>
      <c r="D37">
        <v>36882569</v>
      </c>
      <c r="E37">
        <v>1</v>
      </c>
      <c r="F37">
        <v>1</v>
      </c>
      <c r="G37">
        <v>1</v>
      </c>
      <c r="H37">
        <v>2</v>
      </c>
      <c r="I37" t="s">
        <v>561</v>
      </c>
      <c r="J37" t="s">
        <v>562</v>
      </c>
      <c r="K37" t="s">
        <v>563</v>
      </c>
      <c r="L37">
        <v>1368</v>
      </c>
      <c r="N37">
        <v>1011</v>
      </c>
      <c r="O37" t="s">
        <v>525</v>
      </c>
      <c r="P37" t="s">
        <v>525</v>
      </c>
      <c r="Q37">
        <v>1</v>
      </c>
      <c r="X37">
        <v>2.3199999999999998</v>
      </c>
      <c r="Y37">
        <v>0</v>
      </c>
      <c r="Z37">
        <v>0.5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61</v>
      </c>
      <c r="AG37">
        <v>3.7119999999999997</v>
      </c>
      <c r="AH37">
        <v>2</v>
      </c>
      <c r="AI37">
        <v>39579531</v>
      </c>
      <c r="AJ37">
        <v>33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ROW(Source!A31)</f>
        <v>31</v>
      </c>
      <c r="B38">
        <v>39579532</v>
      </c>
      <c r="C38">
        <v>39579527</v>
      </c>
      <c r="D38">
        <v>36797146</v>
      </c>
      <c r="E38">
        <v>17</v>
      </c>
      <c r="F38">
        <v>1</v>
      </c>
      <c r="G38">
        <v>1</v>
      </c>
      <c r="H38">
        <v>3</v>
      </c>
      <c r="I38" t="s">
        <v>89</v>
      </c>
      <c r="J38" t="s">
        <v>3</v>
      </c>
      <c r="K38" t="s">
        <v>90</v>
      </c>
      <c r="L38">
        <v>1339</v>
      </c>
      <c r="N38">
        <v>1007</v>
      </c>
      <c r="O38" t="s">
        <v>86</v>
      </c>
      <c r="P38" t="s">
        <v>86</v>
      </c>
      <c r="Q38">
        <v>1</v>
      </c>
      <c r="X38">
        <v>0.51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 t="s">
        <v>18</v>
      </c>
      <c r="AG38">
        <v>0</v>
      </c>
      <c r="AH38">
        <v>3</v>
      </c>
      <c r="AI38">
        <v>-1</v>
      </c>
      <c r="AJ38" t="s">
        <v>3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ROW(Source!A32)</f>
        <v>32</v>
      </c>
      <c r="B39">
        <v>39579536</v>
      </c>
      <c r="C39">
        <v>39579535</v>
      </c>
      <c r="D39">
        <v>37069968</v>
      </c>
      <c r="E39">
        <v>1</v>
      </c>
      <c r="F39">
        <v>1</v>
      </c>
      <c r="G39">
        <v>1</v>
      </c>
      <c r="H39">
        <v>1</v>
      </c>
      <c r="I39" t="s">
        <v>567</v>
      </c>
      <c r="J39" t="s">
        <v>3</v>
      </c>
      <c r="K39" t="s">
        <v>568</v>
      </c>
      <c r="L39">
        <v>1191</v>
      </c>
      <c r="N39">
        <v>1013</v>
      </c>
      <c r="O39" t="s">
        <v>519</v>
      </c>
      <c r="P39" t="s">
        <v>519</v>
      </c>
      <c r="Q39">
        <v>1</v>
      </c>
      <c r="X39">
        <v>69.599999999999994</v>
      </c>
      <c r="Y39">
        <v>0</v>
      </c>
      <c r="Z39">
        <v>0</v>
      </c>
      <c r="AA39">
        <v>0</v>
      </c>
      <c r="AB39">
        <v>8.3800000000000008</v>
      </c>
      <c r="AC39">
        <v>0</v>
      </c>
      <c r="AD39">
        <v>1</v>
      </c>
      <c r="AE39">
        <v>1</v>
      </c>
      <c r="AF39" t="s">
        <v>19</v>
      </c>
      <c r="AG39">
        <v>55.68</v>
      </c>
      <c r="AH39">
        <v>2</v>
      </c>
      <c r="AI39">
        <v>39579536</v>
      </c>
      <c r="AJ39">
        <v>34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ROW(Source!A32)</f>
        <v>32</v>
      </c>
      <c r="B40">
        <v>39579537</v>
      </c>
      <c r="C40">
        <v>39579535</v>
      </c>
      <c r="D40">
        <v>37064876</v>
      </c>
      <c r="E40">
        <v>1</v>
      </c>
      <c r="F40">
        <v>1</v>
      </c>
      <c r="G40">
        <v>1</v>
      </c>
      <c r="H40">
        <v>1</v>
      </c>
      <c r="I40" t="s">
        <v>520</v>
      </c>
      <c r="J40" t="s">
        <v>3</v>
      </c>
      <c r="K40" t="s">
        <v>521</v>
      </c>
      <c r="L40">
        <v>1191</v>
      </c>
      <c r="N40">
        <v>1013</v>
      </c>
      <c r="O40" t="s">
        <v>519</v>
      </c>
      <c r="P40" t="s">
        <v>519</v>
      </c>
      <c r="Q40">
        <v>1</v>
      </c>
      <c r="X40">
        <v>4.59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2</v>
      </c>
      <c r="AF40" t="s">
        <v>19</v>
      </c>
      <c r="AG40">
        <v>3.6720000000000002</v>
      </c>
      <c r="AH40">
        <v>2</v>
      </c>
      <c r="AI40">
        <v>39579537</v>
      </c>
      <c r="AJ40">
        <v>35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ROW(Source!A32)</f>
        <v>32</v>
      </c>
      <c r="B41">
        <v>39579538</v>
      </c>
      <c r="C41">
        <v>39579535</v>
      </c>
      <c r="D41">
        <v>36883554</v>
      </c>
      <c r="E41">
        <v>1</v>
      </c>
      <c r="F41">
        <v>1</v>
      </c>
      <c r="G41">
        <v>1</v>
      </c>
      <c r="H41">
        <v>2</v>
      </c>
      <c r="I41" t="s">
        <v>526</v>
      </c>
      <c r="J41" t="s">
        <v>527</v>
      </c>
      <c r="K41" t="s">
        <v>528</v>
      </c>
      <c r="L41">
        <v>1368</v>
      </c>
      <c r="N41">
        <v>1011</v>
      </c>
      <c r="O41" t="s">
        <v>525</v>
      </c>
      <c r="P41" t="s">
        <v>525</v>
      </c>
      <c r="Q41">
        <v>1</v>
      </c>
      <c r="X41">
        <v>4.59</v>
      </c>
      <c r="Y41">
        <v>0</v>
      </c>
      <c r="Z41">
        <v>65.709999999999994</v>
      </c>
      <c r="AA41">
        <v>11.6</v>
      </c>
      <c r="AB41">
        <v>0</v>
      </c>
      <c r="AC41">
        <v>0</v>
      </c>
      <c r="AD41">
        <v>1</v>
      </c>
      <c r="AE41">
        <v>0</v>
      </c>
      <c r="AF41" t="s">
        <v>19</v>
      </c>
      <c r="AG41">
        <v>3.6720000000000002</v>
      </c>
      <c r="AH41">
        <v>2</v>
      </c>
      <c r="AI41">
        <v>39579538</v>
      </c>
      <c r="AJ41">
        <v>36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ROW(Source!A32)</f>
        <v>32</v>
      </c>
      <c r="B42">
        <v>39579539</v>
      </c>
      <c r="C42">
        <v>39579535</v>
      </c>
      <c r="D42">
        <v>36796949</v>
      </c>
      <c r="E42">
        <v>17</v>
      </c>
      <c r="F42">
        <v>1</v>
      </c>
      <c r="G42">
        <v>1</v>
      </c>
      <c r="H42">
        <v>3</v>
      </c>
      <c r="I42" t="s">
        <v>769</v>
      </c>
      <c r="J42" t="s">
        <v>3</v>
      </c>
      <c r="K42" t="s">
        <v>770</v>
      </c>
      <c r="L42">
        <v>1035</v>
      </c>
      <c r="N42">
        <v>1013</v>
      </c>
      <c r="O42" t="s">
        <v>247</v>
      </c>
      <c r="P42" t="s">
        <v>247</v>
      </c>
      <c r="Q42">
        <v>1</v>
      </c>
      <c r="X42">
        <v>0</v>
      </c>
      <c r="Y42">
        <v>0</v>
      </c>
      <c r="Z42">
        <v>0</v>
      </c>
      <c r="AA42">
        <v>0</v>
      </c>
      <c r="AB42">
        <v>0</v>
      </c>
      <c r="AC42">
        <v>1</v>
      </c>
      <c r="AD42">
        <v>0</v>
      </c>
      <c r="AE42">
        <v>0</v>
      </c>
      <c r="AF42" t="s">
        <v>18</v>
      </c>
      <c r="AG42">
        <v>0</v>
      </c>
      <c r="AH42">
        <v>3</v>
      </c>
      <c r="AI42">
        <v>-1</v>
      </c>
      <c r="AJ42" t="s">
        <v>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ROW(Source!A32)</f>
        <v>32</v>
      </c>
      <c r="B43">
        <v>39579540</v>
      </c>
      <c r="C43">
        <v>39579535</v>
      </c>
      <c r="D43">
        <v>36804549</v>
      </c>
      <c r="E43">
        <v>1</v>
      </c>
      <c r="F43">
        <v>1</v>
      </c>
      <c r="G43">
        <v>1</v>
      </c>
      <c r="H43">
        <v>3</v>
      </c>
      <c r="I43" t="s">
        <v>569</v>
      </c>
      <c r="J43" t="s">
        <v>570</v>
      </c>
      <c r="K43" t="s">
        <v>571</v>
      </c>
      <c r="L43">
        <v>1348</v>
      </c>
      <c r="N43">
        <v>1009</v>
      </c>
      <c r="O43" t="s">
        <v>105</v>
      </c>
      <c r="P43" t="s">
        <v>105</v>
      </c>
      <c r="Q43">
        <v>1000</v>
      </c>
      <c r="X43">
        <v>1.2E-2</v>
      </c>
      <c r="Y43">
        <v>8475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18</v>
      </c>
      <c r="AG43">
        <v>0</v>
      </c>
      <c r="AH43">
        <v>2</v>
      </c>
      <c r="AI43">
        <v>39579540</v>
      </c>
      <c r="AJ43">
        <v>37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ROW(Source!A32)</f>
        <v>32</v>
      </c>
      <c r="B44">
        <v>39579541</v>
      </c>
      <c r="C44">
        <v>39579535</v>
      </c>
      <c r="D44">
        <v>36830504</v>
      </c>
      <c r="E44">
        <v>1</v>
      </c>
      <c r="F44">
        <v>1</v>
      </c>
      <c r="G44">
        <v>1</v>
      </c>
      <c r="H44">
        <v>3</v>
      </c>
      <c r="I44" t="s">
        <v>572</v>
      </c>
      <c r="J44" t="s">
        <v>573</v>
      </c>
      <c r="K44" t="s">
        <v>574</v>
      </c>
      <c r="L44">
        <v>1339</v>
      </c>
      <c r="N44">
        <v>1007</v>
      </c>
      <c r="O44" t="s">
        <v>86</v>
      </c>
      <c r="P44" t="s">
        <v>86</v>
      </c>
      <c r="Q44">
        <v>1</v>
      </c>
      <c r="X44">
        <v>1.49</v>
      </c>
      <c r="Y44">
        <v>1430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18</v>
      </c>
      <c r="AG44">
        <v>0</v>
      </c>
      <c r="AH44">
        <v>2</v>
      </c>
      <c r="AI44">
        <v>39579541</v>
      </c>
      <c r="AJ44">
        <v>38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ROW(Source!A32)</f>
        <v>32</v>
      </c>
      <c r="B45">
        <v>39579542</v>
      </c>
      <c r="C45">
        <v>39579535</v>
      </c>
      <c r="D45">
        <v>36830508</v>
      </c>
      <c r="E45">
        <v>1</v>
      </c>
      <c r="F45">
        <v>1</v>
      </c>
      <c r="G45">
        <v>1</v>
      </c>
      <c r="H45">
        <v>3</v>
      </c>
      <c r="I45" t="s">
        <v>575</v>
      </c>
      <c r="J45" t="s">
        <v>576</v>
      </c>
      <c r="K45" t="s">
        <v>577</v>
      </c>
      <c r="L45">
        <v>1339</v>
      </c>
      <c r="N45">
        <v>1007</v>
      </c>
      <c r="O45" t="s">
        <v>86</v>
      </c>
      <c r="P45" t="s">
        <v>86</v>
      </c>
      <c r="Q45">
        <v>1</v>
      </c>
      <c r="X45">
        <v>1.17</v>
      </c>
      <c r="Y45">
        <v>1320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18</v>
      </c>
      <c r="AG45">
        <v>0</v>
      </c>
      <c r="AH45">
        <v>2</v>
      </c>
      <c r="AI45">
        <v>39579542</v>
      </c>
      <c r="AJ45">
        <v>39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ROW(Source!A32)</f>
        <v>32</v>
      </c>
      <c r="B46">
        <v>39579543</v>
      </c>
      <c r="C46">
        <v>39579535</v>
      </c>
      <c r="D46">
        <v>36831264</v>
      </c>
      <c r="E46">
        <v>1</v>
      </c>
      <c r="F46">
        <v>1</v>
      </c>
      <c r="G46">
        <v>1</v>
      </c>
      <c r="H46">
        <v>3</v>
      </c>
      <c r="I46" t="s">
        <v>578</v>
      </c>
      <c r="J46" t="s">
        <v>579</v>
      </c>
      <c r="K46" t="s">
        <v>580</v>
      </c>
      <c r="L46">
        <v>1301</v>
      </c>
      <c r="N46">
        <v>1003</v>
      </c>
      <c r="O46" t="s">
        <v>131</v>
      </c>
      <c r="P46" t="s">
        <v>131</v>
      </c>
      <c r="Q46">
        <v>1</v>
      </c>
      <c r="X46">
        <v>174</v>
      </c>
      <c r="Y46">
        <v>3.2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18</v>
      </c>
      <c r="AG46">
        <v>0</v>
      </c>
      <c r="AH46">
        <v>2</v>
      </c>
      <c r="AI46">
        <v>39579543</v>
      </c>
      <c r="AJ46">
        <v>40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ROW(Source!A32)</f>
        <v>32</v>
      </c>
      <c r="B47">
        <v>39579544</v>
      </c>
      <c r="C47">
        <v>39579535</v>
      </c>
      <c r="D47">
        <v>36796947</v>
      </c>
      <c r="E47">
        <v>17</v>
      </c>
      <c r="F47">
        <v>1</v>
      </c>
      <c r="G47">
        <v>1</v>
      </c>
      <c r="H47">
        <v>3</v>
      </c>
      <c r="I47" t="s">
        <v>771</v>
      </c>
      <c r="J47" t="s">
        <v>3</v>
      </c>
      <c r="K47" t="s">
        <v>772</v>
      </c>
      <c r="L47">
        <v>1327</v>
      </c>
      <c r="N47">
        <v>1005</v>
      </c>
      <c r="O47" t="s">
        <v>154</v>
      </c>
      <c r="P47" t="s">
        <v>154</v>
      </c>
      <c r="Q47">
        <v>1</v>
      </c>
      <c r="X47">
        <v>100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18</v>
      </c>
      <c r="AG47">
        <v>0</v>
      </c>
      <c r="AH47">
        <v>3</v>
      </c>
      <c r="AI47">
        <v>-1</v>
      </c>
      <c r="AJ47" t="s">
        <v>3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ROW(Source!A33)</f>
        <v>33</v>
      </c>
      <c r="B48">
        <v>39579548</v>
      </c>
      <c r="C48">
        <v>39579547</v>
      </c>
      <c r="D48">
        <v>37068148</v>
      </c>
      <c r="E48">
        <v>1</v>
      </c>
      <c r="F48">
        <v>1</v>
      </c>
      <c r="G48">
        <v>1</v>
      </c>
      <c r="H48">
        <v>1</v>
      </c>
      <c r="I48" t="s">
        <v>581</v>
      </c>
      <c r="J48" t="s">
        <v>3</v>
      </c>
      <c r="K48" t="s">
        <v>582</v>
      </c>
      <c r="L48">
        <v>1191</v>
      </c>
      <c r="N48">
        <v>1013</v>
      </c>
      <c r="O48" t="s">
        <v>519</v>
      </c>
      <c r="P48" t="s">
        <v>519</v>
      </c>
      <c r="Q48">
        <v>1</v>
      </c>
      <c r="X48">
        <v>103.91</v>
      </c>
      <c r="Y48">
        <v>0</v>
      </c>
      <c r="Z48">
        <v>0</v>
      </c>
      <c r="AA48">
        <v>0</v>
      </c>
      <c r="AB48">
        <v>8.09</v>
      </c>
      <c r="AC48">
        <v>0</v>
      </c>
      <c r="AD48">
        <v>1</v>
      </c>
      <c r="AE48">
        <v>1</v>
      </c>
      <c r="AF48" t="s">
        <v>3</v>
      </c>
      <c r="AG48">
        <v>103.91</v>
      </c>
      <c r="AH48">
        <v>2</v>
      </c>
      <c r="AI48">
        <v>39579548</v>
      </c>
      <c r="AJ48">
        <v>41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ROW(Source!A33)</f>
        <v>33</v>
      </c>
      <c r="B49">
        <v>39579549</v>
      </c>
      <c r="C49">
        <v>39579547</v>
      </c>
      <c r="D49">
        <v>37064876</v>
      </c>
      <c r="E49">
        <v>1</v>
      </c>
      <c r="F49">
        <v>1</v>
      </c>
      <c r="G49">
        <v>1</v>
      </c>
      <c r="H49">
        <v>1</v>
      </c>
      <c r="I49" t="s">
        <v>520</v>
      </c>
      <c r="J49" t="s">
        <v>3</v>
      </c>
      <c r="K49" t="s">
        <v>521</v>
      </c>
      <c r="L49">
        <v>1191</v>
      </c>
      <c r="N49">
        <v>1013</v>
      </c>
      <c r="O49" t="s">
        <v>519</v>
      </c>
      <c r="P49" t="s">
        <v>519</v>
      </c>
      <c r="Q49">
        <v>1</v>
      </c>
      <c r="X49">
        <v>7.74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3</v>
      </c>
      <c r="AG49">
        <v>7.74</v>
      </c>
      <c r="AH49">
        <v>2</v>
      </c>
      <c r="AI49">
        <v>39579549</v>
      </c>
      <c r="AJ49">
        <v>42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ROW(Source!A33)</f>
        <v>33</v>
      </c>
      <c r="B50">
        <v>39579550</v>
      </c>
      <c r="C50">
        <v>39579547</v>
      </c>
      <c r="D50">
        <v>36882452</v>
      </c>
      <c r="E50">
        <v>1</v>
      </c>
      <c r="F50">
        <v>1</v>
      </c>
      <c r="G50">
        <v>1</v>
      </c>
      <c r="H50">
        <v>2</v>
      </c>
      <c r="I50" t="s">
        <v>522</v>
      </c>
      <c r="J50" t="s">
        <v>523</v>
      </c>
      <c r="K50" t="s">
        <v>524</v>
      </c>
      <c r="L50">
        <v>1368</v>
      </c>
      <c r="N50">
        <v>1011</v>
      </c>
      <c r="O50" t="s">
        <v>525</v>
      </c>
      <c r="P50" t="s">
        <v>525</v>
      </c>
      <c r="Q50">
        <v>1</v>
      </c>
      <c r="X50">
        <v>7.74</v>
      </c>
      <c r="Y50">
        <v>0</v>
      </c>
      <c r="Z50">
        <v>31.26</v>
      </c>
      <c r="AA50">
        <v>13.5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7.74</v>
      </c>
      <c r="AH50">
        <v>2</v>
      </c>
      <c r="AI50">
        <v>39579550</v>
      </c>
      <c r="AJ50">
        <v>43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ROW(Source!A34)</f>
        <v>34</v>
      </c>
      <c r="B51">
        <v>39579568</v>
      </c>
      <c r="C51">
        <v>39579567</v>
      </c>
      <c r="D51">
        <v>37072767</v>
      </c>
      <c r="E51">
        <v>1</v>
      </c>
      <c r="F51">
        <v>1</v>
      </c>
      <c r="G51">
        <v>1</v>
      </c>
      <c r="H51">
        <v>1</v>
      </c>
      <c r="I51" t="s">
        <v>583</v>
      </c>
      <c r="J51" t="s">
        <v>3</v>
      </c>
      <c r="K51" t="s">
        <v>584</v>
      </c>
      <c r="L51">
        <v>1191</v>
      </c>
      <c r="N51">
        <v>1013</v>
      </c>
      <c r="O51" t="s">
        <v>519</v>
      </c>
      <c r="P51" t="s">
        <v>519</v>
      </c>
      <c r="Q51">
        <v>1</v>
      </c>
      <c r="X51">
        <v>3.69</v>
      </c>
      <c r="Y51">
        <v>0</v>
      </c>
      <c r="Z51">
        <v>0</v>
      </c>
      <c r="AA51">
        <v>0</v>
      </c>
      <c r="AB51">
        <v>9.18</v>
      </c>
      <c r="AC51">
        <v>0</v>
      </c>
      <c r="AD51">
        <v>1</v>
      </c>
      <c r="AE51">
        <v>1</v>
      </c>
      <c r="AF51" t="s">
        <v>79</v>
      </c>
      <c r="AG51">
        <v>4.2435</v>
      </c>
      <c r="AH51">
        <v>2</v>
      </c>
      <c r="AI51">
        <v>39579568</v>
      </c>
      <c r="AJ51">
        <v>44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ROW(Source!A34)</f>
        <v>34</v>
      </c>
      <c r="B52">
        <v>39579569</v>
      </c>
      <c r="C52">
        <v>39579567</v>
      </c>
      <c r="D52">
        <v>37064876</v>
      </c>
      <c r="E52">
        <v>1</v>
      </c>
      <c r="F52">
        <v>1</v>
      </c>
      <c r="G52">
        <v>1</v>
      </c>
      <c r="H52">
        <v>1</v>
      </c>
      <c r="I52" t="s">
        <v>520</v>
      </c>
      <c r="J52" t="s">
        <v>3</v>
      </c>
      <c r="K52" t="s">
        <v>521</v>
      </c>
      <c r="L52">
        <v>1191</v>
      </c>
      <c r="N52">
        <v>1013</v>
      </c>
      <c r="O52" t="s">
        <v>519</v>
      </c>
      <c r="P52" t="s">
        <v>519</v>
      </c>
      <c r="Q52">
        <v>1</v>
      </c>
      <c r="X52">
        <v>0.05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78</v>
      </c>
      <c r="AG52">
        <v>6.25E-2</v>
      </c>
      <c r="AH52">
        <v>2</v>
      </c>
      <c r="AI52">
        <v>39579569</v>
      </c>
      <c r="AJ52">
        <v>45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ROW(Source!A34)</f>
        <v>34</v>
      </c>
      <c r="B53">
        <v>39579570</v>
      </c>
      <c r="C53">
        <v>39579567</v>
      </c>
      <c r="D53">
        <v>36882448</v>
      </c>
      <c r="E53">
        <v>1</v>
      </c>
      <c r="F53">
        <v>1</v>
      </c>
      <c r="G53">
        <v>1</v>
      </c>
      <c r="H53">
        <v>2</v>
      </c>
      <c r="I53" t="s">
        <v>585</v>
      </c>
      <c r="J53" t="s">
        <v>586</v>
      </c>
      <c r="K53" t="s">
        <v>587</v>
      </c>
      <c r="L53">
        <v>1368</v>
      </c>
      <c r="N53">
        <v>1011</v>
      </c>
      <c r="O53" t="s">
        <v>525</v>
      </c>
      <c r="P53" t="s">
        <v>525</v>
      </c>
      <c r="Q53">
        <v>1</v>
      </c>
      <c r="X53">
        <v>0.01</v>
      </c>
      <c r="Y53">
        <v>0</v>
      </c>
      <c r="Z53">
        <v>27.66</v>
      </c>
      <c r="AA53">
        <v>11.6</v>
      </c>
      <c r="AB53">
        <v>0</v>
      </c>
      <c r="AC53">
        <v>0</v>
      </c>
      <c r="AD53">
        <v>1</v>
      </c>
      <c r="AE53">
        <v>0</v>
      </c>
      <c r="AF53" t="s">
        <v>78</v>
      </c>
      <c r="AG53">
        <v>1.2500000000000001E-2</v>
      </c>
      <c r="AH53">
        <v>2</v>
      </c>
      <c r="AI53">
        <v>39579570</v>
      </c>
      <c r="AJ53">
        <v>46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ROW(Source!A34)</f>
        <v>34</v>
      </c>
      <c r="B54">
        <v>39579571</v>
      </c>
      <c r="C54">
        <v>39579567</v>
      </c>
      <c r="D54">
        <v>36883554</v>
      </c>
      <c r="E54">
        <v>1</v>
      </c>
      <c r="F54">
        <v>1</v>
      </c>
      <c r="G54">
        <v>1</v>
      </c>
      <c r="H54">
        <v>2</v>
      </c>
      <c r="I54" t="s">
        <v>526</v>
      </c>
      <c r="J54" t="s">
        <v>527</v>
      </c>
      <c r="K54" t="s">
        <v>528</v>
      </c>
      <c r="L54">
        <v>1368</v>
      </c>
      <c r="N54">
        <v>1011</v>
      </c>
      <c r="O54" t="s">
        <v>525</v>
      </c>
      <c r="P54" t="s">
        <v>525</v>
      </c>
      <c r="Q54">
        <v>1</v>
      </c>
      <c r="X54">
        <v>0.04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78</v>
      </c>
      <c r="AG54">
        <v>0.05</v>
      </c>
      <c r="AH54">
        <v>2</v>
      </c>
      <c r="AI54">
        <v>39579571</v>
      </c>
      <c r="AJ54">
        <v>47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ROW(Source!A34)</f>
        <v>34</v>
      </c>
      <c r="B55">
        <v>39579572</v>
      </c>
      <c r="C55">
        <v>39579567</v>
      </c>
      <c r="D55">
        <v>36884416</v>
      </c>
      <c r="E55">
        <v>1</v>
      </c>
      <c r="F55">
        <v>1</v>
      </c>
      <c r="G55">
        <v>1</v>
      </c>
      <c r="H55">
        <v>2</v>
      </c>
      <c r="I55" t="s">
        <v>588</v>
      </c>
      <c r="J55" t="s">
        <v>589</v>
      </c>
      <c r="K55" t="s">
        <v>590</v>
      </c>
      <c r="L55">
        <v>1368</v>
      </c>
      <c r="N55">
        <v>1011</v>
      </c>
      <c r="O55" t="s">
        <v>525</v>
      </c>
      <c r="P55" t="s">
        <v>525</v>
      </c>
      <c r="Q55">
        <v>1</v>
      </c>
      <c r="X55">
        <v>2.82</v>
      </c>
      <c r="Y55">
        <v>0</v>
      </c>
      <c r="Z55">
        <v>6.82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78</v>
      </c>
      <c r="AG55">
        <v>3.5249999999999999</v>
      </c>
      <c r="AH55">
        <v>2</v>
      </c>
      <c r="AI55">
        <v>39579572</v>
      </c>
      <c r="AJ55">
        <v>48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ROW(Source!A34)</f>
        <v>34</v>
      </c>
      <c r="B56">
        <v>39579573</v>
      </c>
      <c r="C56">
        <v>39579567</v>
      </c>
      <c r="D56">
        <v>36801792</v>
      </c>
      <c r="E56">
        <v>1</v>
      </c>
      <c r="F56">
        <v>1</v>
      </c>
      <c r="G56">
        <v>1</v>
      </c>
      <c r="H56">
        <v>3</v>
      </c>
      <c r="I56" t="s">
        <v>564</v>
      </c>
      <c r="J56" t="s">
        <v>565</v>
      </c>
      <c r="K56" t="s">
        <v>566</v>
      </c>
      <c r="L56">
        <v>1339</v>
      </c>
      <c r="N56">
        <v>1007</v>
      </c>
      <c r="O56" t="s">
        <v>86</v>
      </c>
      <c r="P56" t="s">
        <v>86</v>
      </c>
      <c r="Q56">
        <v>1</v>
      </c>
      <c r="X56">
        <v>0.01</v>
      </c>
      <c r="Y56">
        <v>2.44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3</v>
      </c>
      <c r="AG56">
        <v>0.01</v>
      </c>
      <c r="AH56">
        <v>2</v>
      </c>
      <c r="AI56">
        <v>39579573</v>
      </c>
      <c r="AJ56">
        <v>49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ROW(Source!A34)</f>
        <v>34</v>
      </c>
      <c r="B57">
        <v>39579574</v>
      </c>
      <c r="C57">
        <v>39579567</v>
      </c>
      <c r="D57">
        <v>36805524</v>
      </c>
      <c r="E57">
        <v>1</v>
      </c>
      <c r="F57">
        <v>1</v>
      </c>
      <c r="G57">
        <v>1</v>
      </c>
      <c r="H57">
        <v>3</v>
      </c>
      <c r="I57" t="s">
        <v>591</v>
      </c>
      <c r="J57" t="s">
        <v>592</v>
      </c>
      <c r="K57" t="s">
        <v>593</v>
      </c>
      <c r="L57">
        <v>1346</v>
      </c>
      <c r="N57">
        <v>1009</v>
      </c>
      <c r="O57" t="s">
        <v>118</v>
      </c>
      <c r="P57" t="s">
        <v>118</v>
      </c>
      <c r="Q57">
        <v>1</v>
      </c>
      <c r="X57">
        <v>1</v>
      </c>
      <c r="Y57">
        <v>1.82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1</v>
      </c>
      <c r="AH57">
        <v>2</v>
      </c>
      <c r="AI57">
        <v>39579574</v>
      </c>
      <c r="AJ57">
        <v>50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ROW(Source!A34)</f>
        <v>34</v>
      </c>
      <c r="B58">
        <v>39579575</v>
      </c>
      <c r="C58">
        <v>39579567</v>
      </c>
      <c r="D58">
        <v>36837972</v>
      </c>
      <c r="E58">
        <v>1</v>
      </c>
      <c r="F58">
        <v>1</v>
      </c>
      <c r="G58">
        <v>1</v>
      </c>
      <c r="H58">
        <v>3</v>
      </c>
      <c r="I58" t="s">
        <v>116</v>
      </c>
      <c r="J58" t="s">
        <v>119</v>
      </c>
      <c r="K58" t="s">
        <v>117</v>
      </c>
      <c r="L58">
        <v>1346</v>
      </c>
      <c r="N58">
        <v>1009</v>
      </c>
      <c r="O58" t="s">
        <v>118</v>
      </c>
      <c r="P58" t="s">
        <v>118</v>
      </c>
      <c r="Q58">
        <v>1</v>
      </c>
      <c r="X58">
        <v>13.8</v>
      </c>
      <c r="Y58">
        <v>15.25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13.8</v>
      </c>
      <c r="AH58">
        <v>2</v>
      </c>
      <c r="AI58">
        <v>39579575</v>
      </c>
      <c r="AJ58">
        <v>51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ROW(Source!A35)</f>
        <v>35</v>
      </c>
      <c r="B59">
        <v>39579553</v>
      </c>
      <c r="C59">
        <v>39579552</v>
      </c>
      <c r="D59">
        <v>37068121</v>
      </c>
      <c r="E59">
        <v>1</v>
      </c>
      <c r="F59">
        <v>1</v>
      </c>
      <c r="G59">
        <v>1</v>
      </c>
      <c r="H59">
        <v>1</v>
      </c>
      <c r="I59" t="s">
        <v>559</v>
      </c>
      <c r="J59" t="s">
        <v>3</v>
      </c>
      <c r="K59" t="s">
        <v>560</v>
      </c>
      <c r="L59">
        <v>1191</v>
      </c>
      <c r="N59">
        <v>1013</v>
      </c>
      <c r="O59" t="s">
        <v>519</v>
      </c>
      <c r="P59" t="s">
        <v>519</v>
      </c>
      <c r="Q59">
        <v>1</v>
      </c>
      <c r="X59">
        <v>39.51</v>
      </c>
      <c r="Y59">
        <v>0</v>
      </c>
      <c r="Z59">
        <v>0</v>
      </c>
      <c r="AA59">
        <v>0</v>
      </c>
      <c r="AB59">
        <v>7.94</v>
      </c>
      <c r="AC59">
        <v>0</v>
      </c>
      <c r="AD59">
        <v>1</v>
      </c>
      <c r="AE59">
        <v>1</v>
      </c>
      <c r="AF59" t="s">
        <v>79</v>
      </c>
      <c r="AG59">
        <v>45.436499999999995</v>
      </c>
      <c r="AH59">
        <v>2</v>
      </c>
      <c r="AI59">
        <v>39579553</v>
      </c>
      <c r="AJ59">
        <v>52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ROW(Source!A35)</f>
        <v>35</v>
      </c>
      <c r="B60">
        <v>39579554</v>
      </c>
      <c r="C60">
        <v>39579552</v>
      </c>
      <c r="D60">
        <v>37064876</v>
      </c>
      <c r="E60">
        <v>1</v>
      </c>
      <c r="F60">
        <v>1</v>
      </c>
      <c r="G60">
        <v>1</v>
      </c>
      <c r="H60">
        <v>1</v>
      </c>
      <c r="I60" t="s">
        <v>520</v>
      </c>
      <c r="J60" t="s">
        <v>3</v>
      </c>
      <c r="K60" t="s">
        <v>521</v>
      </c>
      <c r="L60">
        <v>1191</v>
      </c>
      <c r="N60">
        <v>1013</v>
      </c>
      <c r="O60" t="s">
        <v>519</v>
      </c>
      <c r="P60" t="s">
        <v>519</v>
      </c>
      <c r="Q60">
        <v>1</v>
      </c>
      <c r="X60">
        <v>1.27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2</v>
      </c>
      <c r="AF60" t="s">
        <v>78</v>
      </c>
      <c r="AG60">
        <v>1.5874999999999999</v>
      </c>
      <c r="AH60">
        <v>2</v>
      </c>
      <c r="AI60">
        <v>39579554</v>
      </c>
      <c r="AJ60">
        <v>53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ROW(Source!A35)</f>
        <v>35</v>
      </c>
      <c r="B61">
        <v>39579555</v>
      </c>
      <c r="C61">
        <v>39579552</v>
      </c>
      <c r="D61">
        <v>36882452</v>
      </c>
      <c r="E61">
        <v>1</v>
      </c>
      <c r="F61">
        <v>1</v>
      </c>
      <c r="G61">
        <v>1</v>
      </c>
      <c r="H61">
        <v>2</v>
      </c>
      <c r="I61" t="s">
        <v>522</v>
      </c>
      <c r="J61" t="s">
        <v>523</v>
      </c>
      <c r="K61" t="s">
        <v>524</v>
      </c>
      <c r="L61">
        <v>1368</v>
      </c>
      <c r="N61">
        <v>1011</v>
      </c>
      <c r="O61" t="s">
        <v>525</v>
      </c>
      <c r="P61" t="s">
        <v>525</v>
      </c>
      <c r="Q61">
        <v>1</v>
      </c>
      <c r="X61">
        <v>1.27</v>
      </c>
      <c r="Y61">
        <v>0</v>
      </c>
      <c r="Z61">
        <v>31.26</v>
      </c>
      <c r="AA61">
        <v>13.5</v>
      </c>
      <c r="AB61">
        <v>0</v>
      </c>
      <c r="AC61">
        <v>0</v>
      </c>
      <c r="AD61">
        <v>1</v>
      </c>
      <c r="AE61">
        <v>0</v>
      </c>
      <c r="AF61" t="s">
        <v>78</v>
      </c>
      <c r="AG61">
        <v>1.5874999999999999</v>
      </c>
      <c r="AH61">
        <v>2</v>
      </c>
      <c r="AI61">
        <v>39579555</v>
      </c>
      <c r="AJ61">
        <v>54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ROW(Source!A35)</f>
        <v>35</v>
      </c>
      <c r="B62">
        <v>39579556</v>
      </c>
      <c r="C62">
        <v>39579552</v>
      </c>
      <c r="D62">
        <v>36882569</v>
      </c>
      <c r="E62">
        <v>1</v>
      </c>
      <c r="F62">
        <v>1</v>
      </c>
      <c r="G62">
        <v>1</v>
      </c>
      <c r="H62">
        <v>2</v>
      </c>
      <c r="I62" t="s">
        <v>561</v>
      </c>
      <c r="J62" t="s">
        <v>562</v>
      </c>
      <c r="K62" t="s">
        <v>563</v>
      </c>
      <c r="L62">
        <v>1368</v>
      </c>
      <c r="N62">
        <v>1011</v>
      </c>
      <c r="O62" t="s">
        <v>525</v>
      </c>
      <c r="P62" t="s">
        <v>525</v>
      </c>
      <c r="Q62">
        <v>1</v>
      </c>
      <c r="X62">
        <v>9.07</v>
      </c>
      <c r="Y62">
        <v>0</v>
      </c>
      <c r="Z62">
        <v>0.5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78</v>
      </c>
      <c r="AG62">
        <v>11.3375</v>
      </c>
      <c r="AH62">
        <v>2</v>
      </c>
      <c r="AI62">
        <v>39579556</v>
      </c>
      <c r="AJ62">
        <v>55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ROW(Source!A35)</f>
        <v>35</v>
      </c>
      <c r="B63">
        <v>39579557</v>
      </c>
      <c r="C63">
        <v>39579552</v>
      </c>
      <c r="D63">
        <v>36801792</v>
      </c>
      <c r="E63">
        <v>1</v>
      </c>
      <c r="F63">
        <v>1</v>
      </c>
      <c r="G63">
        <v>1</v>
      </c>
      <c r="H63">
        <v>3</v>
      </c>
      <c r="I63" t="s">
        <v>564</v>
      </c>
      <c r="J63" t="s">
        <v>565</v>
      </c>
      <c r="K63" t="s">
        <v>566</v>
      </c>
      <c r="L63">
        <v>1339</v>
      </c>
      <c r="N63">
        <v>1007</v>
      </c>
      <c r="O63" t="s">
        <v>86</v>
      </c>
      <c r="P63" t="s">
        <v>86</v>
      </c>
      <c r="Q63">
        <v>1</v>
      </c>
      <c r="X63">
        <v>3.5</v>
      </c>
      <c r="Y63">
        <v>2.44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3.5</v>
      </c>
      <c r="AH63">
        <v>2</v>
      </c>
      <c r="AI63">
        <v>39579557</v>
      </c>
      <c r="AJ63">
        <v>56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ROW(Source!A35)</f>
        <v>35</v>
      </c>
      <c r="B64">
        <v>39579558</v>
      </c>
      <c r="C64">
        <v>39579552</v>
      </c>
      <c r="D64">
        <v>36797146</v>
      </c>
      <c r="E64">
        <v>17</v>
      </c>
      <c r="F64">
        <v>1</v>
      </c>
      <c r="G64">
        <v>1</v>
      </c>
      <c r="H64">
        <v>3</v>
      </c>
      <c r="I64" t="s">
        <v>89</v>
      </c>
      <c r="J64" t="s">
        <v>3</v>
      </c>
      <c r="K64" t="s">
        <v>90</v>
      </c>
      <c r="L64">
        <v>1339</v>
      </c>
      <c r="N64">
        <v>1007</v>
      </c>
      <c r="O64" t="s">
        <v>86</v>
      </c>
      <c r="P64" t="s">
        <v>86</v>
      </c>
      <c r="Q64">
        <v>1</v>
      </c>
      <c r="X64">
        <v>2.04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3</v>
      </c>
      <c r="AG64">
        <v>2.04</v>
      </c>
      <c r="AH64">
        <v>2</v>
      </c>
      <c r="AI64">
        <v>39579558</v>
      </c>
      <c r="AJ64">
        <v>57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ROW(Source!A38)</f>
        <v>38</v>
      </c>
      <c r="B65">
        <v>39579561</v>
      </c>
      <c r="C65">
        <v>39579560</v>
      </c>
      <c r="D65">
        <v>37068121</v>
      </c>
      <c r="E65">
        <v>1</v>
      </c>
      <c r="F65">
        <v>1</v>
      </c>
      <c r="G65">
        <v>1</v>
      </c>
      <c r="H65">
        <v>1</v>
      </c>
      <c r="I65" t="s">
        <v>559</v>
      </c>
      <c r="J65" t="s">
        <v>3</v>
      </c>
      <c r="K65" t="s">
        <v>560</v>
      </c>
      <c r="L65">
        <v>1191</v>
      </c>
      <c r="N65">
        <v>1013</v>
      </c>
      <c r="O65" t="s">
        <v>519</v>
      </c>
      <c r="P65" t="s">
        <v>519</v>
      </c>
      <c r="Q65">
        <v>1</v>
      </c>
      <c r="X65">
        <v>0.5</v>
      </c>
      <c r="Y65">
        <v>0</v>
      </c>
      <c r="Z65">
        <v>0</v>
      </c>
      <c r="AA65">
        <v>0</v>
      </c>
      <c r="AB65">
        <v>7.94</v>
      </c>
      <c r="AC65">
        <v>0</v>
      </c>
      <c r="AD65">
        <v>1</v>
      </c>
      <c r="AE65">
        <v>1</v>
      </c>
      <c r="AF65" t="s">
        <v>95</v>
      </c>
      <c r="AG65">
        <v>1.1499999999999999</v>
      </c>
      <c r="AH65">
        <v>2</v>
      </c>
      <c r="AI65">
        <v>39579561</v>
      </c>
      <c r="AJ65">
        <v>59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ROW(Source!A38)</f>
        <v>38</v>
      </c>
      <c r="B66">
        <v>39579562</v>
      </c>
      <c r="C66">
        <v>39579560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520</v>
      </c>
      <c r="J66" t="s">
        <v>3</v>
      </c>
      <c r="K66" t="s">
        <v>521</v>
      </c>
      <c r="L66">
        <v>1191</v>
      </c>
      <c r="N66">
        <v>1013</v>
      </c>
      <c r="O66" t="s">
        <v>519</v>
      </c>
      <c r="P66" t="s">
        <v>519</v>
      </c>
      <c r="Q66">
        <v>1</v>
      </c>
      <c r="X66">
        <v>0.21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94</v>
      </c>
      <c r="AG66">
        <v>0.52500000000000002</v>
      </c>
      <c r="AH66">
        <v>2</v>
      </c>
      <c r="AI66">
        <v>39579562</v>
      </c>
      <c r="AJ66">
        <v>60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ROW(Source!A38)</f>
        <v>38</v>
      </c>
      <c r="B67">
        <v>39579563</v>
      </c>
      <c r="C67">
        <v>39579560</v>
      </c>
      <c r="D67">
        <v>36882452</v>
      </c>
      <c r="E67">
        <v>1</v>
      </c>
      <c r="F67">
        <v>1</v>
      </c>
      <c r="G67">
        <v>1</v>
      </c>
      <c r="H67">
        <v>2</v>
      </c>
      <c r="I67" t="s">
        <v>522</v>
      </c>
      <c r="J67" t="s">
        <v>523</v>
      </c>
      <c r="K67" t="s">
        <v>524</v>
      </c>
      <c r="L67">
        <v>1368</v>
      </c>
      <c r="N67">
        <v>1011</v>
      </c>
      <c r="O67" t="s">
        <v>525</v>
      </c>
      <c r="P67" t="s">
        <v>525</v>
      </c>
      <c r="Q67">
        <v>1</v>
      </c>
      <c r="X67">
        <v>0.21</v>
      </c>
      <c r="Y67">
        <v>0</v>
      </c>
      <c r="Z67">
        <v>31.26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94</v>
      </c>
      <c r="AG67">
        <v>0.52500000000000002</v>
      </c>
      <c r="AH67">
        <v>2</v>
      </c>
      <c r="AI67">
        <v>39579563</v>
      </c>
      <c r="AJ67">
        <v>61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ROW(Source!A38)</f>
        <v>38</v>
      </c>
      <c r="B68">
        <v>39579564</v>
      </c>
      <c r="C68">
        <v>39579560</v>
      </c>
      <c r="D68">
        <v>36882569</v>
      </c>
      <c r="E68">
        <v>1</v>
      </c>
      <c r="F68">
        <v>1</v>
      </c>
      <c r="G68">
        <v>1</v>
      </c>
      <c r="H68">
        <v>2</v>
      </c>
      <c r="I68" t="s">
        <v>561</v>
      </c>
      <c r="J68" t="s">
        <v>562</v>
      </c>
      <c r="K68" t="s">
        <v>563</v>
      </c>
      <c r="L68">
        <v>1368</v>
      </c>
      <c r="N68">
        <v>1011</v>
      </c>
      <c r="O68" t="s">
        <v>525</v>
      </c>
      <c r="P68" t="s">
        <v>525</v>
      </c>
      <c r="Q68">
        <v>1</v>
      </c>
      <c r="X68">
        <v>2.3199999999999998</v>
      </c>
      <c r="Y68">
        <v>0</v>
      </c>
      <c r="Z68">
        <v>0.5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94</v>
      </c>
      <c r="AG68">
        <v>5.8</v>
      </c>
      <c r="AH68">
        <v>2</v>
      </c>
      <c r="AI68">
        <v>39579564</v>
      </c>
      <c r="AJ68">
        <v>62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ROW(Source!A38)</f>
        <v>38</v>
      </c>
      <c r="B69">
        <v>39579565</v>
      </c>
      <c r="C69">
        <v>39579560</v>
      </c>
      <c r="D69">
        <v>36797146</v>
      </c>
      <c r="E69">
        <v>17</v>
      </c>
      <c r="F69">
        <v>1</v>
      </c>
      <c r="G69">
        <v>1</v>
      </c>
      <c r="H69">
        <v>3</v>
      </c>
      <c r="I69" t="s">
        <v>89</v>
      </c>
      <c r="J69" t="s">
        <v>3</v>
      </c>
      <c r="K69" t="s">
        <v>90</v>
      </c>
      <c r="L69">
        <v>1339</v>
      </c>
      <c r="N69">
        <v>1007</v>
      </c>
      <c r="O69" t="s">
        <v>86</v>
      </c>
      <c r="P69" t="s">
        <v>86</v>
      </c>
      <c r="Q69">
        <v>1</v>
      </c>
      <c r="X69">
        <v>0.51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 t="s">
        <v>93</v>
      </c>
      <c r="AG69">
        <v>1.02</v>
      </c>
      <c r="AH69">
        <v>2</v>
      </c>
      <c r="AI69">
        <v>39579565</v>
      </c>
      <c r="AJ69">
        <v>63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ROW(Source!A41)</f>
        <v>41</v>
      </c>
      <c r="B70">
        <v>39579581</v>
      </c>
      <c r="C70">
        <v>39579580</v>
      </c>
      <c r="D70">
        <v>37065248</v>
      </c>
      <c r="E70">
        <v>1</v>
      </c>
      <c r="F70">
        <v>1</v>
      </c>
      <c r="G70">
        <v>1</v>
      </c>
      <c r="H70">
        <v>1</v>
      </c>
      <c r="I70" t="s">
        <v>536</v>
      </c>
      <c r="J70" t="s">
        <v>3</v>
      </c>
      <c r="K70" t="s">
        <v>537</v>
      </c>
      <c r="L70">
        <v>1191</v>
      </c>
      <c r="N70">
        <v>1013</v>
      </c>
      <c r="O70" t="s">
        <v>519</v>
      </c>
      <c r="P70" t="s">
        <v>519</v>
      </c>
      <c r="Q70">
        <v>1</v>
      </c>
      <c r="X70">
        <v>30.73</v>
      </c>
      <c r="Y70">
        <v>0</v>
      </c>
      <c r="Z70">
        <v>0</v>
      </c>
      <c r="AA70">
        <v>0</v>
      </c>
      <c r="AB70">
        <v>8.5299999999999994</v>
      </c>
      <c r="AC70">
        <v>0</v>
      </c>
      <c r="AD70">
        <v>1</v>
      </c>
      <c r="AE70">
        <v>1</v>
      </c>
      <c r="AF70" t="s">
        <v>79</v>
      </c>
      <c r="AG70">
        <v>35.339500000000001</v>
      </c>
      <c r="AH70">
        <v>2</v>
      </c>
      <c r="AI70">
        <v>39579581</v>
      </c>
      <c r="AJ70">
        <v>65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ROW(Source!A41)</f>
        <v>41</v>
      </c>
      <c r="B71">
        <v>39579582</v>
      </c>
      <c r="C71">
        <v>39579580</v>
      </c>
      <c r="D71">
        <v>37064876</v>
      </c>
      <c r="E71">
        <v>1</v>
      </c>
      <c r="F71">
        <v>1</v>
      </c>
      <c r="G71">
        <v>1</v>
      </c>
      <c r="H71">
        <v>1</v>
      </c>
      <c r="I71" t="s">
        <v>520</v>
      </c>
      <c r="J71" t="s">
        <v>3</v>
      </c>
      <c r="K71" t="s">
        <v>521</v>
      </c>
      <c r="L71">
        <v>1191</v>
      </c>
      <c r="N71">
        <v>1013</v>
      </c>
      <c r="O71" t="s">
        <v>519</v>
      </c>
      <c r="P71" t="s">
        <v>519</v>
      </c>
      <c r="Q71">
        <v>1</v>
      </c>
      <c r="X71">
        <v>0.09</v>
      </c>
      <c r="Y71">
        <v>0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2</v>
      </c>
      <c r="AF71" t="s">
        <v>78</v>
      </c>
      <c r="AG71">
        <v>0.11249999999999999</v>
      </c>
      <c r="AH71">
        <v>2</v>
      </c>
      <c r="AI71">
        <v>39579582</v>
      </c>
      <c r="AJ71">
        <v>66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ROW(Source!A41)</f>
        <v>41</v>
      </c>
      <c r="B72">
        <v>39579583</v>
      </c>
      <c r="C72">
        <v>39579580</v>
      </c>
      <c r="D72">
        <v>36882448</v>
      </c>
      <c r="E72">
        <v>1</v>
      </c>
      <c r="F72">
        <v>1</v>
      </c>
      <c r="G72">
        <v>1</v>
      </c>
      <c r="H72">
        <v>2</v>
      </c>
      <c r="I72" t="s">
        <v>585</v>
      </c>
      <c r="J72" t="s">
        <v>586</v>
      </c>
      <c r="K72" t="s">
        <v>587</v>
      </c>
      <c r="L72">
        <v>1368</v>
      </c>
      <c r="N72">
        <v>1011</v>
      </c>
      <c r="O72" t="s">
        <v>525</v>
      </c>
      <c r="P72" t="s">
        <v>525</v>
      </c>
      <c r="Q72">
        <v>1</v>
      </c>
      <c r="X72">
        <v>7.0000000000000007E-2</v>
      </c>
      <c r="Y72">
        <v>0</v>
      </c>
      <c r="Z72">
        <v>27.66</v>
      </c>
      <c r="AA72">
        <v>11.6</v>
      </c>
      <c r="AB72">
        <v>0</v>
      </c>
      <c r="AC72">
        <v>0</v>
      </c>
      <c r="AD72">
        <v>1</v>
      </c>
      <c r="AE72">
        <v>0</v>
      </c>
      <c r="AF72" t="s">
        <v>78</v>
      </c>
      <c r="AG72">
        <v>8.7500000000000008E-2</v>
      </c>
      <c r="AH72">
        <v>2</v>
      </c>
      <c r="AI72">
        <v>39579583</v>
      </c>
      <c r="AJ72">
        <v>67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ROW(Source!A41)</f>
        <v>41</v>
      </c>
      <c r="B73">
        <v>39579584</v>
      </c>
      <c r="C73">
        <v>39579580</v>
      </c>
      <c r="D73">
        <v>36883554</v>
      </c>
      <c r="E73">
        <v>1</v>
      </c>
      <c r="F73">
        <v>1</v>
      </c>
      <c r="G73">
        <v>1</v>
      </c>
      <c r="H73">
        <v>2</v>
      </c>
      <c r="I73" t="s">
        <v>526</v>
      </c>
      <c r="J73" t="s">
        <v>527</v>
      </c>
      <c r="K73" t="s">
        <v>528</v>
      </c>
      <c r="L73">
        <v>1368</v>
      </c>
      <c r="N73">
        <v>1011</v>
      </c>
      <c r="O73" t="s">
        <v>525</v>
      </c>
      <c r="P73" t="s">
        <v>525</v>
      </c>
      <c r="Q73">
        <v>1</v>
      </c>
      <c r="X73">
        <v>0.02</v>
      </c>
      <c r="Y73">
        <v>0</v>
      </c>
      <c r="Z73">
        <v>65.709999999999994</v>
      </c>
      <c r="AA73">
        <v>11.6</v>
      </c>
      <c r="AB73">
        <v>0</v>
      </c>
      <c r="AC73">
        <v>0</v>
      </c>
      <c r="AD73">
        <v>1</v>
      </c>
      <c r="AE73">
        <v>0</v>
      </c>
      <c r="AF73" t="s">
        <v>78</v>
      </c>
      <c r="AG73">
        <v>2.5000000000000001E-2</v>
      </c>
      <c r="AH73">
        <v>2</v>
      </c>
      <c r="AI73">
        <v>39579584</v>
      </c>
      <c r="AJ73">
        <v>68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ROW(Source!A41)</f>
        <v>41</v>
      </c>
      <c r="B74">
        <v>39579585</v>
      </c>
      <c r="C74">
        <v>39579580</v>
      </c>
      <c r="D74">
        <v>36801792</v>
      </c>
      <c r="E74">
        <v>1</v>
      </c>
      <c r="F74">
        <v>1</v>
      </c>
      <c r="G74">
        <v>1</v>
      </c>
      <c r="H74">
        <v>3</v>
      </c>
      <c r="I74" t="s">
        <v>564</v>
      </c>
      <c r="J74" t="s">
        <v>565</v>
      </c>
      <c r="K74" t="s">
        <v>566</v>
      </c>
      <c r="L74">
        <v>1339</v>
      </c>
      <c r="N74">
        <v>1007</v>
      </c>
      <c r="O74" t="s">
        <v>86</v>
      </c>
      <c r="P74" t="s">
        <v>86</v>
      </c>
      <c r="Q74">
        <v>1</v>
      </c>
      <c r="X74">
        <v>0.16</v>
      </c>
      <c r="Y74">
        <v>2.44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</v>
      </c>
      <c r="AG74">
        <v>0.16</v>
      </c>
      <c r="AH74">
        <v>2</v>
      </c>
      <c r="AI74">
        <v>39579585</v>
      </c>
      <c r="AJ74">
        <v>69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ROW(Source!A41)</f>
        <v>41</v>
      </c>
      <c r="B75">
        <v>39579586</v>
      </c>
      <c r="C75">
        <v>39579580</v>
      </c>
      <c r="D75">
        <v>36807409</v>
      </c>
      <c r="E75">
        <v>1</v>
      </c>
      <c r="F75">
        <v>1</v>
      </c>
      <c r="G75">
        <v>1</v>
      </c>
      <c r="H75">
        <v>3</v>
      </c>
      <c r="I75" t="s">
        <v>103</v>
      </c>
      <c r="J75" t="s">
        <v>106</v>
      </c>
      <c r="K75" t="s">
        <v>104</v>
      </c>
      <c r="L75">
        <v>1348</v>
      </c>
      <c r="N75">
        <v>1009</v>
      </c>
      <c r="O75" t="s">
        <v>105</v>
      </c>
      <c r="P75" t="s">
        <v>105</v>
      </c>
      <c r="Q75">
        <v>1000</v>
      </c>
      <c r="X75">
        <v>0.45</v>
      </c>
      <c r="Y75">
        <v>11686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0.45</v>
      </c>
      <c r="AH75">
        <v>2</v>
      </c>
      <c r="AI75">
        <v>39579586</v>
      </c>
      <c r="AJ75">
        <v>70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ROW(Source!A41)</f>
        <v>41</v>
      </c>
      <c r="B76">
        <v>39579587</v>
      </c>
      <c r="C76">
        <v>39579580</v>
      </c>
      <c r="D76">
        <v>36837972</v>
      </c>
      <c r="E76">
        <v>1</v>
      </c>
      <c r="F76">
        <v>1</v>
      </c>
      <c r="G76">
        <v>1</v>
      </c>
      <c r="H76">
        <v>3</v>
      </c>
      <c r="I76" t="s">
        <v>116</v>
      </c>
      <c r="J76" t="s">
        <v>119</v>
      </c>
      <c r="K76" t="s">
        <v>117</v>
      </c>
      <c r="L76">
        <v>1346</v>
      </c>
      <c r="N76">
        <v>1009</v>
      </c>
      <c r="O76" t="s">
        <v>118</v>
      </c>
      <c r="P76" t="s">
        <v>118</v>
      </c>
      <c r="Q76">
        <v>1</v>
      </c>
      <c r="X76">
        <v>30</v>
      </c>
      <c r="Y76">
        <v>15.25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30</v>
      </c>
      <c r="AH76">
        <v>2</v>
      </c>
      <c r="AI76">
        <v>39579587</v>
      </c>
      <c r="AJ76">
        <v>72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ROW(Source!A44)</f>
        <v>44</v>
      </c>
      <c r="B77">
        <v>39579621</v>
      </c>
      <c r="C77">
        <v>39579608</v>
      </c>
      <c r="D77">
        <v>37070495</v>
      </c>
      <c r="E77">
        <v>1</v>
      </c>
      <c r="F77">
        <v>1</v>
      </c>
      <c r="G77">
        <v>1</v>
      </c>
      <c r="H77">
        <v>1</v>
      </c>
      <c r="I77" t="s">
        <v>594</v>
      </c>
      <c r="J77" t="s">
        <v>3</v>
      </c>
      <c r="K77" t="s">
        <v>595</v>
      </c>
      <c r="L77">
        <v>1191</v>
      </c>
      <c r="N77">
        <v>1013</v>
      </c>
      <c r="O77" t="s">
        <v>519</v>
      </c>
      <c r="P77" t="s">
        <v>519</v>
      </c>
      <c r="Q77">
        <v>1</v>
      </c>
      <c r="X77">
        <v>234.92</v>
      </c>
      <c r="Y77">
        <v>0</v>
      </c>
      <c r="Z77">
        <v>0</v>
      </c>
      <c r="AA77">
        <v>0</v>
      </c>
      <c r="AB77">
        <v>8.74</v>
      </c>
      <c r="AC77">
        <v>0</v>
      </c>
      <c r="AD77">
        <v>1</v>
      </c>
      <c r="AE77">
        <v>1</v>
      </c>
      <c r="AF77" t="s">
        <v>79</v>
      </c>
      <c r="AG77">
        <v>270.15799999999996</v>
      </c>
      <c r="AH77">
        <v>2</v>
      </c>
      <c r="AI77">
        <v>39579609</v>
      </c>
      <c r="AJ77">
        <v>73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ROW(Source!A44)</f>
        <v>44</v>
      </c>
      <c r="B78">
        <v>39579622</v>
      </c>
      <c r="C78">
        <v>39579608</v>
      </c>
      <c r="D78">
        <v>37064876</v>
      </c>
      <c r="E78">
        <v>1</v>
      </c>
      <c r="F78">
        <v>1</v>
      </c>
      <c r="G78">
        <v>1</v>
      </c>
      <c r="H78">
        <v>1</v>
      </c>
      <c r="I78" t="s">
        <v>520</v>
      </c>
      <c r="J78" t="s">
        <v>3</v>
      </c>
      <c r="K78" t="s">
        <v>521</v>
      </c>
      <c r="L78">
        <v>1191</v>
      </c>
      <c r="N78">
        <v>1013</v>
      </c>
      <c r="O78" t="s">
        <v>519</v>
      </c>
      <c r="P78" t="s">
        <v>519</v>
      </c>
      <c r="Q78">
        <v>1</v>
      </c>
      <c r="X78">
        <v>1.73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2</v>
      </c>
      <c r="AF78" t="s">
        <v>78</v>
      </c>
      <c r="AG78">
        <v>2.1625000000000001</v>
      </c>
      <c r="AH78">
        <v>2</v>
      </c>
      <c r="AI78">
        <v>39579610</v>
      </c>
      <c r="AJ78">
        <v>74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ROW(Source!A44)</f>
        <v>44</v>
      </c>
      <c r="B79">
        <v>39579623</v>
      </c>
      <c r="C79">
        <v>39579608</v>
      </c>
      <c r="D79">
        <v>36882055</v>
      </c>
      <c r="E79">
        <v>1</v>
      </c>
      <c r="F79">
        <v>1</v>
      </c>
      <c r="G79">
        <v>1</v>
      </c>
      <c r="H79">
        <v>2</v>
      </c>
      <c r="I79" t="s">
        <v>596</v>
      </c>
      <c r="J79" t="s">
        <v>597</v>
      </c>
      <c r="K79" t="s">
        <v>598</v>
      </c>
      <c r="L79">
        <v>1368</v>
      </c>
      <c r="N79">
        <v>1011</v>
      </c>
      <c r="O79" t="s">
        <v>525</v>
      </c>
      <c r="P79" t="s">
        <v>525</v>
      </c>
      <c r="Q79">
        <v>1</v>
      </c>
      <c r="X79">
        <v>0.02</v>
      </c>
      <c r="Y79">
        <v>0</v>
      </c>
      <c r="Z79">
        <v>83.43</v>
      </c>
      <c r="AA79">
        <v>13.5</v>
      </c>
      <c r="AB79">
        <v>0</v>
      </c>
      <c r="AC79">
        <v>0</v>
      </c>
      <c r="AD79">
        <v>1</v>
      </c>
      <c r="AE79">
        <v>0</v>
      </c>
      <c r="AF79" t="s">
        <v>78</v>
      </c>
      <c r="AG79">
        <v>2.5000000000000001E-2</v>
      </c>
      <c r="AH79">
        <v>2</v>
      </c>
      <c r="AI79">
        <v>39579611</v>
      </c>
      <c r="AJ79">
        <v>75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ROW(Source!A44)</f>
        <v>44</v>
      </c>
      <c r="B80">
        <v>39579624</v>
      </c>
      <c r="C80">
        <v>39579608</v>
      </c>
      <c r="D80">
        <v>36882157</v>
      </c>
      <c r="E80">
        <v>1</v>
      </c>
      <c r="F80">
        <v>1</v>
      </c>
      <c r="G80">
        <v>1</v>
      </c>
      <c r="H80">
        <v>2</v>
      </c>
      <c r="I80" t="s">
        <v>599</v>
      </c>
      <c r="J80" t="s">
        <v>600</v>
      </c>
      <c r="K80" t="s">
        <v>601</v>
      </c>
      <c r="L80">
        <v>1368</v>
      </c>
      <c r="N80">
        <v>1011</v>
      </c>
      <c r="O80" t="s">
        <v>525</v>
      </c>
      <c r="P80" t="s">
        <v>525</v>
      </c>
      <c r="Q80">
        <v>1</v>
      </c>
      <c r="X80">
        <v>0.01</v>
      </c>
      <c r="Y80">
        <v>0</v>
      </c>
      <c r="Z80">
        <v>88.01</v>
      </c>
      <c r="AA80">
        <v>11.6</v>
      </c>
      <c r="AB80">
        <v>0</v>
      </c>
      <c r="AC80">
        <v>0</v>
      </c>
      <c r="AD80">
        <v>1</v>
      </c>
      <c r="AE80">
        <v>0</v>
      </c>
      <c r="AF80" t="s">
        <v>78</v>
      </c>
      <c r="AG80">
        <v>1.2500000000000001E-2</v>
      </c>
      <c r="AH80">
        <v>2</v>
      </c>
      <c r="AI80">
        <v>39579612</v>
      </c>
      <c r="AJ80">
        <v>76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ROW(Source!A44)</f>
        <v>44</v>
      </c>
      <c r="B81">
        <v>39579625</v>
      </c>
      <c r="C81">
        <v>39579608</v>
      </c>
      <c r="D81">
        <v>36882621</v>
      </c>
      <c r="E81">
        <v>1</v>
      </c>
      <c r="F81">
        <v>1</v>
      </c>
      <c r="G81">
        <v>1</v>
      </c>
      <c r="H81">
        <v>2</v>
      </c>
      <c r="I81" t="s">
        <v>602</v>
      </c>
      <c r="J81" t="s">
        <v>603</v>
      </c>
      <c r="K81" t="s">
        <v>604</v>
      </c>
      <c r="L81">
        <v>1368</v>
      </c>
      <c r="N81">
        <v>1011</v>
      </c>
      <c r="O81" t="s">
        <v>525</v>
      </c>
      <c r="P81" t="s">
        <v>525</v>
      </c>
      <c r="Q81">
        <v>1</v>
      </c>
      <c r="X81">
        <v>1.69</v>
      </c>
      <c r="Y81">
        <v>0</v>
      </c>
      <c r="Z81">
        <v>12.39</v>
      </c>
      <c r="AA81">
        <v>10.06</v>
      </c>
      <c r="AB81">
        <v>0</v>
      </c>
      <c r="AC81">
        <v>0</v>
      </c>
      <c r="AD81">
        <v>1</v>
      </c>
      <c r="AE81">
        <v>0</v>
      </c>
      <c r="AF81" t="s">
        <v>78</v>
      </c>
      <c r="AG81">
        <v>2.1124999999999998</v>
      </c>
      <c r="AH81">
        <v>2</v>
      </c>
      <c r="AI81">
        <v>39579613</v>
      </c>
      <c r="AJ81">
        <v>77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ROW(Source!A44)</f>
        <v>44</v>
      </c>
      <c r="B82">
        <v>39579626</v>
      </c>
      <c r="C82">
        <v>39579608</v>
      </c>
      <c r="D82">
        <v>36883554</v>
      </c>
      <c r="E82">
        <v>1</v>
      </c>
      <c r="F82">
        <v>1</v>
      </c>
      <c r="G82">
        <v>1</v>
      </c>
      <c r="H82">
        <v>2</v>
      </c>
      <c r="I82" t="s">
        <v>526</v>
      </c>
      <c r="J82" t="s">
        <v>527</v>
      </c>
      <c r="K82" t="s">
        <v>528</v>
      </c>
      <c r="L82">
        <v>1368</v>
      </c>
      <c r="N82">
        <v>1011</v>
      </c>
      <c r="O82" t="s">
        <v>525</v>
      </c>
      <c r="P82" t="s">
        <v>525</v>
      </c>
      <c r="Q82">
        <v>1</v>
      </c>
      <c r="X82">
        <v>0.01</v>
      </c>
      <c r="Y82">
        <v>0</v>
      </c>
      <c r="Z82">
        <v>65.709999999999994</v>
      </c>
      <c r="AA82">
        <v>11.6</v>
      </c>
      <c r="AB82">
        <v>0</v>
      </c>
      <c r="AC82">
        <v>0</v>
      </c>
      <c r="AD82">
        <v>1</v>
      </c>
      <c r="AE82">
        <v>0</v>
      </c>
      <c r="AF82" t="s">
        <v>78</v>
      </c>
      <c r="AG82">
        <v>1.2500000000000001E-2</v>
      </c>
      <c r="AH82">
        <v>2</v>
      </c>
      <c r="AI82">
        <v>39579614</v>
      </c>
      <c r="AJ82">
        <v>78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ROW(Source!A44)</f>
        <v>44</v>
      </c>
      <c r="B83">
        <v>39579627</v>
      </c>
      <c r="C83">
        <v>39579608</v>
      </c>
      <c r="D83">
        <v>36801792</v>
      </c>
      <c r="E83">
        <v>1</v>
      </c>
      <c r="F83">
        <v>1</v>
      </c>
      <c r="G83">
        <v>1</v>
      </c>
      <c r="H83">
        <v>3</v>
      </c>
      <c r="I83" t="s">
        <v>564</v>
      </c>
      <c r="J83" t="s">
        <v>565</v>
      </c>
      <c r="K83" t="s">
        <v>566</v>
      </c>
      <c r="L83">
        <v>1339</v>
      </c>
      <c r="N83">
        <v>1007</v>
      </c>
      <c r="O83" t="s">
        <v>86</v>
      </c>
      <c r="P83" t="s">
        <v>86</v>
      </c>
      <c r="Q83">
        <v>1</v>
      </c>
      <c r="X83">
        <v>0.44</v>
      </c>
      <c r="Y83">
        <v>2.44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3</v>
      </c>
      <c r="AG83">
        <v>0.44</v>
      </c>
      <c r="AH83">
        <v>2</v>
      </c>
      <c r="AI83">
        <v>39579615</v>
      </c>
      <c r="AJ83">
        <v>79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ROW(Source!A44)</f>
        <v>44</v>
      </c>
      <c r="B84">
        <v>39579628</v>
      </c>
      <c r="C84">
        <v>39579608</v>
      </c>
      <c r="D84">
        <v>36807549</v>
      </c>
      <c r="E84">
        <v>1</v>
      </c>
      <c r="F84">
        <v>1</v>
      </c>
      <c r="G84">
        <v>1</v>
      </c>
      <c r="H84">
        <v>3</v>
      </c>
      <c r="I84" t="s">
        <v>605</v>
      </c>
      <c r="J84" t="s">
        <v>606</v>
      </c>
      <c r="K84" t="s">
        <v>607</v>
      </c>
      <c r="L84">
        <v>1348</v>
      </c>
      <c r="N84">
        <v>1009</v>
      </c>
      <c r="O84" t="s">
        <v>105</v>
      </c>
      <c r="P84" t="s">
        <v>105</v>
      </c>
      <c r="Q84">
        <v>1000</v>
      </c>
      <c r="X84">
        <v>8.9999999999999993E-3</v>
      </c>
      <c r="Y84">
        <v>6513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3</v>
      </c>
      <c r="AG84">
        <v>8.9999999999999993E-3</v>
      </c>
      <c r="AH84">
        <v>2</v>
      </c>
      <c r="AI84">
        <v>39579616</v>
      </c>
      <c r="AJ84">
        <v>80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ROW(Source!A44)</f>
        <v>44</v>
      </c>
      <c r="B85">
        <v>39579629</v>
      </c>
      <c r="C85">
        <v>39579608</v>
      </c>
      <c r="D85">
        <v>36821594</v>
      </c>
      <c r="E85">
        <v>1</v>
      </c>
      <c r="F85">
        <v>1</v>
      </c>
      <c r="G85">
        <v>1</v>
      </c>
      <c r="H85">
        <v>3</v>
      </c>
      <c r="I85" t="s">
        <v>608</v>
      </c>
      <c r="J85" t="s">
        <v>609</v>
      </c>
      <c r="K85" t="s">
        <v>610</v>
      </c>
      <c r="L85">
        <v>1327</v>
      </c>
      <c r="N85">
        <v>1005</v>
      </c>
      <c r="O85" t="s">
        <v>154</v>
      </c>
      <c r="P85" t="s">
        <v>154</v>
      </c>
      <c r="Q85">
        <v>1</v>
      </c>
      <c r="X85">
        <v>102</v>
      </c>
      <c r="Y85">
        <v>201.9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102</v>
      </c>
      <c r="AH85">
        <v>2</v>
      </c>
      <c r="AI85">
        <v>39579617</v>
      </c>
      <c r="AJ85">
        <v>81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ROW(Source!A44)</f>
        <v>44</v>
      </c>
      <c r="B86">
        <v>39579630</v>
      </c>
      <c r="C86">
        <v>39579608</v>
      </c>
      <c r="D86">
        <v>36797275</v>
      </c>
      <c r="E86">
        <v>17</v>
      </c>
      <c r="F86">
        <v>1</v>
      </c>
      <c r="G86">
        <v>1</v>
      </c>
      <c r="H86">
        <v>3</v>
      </c>
      <c r="I86" t="s">
        <v>773</v>
      </c>
      <c r="J86" t="s">
        <v>3</v>
      </c>
      <c r="K86" t="s">
        <v>774</v>
      </c>
      <c r="L86">
        <v>1339</v>
      </c>
      <c r="N86">
        <v>1007</v>
      </c>
      <c r="O86" t="s">
        <v>86</v>
      </c>
      <c r="P86" t="s">
        <v>86</v>
      </c>
      <c r="Q86">
        <v>1</v>
      </c>
      <c r="X86">
        <v>0.01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 t="s">
        <v>3</v>
      </c>
      <c r="AG86">
        <v>0.01</v>
      </c>
      <c r="AH86">
        <v>3</v>
      </c>
      <c r="AI86">
        <v>-1</v>
      </c>
      <c r="AJ86" t="s">
        <v>3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ROW(Source!A44)</f>
        <v>44</v>
      </c>
      <c r="B87">
        <v>39579631</v>
      </c>
      <c r="C87">
        <v>39579608</v>
      </c>
      <c r="D87">
        <v>36837090</v>
      </c>
      <c r="E87">
        <v>1</v>
      </c>
      <c r="F87">
        <v>1</v>
      </c>
      <c r="G87">
        <v>1</v>
      </c>
      <c r="H87">
        <v>3</v>
      </c>
      <c r="I87" t="s">
        <v>611</v>
      </c>
      <c r="J87" t="s">
        <v>612</v>
      </c>
      <c r="K87" t="s">
        <v>613</v>
      </c>
      <c r="L87">
        <v>1346</v>
      </c>
      <c r="N87">
        <v>1009</v>
      </c>
      <c r="O87" t="s">
        <v>118</v>
      </c>
      <c r="P87" t="s">
        <v>118</v>
      </c>
      <c r="Q87">
        <v>1</v>
      </c>
      <c r="X87">
        <v>1200</v>
      </c>
      <c r="Y87">
        <v>3.69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1200</v>
      </c>
      <c r="AH87">
        <v>2</v>
      </c>
      <c r="AI87">
        <v>39579618</v>
      </c>
      <c r="AJ87">
        <v>82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ROW(Source!A44)</f>
        <v>44</v>
      </c>
      <c r="B88">
        <v>39579632</v>
      </c>
      <c r="C88">
        <v>39579608</v>
      </c>
      <c r="D88">
        <v>36797079</v>
      </c>
      <c r="E88">
        <v>17</v>
      </c>
      <c r="F88">
        <v>1</v>
      </c>
      <c r="G88">
        <v>1</v>
      </c>
      <c r="H88">
        <v>3</v>
      </c>
      <c r="I88" t="s">
        <v>121</v>
      </c>
      <c r="J88" t="s">
        <v>3</v>
      </c>
      <c r="K88" t="s">
        <v>122</v>
      </c>
      <c r="L88">
        <v>1348</v>
      </c>
      <c r="N88">
        <v>1009</v>
      </c>
      <c r="O88" t="s">
        <v>105</v>
      </c>
      <c r="P88" t="s">
        <v>105</v>
      </c>
      <c r="Q88">
        <v>1000</v>
      </c>
      <c r="X88">
        <v>0</v>
      </c>
      <c r="Y88">
        <v>0</v>
      </c>
      <c r="Z88">
        <v>0</v>
      </c>
      <c r="AA88">
        <v>0</v>
      </c>
      <c r="AB88">
        <v>0</v>
      </c>
      <c r="AC88">
        <v>1</v>
      </c>
      <c r="AD88">
        <v>0</v>
      </c>
      <c r="AE88">
        <v>0</v>
      </c>
      <c r="AF88" t="s">
        <v>3</v>
      </c>
      <c r="AG88">
        <v>0</v>
      </c>
      <c r="AH88">
        <v>2</v>
      </c>
      <c r="AI88">
        <v>39579620</v>
      </c>
      <c r="AJ88">
        <v>84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ROW(Source!A47)</f>
        <v>47</v>
      </c>
      <c r="B89">
        <v>39579638</v>
      </c>
      <c r="C89">
        <v>39579637</v>
      </c>
      <c r="D89">
        <v>37070202</v>
      </c>
      <c r="E89">
        <v>1</v>
      </c>
      <c r="F89">
        <v>1</v>
      </c>
      <c r="G89">
        <v>1</v>
      </c>
      <c r="H89">
        <v>1</v>
      </c>
      <c r="I89" t="s">
        <v>614</v>
      </c>
      <c r="J89" t="s">
        <v>3</v>
      </c>
      <c r="K89" t="s">
        <v>615</v>
      </c>
      <c r="L89">
        <v>1191</v>
      </c>
      <c r="N89">
        <v>1013</v>
      </c>
      <c r="O89" t="s">
        <v>519</v>
      </c>
      <c r="P89" t="s">
        <v>519</v>
      </c>
      <c r="Q89">
        <v>1</v>
      </c>
      <c r="X89">
        <v>23.82</v>
      </c>
      <c r="Y89">
        <v>0</v>
      </c>
      <c r="Z89">
        <v>0</v>
      </c>
      <c r="AA89">
        <v>0</v>
      </c>
      <c r="AB89">
        <v>9.51</v>
      </c>
      <c r="AC89">
        <v>0</v>
      </c>
      <c r="AD89">
        <v>1</v>
      </c>
      <c r="AE89">
        <v>1</v>
      </c>
      <c r="AF89" t="s">
        <v>79</v>
      </c>
      <c r="AG89">
        <v>27.392999999999997</v>
      </c>
      <c r="AH89">
        <v>2</v>
      </c>
      <c r="AI89">
        <v>39579638</v>
      </c>
      <c r="AJ89">
        <v>85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ROW(Source!A47)</f>
        <v>47</v>
      </c>
      <c r="B90">
        <v>39579639</v>
      </c>
      <c r="C90">
        <v>39579637</v>
      </c>
      <c r="D90">
        <v>37064876</v>
      </c>
      <c r="E90">
        <v>1</v>
      </c>
      <c r="F90">
        <v>1</v>
      </c>
      <c r="G90">
        <v>1</v>
      </c>
      <c r="H90">
        <v>1</v>
      </c>
      <c r="I90" t="s">
        <v>520</v>
      </c>
      <c r="J90" t="s">
        <v>3</v>
      </c>
      <c r="K90" t="s">
        <v>521</v>
      </c>
      <c r="L90">
        <v>1191</v>
      </c>
      <c r="N90">
        <v>1013</v>
      </c>
      <c r="O90" t="s">
        <v>519</v>
      </c>
      <c r="P90" t="s">
        <v>519</v>
      </c>
      <c r="Q90">
        <v>1</v>
      </c>
      <c r="X90">
        <v>0.11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2</v>
      </c>
      <c r="AF90" t="s">
        <v>78</v>
      </c>
      <c r="AG90">
        <v>0.13750000000000001</v>
      </c>
      <c r="AH90">
        <v>2</v>
      </c>
      <c r="AI90">
        <v>39579639</v>
      </c>
      <c r="AJ90">
        <v>86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ROW(Source!A47)</f>
        <v>47</v>
      </c>
      <c r="B91">
        <v>39579640</v>
      </c>
      <c r="C91">
        <v>39579637</v>
      </c>
      <c r="D91">
        <v>36882452</v>
      </c>
      <c r="E91">
        <v>1</v>
      </c>
      <c r="F91">
        <v>1</v>
      </c>
      <c r="G91">
        <v>1</v>
      </c>
      <c r="H91">
        <v>2</v>
      </c>
      <c r="I91" t="s">
        <v>522</v>
      </c>
      <c r="J91" t="s">
        <v>523</v>
      </c>
      <c r="K91" t="s">
        <v>524</v>
      </c>
      <c r="L91">
        <v>1368</v>
      </c>
      <c r="N91">
        <v>1011</v>
      </c>
      <c r="O91" t="s">
        <v>525</v>
      </c>
      <c r="P91" t="s">
        <v>525</v>
      </c>
      <c r="Q91">
        <v>1</v>
      </c>
      <c r="X91">
        <v>0.05</v>
      </c>
      <c r="Y91">
        <v>0</v>
      </c>
      <c r="Z91">
        <v>31.26</v>
      </c>
      <c r="AA91">
        <v>13.5</v>
      </c>
      <c r="AB91">
        <v>0</v>
      </c>
      <c r="AC91">
        <v>0</v>
      </c>
      <c r="AD91">
        <v>1</v>
      </c>
      <c r="AE91">
        <v>0</v>
      </c>
      <c r="AF91" t="s">
        <v>78</v>
      </c>
      <c r="AG91">
        <v>6.25E-2</v>
      </c>
      <c r="AH91">
        <v>2</v>
      </c>
      <c r="AI91">
        <v>39579640</v>
      </c>
      <c r="AJ91">
        <v>87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ROW(Source!A47)</f>
        <v>47</v>
      </c>
      <c r="B92">
        <v>39579641</v>
      </c>
      <c r="C92">
        <v>39579637</v>
      </c>
      <c r="D92">
        <v>36883554</v>
      </c>
      <c r="E92">
        <v>1</v>
      </c>
      <c r="F92">
        <v>1</v>
      </c>
      <c r="G92">
        <v>1</v>
      </c>
      <c r="H92">
        <v>2</v>
      </c>
      <c r="I92" t="s">
        <v>526</v>
      </c>
      <c r="J92" t="s">
        <v>527</v>
      </c>
      <c r="K92" t="s">
        <v>528</v>
      </c>
      <c r="L92">
        <v>1368</v>
      </c>
      <c r="N92">
        <v>1011</v>
      </c>
      <c r="O92" t="s">
        <v>525</v>
      </c>
      <c r="P92" t="s">
        <v>525</v>
      </c>
      <c r="Q92">
        <v>1</v>
      </c>
      <c r="X92">
        <v>0.06</v>
      </c>
      <c r="Y92">
        <v>0</v>
      </c>
      <c r="Z92">
        <v>65.709999999999994</v>
      </c>
      <c r="AA92">
        <v>11.6</v>
      </c>
      <c r="AB92">
        <v>0</v>
      </c>
      <c r="AC92">
        <v>0</v>
      </c>
      <c r="AD92">
        <v>1</v>
      </c>
      <c r="AE92">
        <v>0</v>
      </c>
      <c r="AF92" t="s">
        <v>78</v>
      </c>
      <c r="AG92">
        <v>7.4999999999999997E-2</v>
      </c>
      <c r="AH92">
        <v>2</v>
      </c>
      <c r="AI92">
        <v>39579641</v>
      </c>
      <c r="AJ92">
        <v>88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ROW(Source!A47)</f>
        <v>47</v>
      </c>
      <c r="B93">
        <v>39579642</v>
      </c>
      <c r="C93">
        <v>39579637</v>
      </c>
      <c r="D93">
        <v>36797146</v>
      </c>
      <c r="E93">
        <v>17</v>
      </c>
      <c r="F93">
        <v>1</v>
      </c>
      <c r="G93">
        <v>1</v>
      </c>
      <c r="H93">
        <v>3</v>
      </c>
      <c r="I93" t="s">
        <v>89</v>
      </c>
      <c r="J93" t="s">
        <v>3</v>
      </c>
      <c r="K93" t="s">
        <v>90</v>
      </c>
      <c r="L93">
        <v>1339</v>
      </c>
      <c r="N93">
        <v>1007</v>
      </c>
      <c r="O93" t="s">
        <v>86</v>
      </c>
      <c r="P93" t="s">
        <v>86</v>
      </c>
      <c r="Q93">
        <v>1</v>
      </c>
      <c r="X93">
        <v>0.16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3</v>
      </c>
      <c r="AG93">
        <v>0.16</v>
      </c>
      <c r="AH93">
        <v>2</v>
      </c>
      <c r="AI93">
        <v>39579642</v>
      </c>
      <c r="AJ93">
        <v>89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ROW(Source!A47)</f>
        <v>47</v>
      </c>
      <c r="B94">
        <v>39579643</v>
      </c>
      <c r="C94">
        <v>39579637</v>
      </c>
      <c r="D94">
        <v>36797260</v>
      </c>
      <c r="E94">
        <v>17</v>
      </c>
      <c r="F94">
        <v>1</v>
      </c>
      <c r="G94">
        <v>1</v>
      </c>
      <c r="H94">
        <v>3</v>
      </c>
      <c r="I94" t="s">
        <v>135</v>
      </c>
      <c r="J94" t="s">
        <v>3</v>
      </c>
      <c r="K94" t="s">
        <v>136</v>
      </c>
      <c r="L94">
        <v>1301</v>
      </c>
      <c r="N94">
        <v>1003</v>
      </c>
      <c r="O94" t="s">
        <v>131</v>
      </c>
      <c r="P94" t="s">
        <v>131</v>
      </c>
      <c r="Q94">
        <v>1</v>
      </c>
      <c r="X94">
        <v>101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 t="s">
        <v>3</v>
      </c>
      <c r="AG94">
        <v>101</v>
      </c>
      <c r="AH94">
        <v>2</v>
      </c>
      <c r="AI94">
        <v>39579643</v>
      </c>
      <c r="AJ94">
        <v>91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ROW(Source!A52)</f>
        <v>52</v>
      </c>
      <c r="B95">
        <v>39579665</v>
      </c>
      <c r="C95">
        <v>39579664</v>
      </c>
      <c r="D95">
        <v>37064878</v>
      </c>
      <c r="E95">
        <v>1</v>
      </c>
      <c r="F95">
        <v>1</v>
      </c>
      <c r="G95">
        <v>1</v>
      </c>
      <c r="H95">
        <v>1</v>
      </c>
      <c r="I95" t="s">
        <v>517</v>
      </c>
      <c r="J95" t="s">
        <v>3</v>
      </c>
      <c r="K95" t="s">
        <v>518</v>
      </c>
      <c r="L95">
        <v>1191</v>
      </c>
      <c r="N95">
        <v>1013</v>
      </c>
      <c r="O95" t="s">
        <v>519</v>
      </c>
      <c r="P95" t="s">
        <v>519</v>
      </c>
      <c r="Q95">
        <v>1</v>
      </c>
      <c r="X95">
        <v>102.46</v>
      </c>
      <c r="Y95">
        <v>0</v>
      </c>
      <c r="Z95">
        <v>0</v>
      </c>
      <c r="AA95">
        <v>0</v>
      </c>
      <c r="AB95">
        <v>9.4</v>
      </c>
      <c r="AC95">
        <v>0</v>
      </c>
      <c r="AD95">
        <v>1</v>
      </c>
      <c r="AE95">
        <v>1</v>
      </c>
      <c r="AF95" t="s">
        <v>79</v>
      </c>
      <c r="AG95">
        <v>117.82899999999998</v>
      </c>
      <c r="AH95">
        <v>2</v>
      </c>
      <c r="AI95">
        <v>39579665</v>
      </c>
      <c r="AJ95">
        <v>93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ROW(Source!A52)</f>
        <v>52</v>
      </c>
      <c r="B96">
        <v>39579666</v>
      </c>
      <c r="C96">
        <v>39579664</v>
      </c>
      <c r="D96">
        <v>37064876</v>
      </c>
      <c r="E96">
        <v>1</v>
      </c>
      <c r="F96">
        <v>1</v>
      </c>
      <c r="G96">
        <v>1</v>
      </c>
      <c r="H96">
        <v>1</v>
      </c>
      <c r="I96" t="s">
        <v>520</v>
      </c>
      <c r="J96" t="s">
        <v>3</v>
      </c>
      <c r="K96" t="s">
        <v>521</v>
      </c>
      <c r="L96">
        <v>1191</v>
      </c>
      <c r="N96">
        <v>1013</v>
      </c>
      <c r="O96" t="s">
        <v>519</v>
      </c>
      <c r="P96" t="s">
        <v>519</v>
      </c>
      <c r="Q96">
        <v>1</v>
      </c>
      <c r="X96">
        <v>5.34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78</v>
      </c>
      <c r="AG96">
        <v>6.6749999999999998</v>
      </c>
      <c r="AH96">
        <v>2</v>
      </c>
      <c r="AI96">
        <v>39579666</v>
      </c>
      <c r="AJ96">
        <v>94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ROW(Source!A52)</f>
        <v>52</v>
      </c>
      <c r="B97">
        <v>39579667</v>
      </c>
      <c r="C97">
        <v>39579664</v>
      </c>
      <c r="D97">
        <v>36882452</v>
      </c>
      <c r="E97">
        <v>1</v>
      </c>
      <c r="F97">
        <v>1</v>
      </c>
      <c r="G97">
        <v>1</v>
      </c>
      <c r="H97">
        <v>2</v>
      </c>
      <c r="I97" t="s">
        <v>522</v>
      </c>
      <c r="J97" t="s">
        <v>523</v>
      </c>
      <c r="K97" t="s">
        <v>524</v>
      </c>
      <c r="L97">
        <v>1368</v>
      </c>
      <c r="N97">
        <v>1011</v>
      </c>
      <c r="O97" t="s">
        <v>525</v>
      </c>
      <c r="P97" t="s">
        <v>525</v>
      </c>
      <c r="Q97">
        <v>1</v>
      </c>
      <c r="X97">
        <v>0.76</v>
      </c>
      <c r="Y97">
        <v>0</v>
      </c>
      <c r="Z97">
        <v>31.26</v>
      </c>
      <c r="AA97">
        <v>13.5</v>
      </c>
      <c r="AB97">
        <v>0</v>
      </c>
      <c r="AC97">
        <v>0</v>
      </c>
      <c r="AD97">
        <v>1</v>
      </c>
      <c r="AE97">
        <v>0</v>
      </c>
      <c r="AF97" t="s">
        <v>78</v>
      </c>
      <c r="AG97">
        <v>0.95</v>
      </c>
      <c r="AH97">
        <v>2</v>
      </c>
      <c r="AI97">
        <v>39579667</v>
      </c>
      <c r="AJ97">
        <v>95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ROW(Source!A52)</f>
        <v>52</v>
      </c>
      <c r="B98">
        <v>39579668</v>
      </c>
      <c r="C98">
        <v>39579664</v>
      </c>
      <c r="D98">
        <v>36883554</v>
      </c>
      <c r="E98">
        <v>1</v>
      </c>
      <c r="F98">
        <v>1</v>
      </c>
      <c r="G98">
        <v>1</v>
      </c>
      <c r="H98">
        <v>2</v>
      </c>
      <c r="I98" t="s">
        <v>526</v>
      </c>
      <c r="J98" t="s">
        <v>527</v>
      </c>
      <c r="K98" t="s">
        <v>528</v>
      </c>
      <c r="L98">
        <v>1368</v>
      </c>
      <c r="N98">
        <v>1011</v>
      </c>
      <c r="O98" t="s">
        <v>525</v>
      </c>
      <c r="P98" t="s">
        <v>525</v>
      </c>
      <c r="Q98">
        <v>1</v>
      </c>
      <c r="X98">
        <v>4.58</v>
      </c>
      <c r="Y98">
        <v>0</v>
      </c>
      <c r="Z98">
        <v>65.709999999999994</v>
      </c>
      <c r="AA98">
        <v>11.6</v>
      </c>
      <c r="AB98">
        <v>0</v>
      </c>
      <c r="AC98">
        <v>0</v>
      </c>
      <c r="AD98">
        <v>1</v>
      </c>
      <c r="AE98">
        <v>0</v>
      </c>
      <c r="AF98" t="s">
        <v>78</v>
      </c>
      <c r="AG98">
        <v>5.7249999999999996</v>
      </c>
      <c r="AH98">
        <v>2</v>
      </c>
      <c r="AI98">
        <v>39579668</v>
      </c>
      <c r="AJ98">
        <v>96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ROW(Source!A52)</f>
        <v>52</v>
      </c>
      <c r="B99">
        <v>39579669</v>
      </c>
      <c r="C99">
        <v>39579664</v>
      </c>
      <c r="D99">
        <v>36801649</v>
      </c>
      <c r="E99">
        <v>1</v>
      </c>
      <c r="F99">
        <v>1</v>
      </c>
      <c r="G99">
        <v>1</v>
      </c>
      <c r="H99">
        <v>3</v>
      </c>
      <c r="I99" t="s">
        <v>529</v>
      </c>
      <c r="J99" t="s">
        <v>530</v>
      </c>
      <c r="K99" t="s">
        <v>531</v>
      </c>
      <c r="L99">
        <v>1327</v>
      </c>
      <c r="N99">
        <v>1005</v>
      </c>
      <c r="O99" t="s">
        <v>154</v>
      </c>
      <c r="P99" t="s">
        <v>154</v>
      </c>
      <c r="Q99">
        <v>1</v>
      </c>
      <c r="X99">
        <v>103</v>
      </c>
      <c r="Y99">
        <v>51.8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103</v>
      </c>
      <c r="AH99">
        <v>2</v>
      </c>
      <c r="AI99">
        <v>39579669</v>
      </c>
      <c r="AJ99">
        <v>97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ROW(Source!A53)</f>
        <v>53</v>
      </c>
      <c r="B100">
        <v>39579655</v>
      </c>
      <c r="C100">
        <v>39579654</v>
      </c>
      <c r="D100">
        <v>37071037</v>
      </c>
      <c r="E100">
        <v>1</v>
      </c>
      <c r="F100">
        <v>1</v>
      </c>
      <c r="G100">
        <v>1</v>
      </c>
      <c r="H100">
        <v>1</v>
      </c>
      <c r="I100" t="s">
        <v>616</v>
      </c>
      <c r="J100" t="s">
        <v>3</v>
      </c>
      <c r="K100" t="s">
        <v>617</v>
      </c>
      <c r="L100">
        <v>1191</v>
      </c>
      <c r="N100">
        <v>1013</v>
      </c>
      <c r="O100" t="s">
        <v>519</v>
      </c>
      <c r="P100" t="s">
        <v>519</v>
      </c>
      <c r="Q100">
        <v>1</v>
      </c>
      <c r="X100">
        <v>16.32</v>
      </c>
      <c r="Y100">
        <v>0</v>
      </c>
      <c r="Z100">
        <v>0</v>
      </c>
      <c r="AA100">
        <v>0</v>
      </c>
      <c r="AB100">
        <v>9.6199999999999992</v>
      </c>
      <c r="AC100">
        <v>0</v>
      </c>
      <c r="AD100">
        <v>1</v>
      </c>
      <c r="AE100">
        <v>1</v>
      </c>
      <c r="AF100" t="s">
        <v>79</v>
      </c>
      <c r="AG100">
        <v>18.767999999999997</v>
      </c>
      <c r="AH100">
        <v>2</v>
      </c>
      <c r="AI100">
        <v>39579655</v>
      </c>
      <c r="AJ100">
        <v>98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ROW(Source!A53)</f>
        <v>53</v>
      </c>
      <c r="B101">
        <v>39579656</v>
      </c>
      <c r="C101">
        <v>39579654</v>
      </c>
      <c r="D101">
        <v>37064876</v>
      </c>
      <c r="E101">
        <v>1</v>
      </c>
      <c r="F101">
        <v>1</v>
      </c>
      <c r="G101">
        <v>1</v>
      </c>
      <c r="H101">
        <v>1</v>
      </c>
      <c r="I101" t="s">
        <v>520</v>
      </c>
      <c r="J101" t="s">
        <v>3</v>
      </c>
      <c r="K101" t="s">
        <v>521</v>
      </c>
      <c r="L101">
        <v>1191</v>
      </c>
      <c r="N101">
        <v>1013</v>
      </c>
      <c r="O101" t="s">
        <v>519</v>
      </c>
      <c r="P101" t="s">
        <v>519</v>
      </c>
      <c r="Q101">
        <v>1</v>
      </c>
      <c r="X101">
        <v>0.03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2</v>
      </c>
      <c r="AF101" t="s">
        <v>78</v>
      </c>
      <c r="AG101">
        <v>3.7499999999999999E-2</v>
      </c>
      <c r="AH101">
        <v>2</v>
      </c>
      <c r="AI101">
        <v>39579656</v>
      </c>
      <c r="AJ101">
        <v>99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ROW(Source!A53)</f>
        <v>53</v>
      </c>
      <c r="B102">
        <v>39579657</v>
      </c>
      <c r="C102">
        <v>39579654</v>
      </c>
      <c r="D102">
        <v>36882452</v>
      </c>
      <c r="E102">
        <v>1</v>
      </c>
      <c r="F102">
        <v>1</v>
      </c>
      <c r="G102">
        <v>1</v>
      </c>
      <c r="H102">
        <v>2</v>
      </c>
      <c r="I102" t="s">
        <v>522</v>
      </c>
      <c r="J102" t="s">
        <v>523</v>
      </c>
      <c r="K102" t="s">
        <v>524</v>
      </c>
      <c r="L102">
        <v>1368</v>
      </c>
      <c r="N102">
        <v>1011</v>
      </c>
      <c r="O102" t="s">
        <v>525</v>
      </c>
      <c r="P102" t="s">
        <v>525</v>
      </c>
      <c r="Q102">
        <v>1</v>
      </c>
      <c r="X102">
        <v>0.01</v>
      </c>
      <c r="Y102">
        <v>0</v>
      </c>
      <c r="Z102">
        <v>31.26</v>
      </c>
      <c r="AA102">
        <v>13.5</v>
      </c>
      <c r="AB102">
        <v>0</v>
      </c>
      <c r="AC102">
        <v>0</v>
      </c>
      <c r="AD102">
        <v>1</v>
      </c>
      <c r="AE102">
        <v>0</v>
      </c>
      <c r="AF102" t="s">
        <v>78</v>
      </c>
      <c r="AG102">
        <v>1.2500000000000001E-2</v>
      </c>
      <c r="AH102">
        <v>2</v>
      </c>
      <c r="AI102">
        <v>39579657</v>
      </c>
      <c r="AJ102">
        <v>100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ROW(Source!A53)</f>
        <v>53</v>
      </c>
      <c r="B103">
        <v>39579658</v>
      </c>
      <c r="C103">
        <v>39579654</v>
      </c>
      <c r="D103">
        <v>36883554</v>
      </c>
      <c r="E103">
        <v>1</v>
      </c>
      <c r="F103">
        <v>1</v>
      </c>
      <c r="G103">
        <v>1</v>
      </c>
      <c r="H103">
        <v>2</v>
      </c>
      <c r="I103" t="s">
        <v>526</v>
      </c>
      <c r="J103" t="s">
        <v>527</v>
      </c>
      <c r="K103" t="s">
        <v>528</v>
      </c>
      <c r="L103">
        <v>1368</v>
      </c>
      <c r="N103">
        <v>1011</v>
      </c>
      <c r="O103" t="s">
        <v>525</v>
      </c>
      <c r="P103" t="s">
        <v>525</v>
      </c>
      <c r="Q103">
        <v>1</v>
      </c>
      <c r="X103">
        <v>0.02</v>
      </c>
      <c r="Y103">
        <v>0</v>
      </c>
      <c r="Z103">
        <v>65.709999999999994</v>
      </c>
      <c r="AA103">
        <v>11.6</v>
      </c>
      <c r="AB103">
        <v>0</v>
      </c>
      <c r="AC103">
        <v>0</v>
      </c>
      <c r="AD103">
        <v>1</v>
      </c>
      <c r="AE103">
        <v>0</v>
      </c>
      <c r="AF103" t="s">
        <v>78</v>
      </c>
      <c r="AG103">
        <v>2.5000000000000001E-2</v>
      </c>
      <c r="AH103">
        <v>2</v>
      </c>
      <c r="AI103">
        <v>39579658</v>
      </c>
      <c r="AJ103">
        <v>101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ROW(Source!A53)</f>
        <v>53</v>
      </c>
      <c r="B104">
        <v>39579659</v>
      </c>
      <c r="C104">
        <v>39579654</v>
      </c>
      <c r="D104">
        <v>36805524</v>
      </c>
      <c r="E104">
        <v>1</v>
      </c>
      <c r="F104">
        <v>1</v>
      </c>
      <c r="G104">
        <v>1</v>
      </c>
      <c r="H104">
        <v>3</v>
      </c>
      <c r="I104" t="s">
        <v>591</v>
      </c>
      <c r="J104" t="s">
        <v>592</v>
      </c>
      <c r="K104" t="s">
        <v>593</v>
      </c>
      <c r="L104">
        <v>1346</v>
      </c>
      <c r="N104">
        <v>1009</v>
      </c>
      <c r="O104" t="s">
        <v>118</v>
      </c>
      <c r="P104" t="s">
        <v>118</v>
      </c>
      <c r="Q104">
        <v>1</v>
      </c>
      <c r="X104">
        <v>0.2</v>
      </c>
      <c r="Y104">
        <v>1.82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0.2</v>
      </c>
      <c r="AH104">
        <v>2</v>
      </c>
      <c r="AI104">
        <v>39579659</v>
      </c>
      <c r="AJ104">
        <v>102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ROW(Source!A53)</f>
        <v>53</v>
      </c>
      <c r="B105">
        <v>39579660</v>
      </c>
      <c r="C105">
        <v>39579654</v>
      </c>
      <c r="D105">
        <v>36797079</v>
      </c>
      <c r="E105">
        <v>17</v>
      </c>
      <c r="F105">
        <v>1</v>
      </c>
      <c r="G105">
        <v>1</v>
      </c>
      <c r="H105">
        <v>3</v>
      </c>
      <c r="I105" t="s">
        <v>121</v>
      </c>
      <c r="J105" t="s">
        <v>3</v>
      </c>
      <c r="K105" t="s">
        <v>122</v>
      </c>
      <c r="L105">
        <v>1348</v>
      </c>
      <c r="N105">
        <v>1009</v>
      </c>
      <c r="O105" t="s">
        <v>105</v>
      </c>
      <c r="P105" t="s">
        <v>105</v>
      </c>
      <c r="Q105">
        <v>1000</v>
      </c>
      <c r="X105">
        <v>0.02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 t="s">
        <v>3</v>
      </c>
      <c r="AG105">
        <v>0.02</v>
      </c>
      <c r="AH105">
        <v>2</v>
      </c>
      <c r="AI105">
        <v>39579660</v>
      </c>
      <c r="AJ105">
        <v>104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ROW(Source!A56)</f>
        <v>56</v>
      </c>
      <c r="B106">
        <v>39580107</v>
      </c>
      <c r="C106">
        <v>39580095</v>
      </c>
      <c r="D106">
        <v>37065248</v>
      </c>
      <c r="E106">
        <v>1</v>
      </c>
      <c r="F106">
        <v>1</v>
      </c>
      <c r="G106">
        <v>1</v>
      </c>
      <c r="H106">
        <v>1</v>
      </c>
      <c r="I106" t="s">
        <v>536</v>
      </c>
      <c r="J106" t="s">
        <v>3</v>
      </c>
      <c r="K106" t="s">
        <v>537</v>
      </c>
      <c r="L106">
        <v>1191</v>
      </c>
      <c r="N106">
        <v>1013</v>
      </c>
      <c r="O106" t="s">
        <v>519</v>
      </c>
      <c r="P106" t="s">
        <v>519</v>
      </c>
      <c r="Q106">
        <v>1</v>
      </c>
      <c r="X106">
        <v>46.11</v>
      </c>
      <c r="Y106">
        <v>0</v>
      </c>
      <c r="Z106">
        <v>0</v>
      </c>
      <c r="AA106">
        <v>0</v>
      </c>
      <c r="AB106">
        <v>8.5299999999999994</v>
      </c>
      <c r="AC106">
        <v>0</v>
      </c>
      <c r="AD106">
        <v>1</v>
      </c>
      <c r="AE106">
        <v>1</v>
      </c>
      <c r="AF106" t="s">
        <v>79</v>
      </c>
      <c r="AG106">
        <v>53.026499999999999</v>
      </c>
      <c r="AH106">
        <v>2</v>
      </c>
      <c r="AI106">
        <v>39580096</v>
      </c>
      <c r="AJ106">
        <v>105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ROW(Source!A56)</f>
        <v>56</v>
      </c>
      <c r="B107">
        <v>39580108</v>
      </c>
      <c r="C107">
        <v>39580095</v>
      </c>
      <c r="D107">
        <v>37064876</v>
      </c>
      <c r="E107">
        <v>1</v>
      </c>
      <c r="F107">
        <v>1</v>
      </c>
      <c r="G107">
        <v>1</v>
      </c>
      <c r="H107">
        <v>1</v>
      </c>
      <c r="I107" t="s">
        <v>520</v>
      </c>
      <c r="J107" t="s">
        <v>3</v>
      </c>
      <c r="K107" t="s">
        <v>521</v>
      </c>
      <c r="L107">
        <v>1191</v>
      </c>
      <c r="N107">
        <v>1013</v>
      </c>
      <c r="O107" t="s">
        <v>519</v>
      </c>
      <c r="P107" t="s">
        <v>519</v>
      </c>
      <c r="Q107">
        <v>1</v>
      </c>
      <c r="X107">
        <v>0.04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2</v>
      </c>
      <c r="AF107" t="s">
        <v>78</v>
      </c>
      <c r="AG107">
        <v>0.05</v>
      </c>
      <c r="AH107">
        <v>2</v>
      </c>
      <c r="AI107">
        <v>39580097</v>
      </c>
      <c r="AJ107">
        <v>106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ROW(Source!A56)</f>
        <v>56</v>
      </c>
      <c r="B108">
        <v>39580109</v>
      </c>
      <c r="C108">
        <v>39580095</v>
      </c>
      <c r="D108">
        <v>36882452</v>
      </c>
      <c r="E108">
        <v>1</v>
      </c>
      <c r="F108">
        <v>1</v>
      </c>
      <c r="G108">
        <v>1</v>
      </c>
      <c r="H108">
        <v>2</v>
      </c>
      <c r="I108" t="s">
        <v>522</v>
      </c>
      <c r="J108" t="s">
        <v>523</v>
      </c>
      <c r="K108" t="s">
        <v>524</v>
      </c>
      <c r="L108">
        <v>1368</v>
      </c>
      <c r="N108">
        <v>1011</v>
      </c>
      <c r="O108" t="s">
        <v>525</v>
      </c>
      <c r="P108" t="s">
        <v>525</v>
      </c>
      <c r="Q108">
        <v>1</v>
      </c>
      <c r="X108">
        <v>0.04</v>
      </c>
      <c r="Y108">
        <v>0</v>
      </c>
      <c r="Z108">
        <v>31.26</v>
      </c>
      <c r="AA108">
        <v>13.5</v>
      </c>
      <c r="AB108">
        <v>0</v>
      </c>
      <c r="AC108">
        <v>0</v>
      </c>
      <c r="AD108">
        <v>1</v>
      </c>
      <c r="AE108">
        <v>0</v>
      </c>
      <c r="AF108" t="s">
        <v>78</v>
      </c>
      <c r="AG108">
        <v>0.05</v>
      </c>
      <c r="AH108">
        <v>2</v>
      </c>
      <c r="AI108">
        <v>39580098</v>
      </c>
      <c r="AJ108">
        <v>107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ROW(Source!A56)</f>
        <v>56</v>
      </c>
      <c r="B109">
        <v>39580110</v>
      </c>
      <c r="C109">
        <v>39580095</v>
      </c>
      <c r="D109">
        <v>36883554</v>
      </c>
      <c r="E109">
        <v>1</v>
      </c>
      <c r="F109">
        <v>1</v>
      </c>
      <c r="G109">
        <v>1</v>
      </c>
      <c r="H109">
        <v>2</v>
      </c>
      <c r="I109" t="s">
        <v>526</v>
      </c>
      <c r="J109" t="s">
        <v>527</v>
      </c>
      <c r="K109" t="s">
        <v>528</v>
      </c>
      <c r="L109">
        <v>1368</v>
      </c>
      <c r="N109">
        <v>1011</v>
      </c>
      <c r="O109" t="s">
        <v>525</v>
      </c>
      <c r="P109" t="s">
        <v>525</v>
      </c>
      <c r="Q109">
        <v>1</v>
      </c>
      <c r="X109">
        <v>4.0000000000000001E-3</v>
      </c>
      <c r="Y109">
        <v>0</v>
      </c>
      <c r="Z109">
        <v>65.709999999999994</v>
      </c>
      <c r="AA109">
        <v>11.6</v>
      </c>
      <c r="AB109">
        <v>0</v>
      </c>
      <c r="AC109">
        <v>0</v>
      </c>
      <c r="AD109">
        <v>1</v>
      </c>
      <c r="AE109">
        <v>0</v>
      </c>
      <c r="AF109" t="s">
        <v>78</v>
      </c>
      <c r="AG109">
        <v>5.0000000000000001E-3</v>
      </c>
      <c r="AH109">
        <v>2</v>
      </c>
      <c r="AI109">
        <v>39580099</v>
      </c>
      <c r="AJ109">
        <v>108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ROW(Source!A56)</f>
        <v>56</v>
      </c>
      <c r="B110">
        <v>39580111</v>
      </c>
      <c r="C110">
        <v>39580095</v>
      </c>
      <c r="D110">
        <v>36804616</v>
      </c>
      <c r="E110">
        <v>1</v>
      </c>
      <c r="F110">
        <v>1</v>
      </c>
      <c r="G110">
        <v>1</v>
      </c>
      <c r="H110">
        <v>3</v>
      </c>
      <c r="I110" t="s">
        <v>538</v>
      </c>
      <c r="J110" t="s">
        <v>539</v>
      </c>
      <c r="K110" t="s">
        <v>540</v>
      </c>
      <c r="L110">
        <v>1355</v>
      </c>
      <c r="N110">
        <v>1010</v>
      </c>
      <c r="O110" t="s">
        <v>360</v>
      </c>
      <c r="P110" t="s">
        <v>360</v>
      </c>
      <c r="Q110">
        <v>100</v>
      </c>
      <c r="X110">
        <v>2.5099999999999998</v>
      </c>
      <c r="Y110">
        <v>70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2.5099999999999998</v>
      </c>
      <c r="AH110">
        <v>2</v>
      </c>
      <c r="AI110">
        <v>39580100</v>
      </c>
      <c r="AJ110">
        <v>109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ROW(Source!A56)</f>
        <v>56</v>
      </c>
      <c r="B111">
        <v>39580112</v>
      </c>
      <c r="C111">
        <v>39580095</v>
      </c>
      <c r="D111">
        <v>36804661</v>
      </c>
      <c r="E111">
        <v>1</v>
      </c>
      <c r="F111">
        <v>1</v>
      </c>
      <c r="G111">
        <v>1</v>
      </c>
      <c r="H111">
        <v>3</v>
      </c>
      <c r="I111" t="s">
        <v>541</v>
      </c>
      <c r="J111" t="s">
        <v>542</v>
      </c>
      <c r="K111" t="s">
        <v>543</v>
      </c>
      <c r="L111">
        <v>1355</v>
      </c>
      <c r="N111">
        <v>1010</v>
      </c>
      <c r="O111" t="s">
        <v>360</v>
      </c>
      <c r="P111" t="s">
        <v>360</v>
      </c>
      <c r="Q111">
        <v>100</v>
      </c>
      <c r="X111">
        <v>1.51</v>
      </c>
      <c r="Y111">
        <v>8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3</v>
      </c>
      <c r="AG111">
        <v>1.51</v>
      </c>
      <c r="AH111">
        <v>2</v>
      </c>
      <c r="AI111">
        <v>39580101</v>
      </c>
      <c r="AJ111">
        <v>110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ROW(Source!A56)</f>
        <v>56</v>
      </c>
      <c r="B112">
        <v>39580113</v>
      </c>
      <c r="C112">
        <v>39580095</v>
      </c>
      <c r="D112">
        <v>36804889</v>
      </c>
      <c r="E112">
        <v>1</v>
      </c>
      <c r="F112">
        <v>1</v>
      </c>
      <c r="G112">
        <v>1</v>
      </c>
      <c r="H112">
        <v>3</v>
      </c>
      <c r="I112" t="s">
        <v>544</v>
      </c>
      <c r="J112" t="s">
        <v>545</v>
      </c>
      <c r="K112" t="s">
        <v>546</v>
      </c>
      <c r="L112">
        <v>1355</v>
      </c>
      <c r="N112">
        <v>1010</v>
      </c>
      <c r="O112" t="s">
        <v>360</v>
      </c>
      <c r="P112" t="s">
        <v>360</v>
      </c>
      <c r="Q112">
        <v>100</v>
      </c>
      <c r="X112">
        <v>5.0199999999999996</v>
      </c>
      <c r="Y112">
        <v>2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3</v>
      </c>
      <c r="AG112">
        <v>5.0199999999999996</v>
      </c>
      <c r="AH112">
        <v>2</v>
      </c>
      <c r="AI112">
        <v>39580102</v>
      </c>
      <c r="AJ112">
        <v>111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ROW(Source!A56)</f>
        <v>56</v>
      </c>
      <c r="B113">
        <v>39580114</v>
      </c>
      <c r="C113">
        <v>39580095</v>
      </c>
      <c r="D113">
        <v>36822895</v>
      </c>
      <c r="E113">
        <v>1</v>
      </c>
      <c r="F113">
        <v>1</v>
      </c>
      <c r="G113">
        <v>1</v>
      </c>
      <c r="H113">
        <v>3</v>
      </c>
      <c r="I113" t="s">
        <v>547</v>
      </c>
      <c r="J113" t="s">
        <v>548</v>
      </c>
      <c r="K113" t="s">
        <v>549</v>
      </c>
      <c r="L113">
        <v>1301</v>
      </c>
      <c r="N113">
        <v>1003</v>
      </c>
      <c r="O113" t="s">
        <v>131</v>
      </c>
      <c r="P113" t="s">
        <v>131</v>
      </c>
      <c r="Q113">
        <v>1</v>
      </c>
      <c r="X113">
        <v>121.5</v>
      </c>
      <c r="Y113">
        <v>6.91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121.5</v>
      </c>
      <c r="AH113">
        <v>2</v>
      </c>
      <c r="AI113">
        <v>39580103</v>
      </c>
      <c r="AJ113">
        <v>112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ROW(Source!A56)</f>
        <v>56</v>
      </c>
      <c r="B114">
        <v>39580115</v>
      </c>
      <c r="C114">
        <v>39580095</v>
      </c>
      <c r="D114">
        <v>36822957</v>
      </c>
      <c r="E114">
        <v>1</v>
      </c>
      <c r="F114">
        <v>1</v>
      </c>
      <c r="G114">
        <v>1</v>
      </c>
      <c r="H114">
        <v>3</v>
      </c>
      <c r="I114" t="s">
        <v>550</v>
      </c>
      <c r="J114" t="s">
        <v>551</v>
      </c>
      <c r="K114" t="s">
        <v>552</v>
      </c>
      <c r="L114">
        <v>1301</v>
      </c>
      <c r="N114">
        <v>1003</v>
      </c>
      <c r="O114" t="s">
        <v>131</v>
      </c>
      <c r="P114" t="s">
        <v>131</v>
      </c>
      <c r="Q114">
        <v>1</v>
      </c>
      <c r="X114">
        <v>229.5</v>
      </c>
      <c r="Y114">
        <v>8.06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229.5</v>
      </c>
      <c r="AH114">
        <v>2</v>
      </c>
      <c r="AI114">
        <v>39580104</v>
      </c>
      <c r="AJ114">
        <v>113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ROW(Source!A56)</f>
        <v>56</v>
      </c>
      <c r="B115">
        <v>39580116</v>
      </c>
      <c r="C115">
        <v>39580095</v>
      </c>
      <c r="D115">
        <v>36822998</v>
      </c>
      <c r="E115">
        <v>1</v>
      </c>
      <c r="F115">
        <v>1</v>
      </c>
      <c r="G115">
        <v>1</v>
      </c>
      <c r="H115">
        <v>3</v>
      </c>
      <c r="I115" t="s">
        <v>553</v>
      </c>
      <c r="J115" t="s">
        <v>554</v>
      </c>
      <c r="K115" t="s">
        <v>555</v>
      </c>
      <c r="L115">
        <v>1355</v>
      </c>
      <c r="N115">
        <v>1010</v>
      </c>
      <c r="O115" t="s">
        <v>360</v>
      </c>
      <c r="P115" t="s">
        <v>360</v>
      </c>
      <c r="Q115">
        <v>100</v>
      </c>
      <c r="X115">
        <v>2.5099999999999998</v>
      </c>
      <c r="Y115">
        <v>43.76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2.5099999999999998</v>
      </c>
      <c r="AH115">
        <v>2</v>
      </c>
      <c r="AI115">
        <v>39580105</v>
      </c>
      <c r="AJ115">
        <v>114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ROW(Source!A56)</f>
        <v>56</v>
      </c>
      <c r="B116">
        <v>39580117</v>
      </c>
      <c r="C116">
        <v>39580095</v>
      </c>
      <c r="D116">
        <v>36830271</v>
      </c>
      <c r="E116">
        <v>1</v>
      </c>
      <c r="F116">
        <v>1</v>
      </c>
      <c r="G116">
        <v>1</v>
      </c>
      <c r="H116">
        <v>3</v>
      </c>
      <c r="I116" t="s">
        <v>556</v>
      </c>
      <c r="J116" t="s">
        <v>557</v>
      </c>
      <c r="K116" t="s">
        <v>558</v>
      </c>
      <c r="L116">
        <v>1301</v>
      </c>
      <c r="N116">
        <v>1003</v>
      </c>
      <c r="O116" t="s">
        <v>131</v>
      </c>
      <c r="P116" t="s">
        <v>131</v>
      </c>
      <c r="Q116">
        <v>1</v>
      </c>
      <c r="X116">
        <v>37</v>
      </c>
      <c r="Y116">
        <v>6.26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37</v>
      </c>
      <c r="AH116">
        <v>2</v>
      </c>
      <c r="AI116">
        <v>39580106</v>
      </c>
      <c r="AJ116">
        <v>115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ROW(Source!A57)</f>
        <v>57</v>
      </c>
      <c r="B117">
        <v>39580055</v>
      </c>
      <c r="C117">
        <v>39580054</v>
      </c>
      <c r="D117">
        <v>37070495</v>
      </c>
      <c r="E117">
        <v>1</v>
      </c>
      <c r="F117">
        <v>1</v>
      </c>
      <c r="G117">
        <v>1</v>
      </c>
      <c r="H117">
        <v>1</v>
      </c>
      <c r="I117" t="s">
        <v>594</v>
      </c>
      <c r="J117" t="s">
        <v>3</v>
      </c>
      <c r="K117" t="s">
        <v>595</v>
      </c>
      <c r="L117">
        <v>1191</v>
      </c>
      <c r="N117">
        <v>1013</v>
      </c>
      <c r="O117" t="s">
        <v>519</v>
      </c>
      <c r="P117" t="s">
        <v>519</v>
      </c>
      <c r="Q117">
        <v>1</v>
      </c>
      <c r="X117">
        <v>60.76</v>
      </c>
      <c r="Y117">
        <v>0</v>
      </c>
      <c r="Z117">
        <v>0</v>
      </c>
      <c r="AA117">
        <v>0</v>
      </c>
      <c r="AB117">
        <v>8.74</v>
      </c>
      <c r="AC117">
        <v>0</v>
      </c>
      <c r="AD117">
        <v>1</v>
      </c>
      <c r="AE117">
        <v>1</v>
      </c>
      <c r="AF117" t="s">
        <v>79</v>
      </c>
      <c r="AG117">
        <v>69.873999999999995</v>
      </c>
      <c r="AH117">
        <v>2</v>
      </c>
      <c r="AI117">
        <v>39580055</v>
      </c>
      <c r="AJ117">
        <v>116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ROW(Source!A57)</f>
        <v>57</v>
      </c>
      <c r="B118">
        <v>39580056</v>
      </c>
      <c r="C118">
        <v>39580054</v>
      </c>
      <c r="D118">
        <v>37064876</v>
      </c>
      <c r="E118">
        <v>1</v>
      </c>
      <c r="F118">
        <v>1</v>
      </c>
      <c r="G118">
        <v>1</v>
      </c>
      <c r="H118">
        <v>1</v>
      </c>
      <c r="I118" t="s">
        <v>520</v>
      </c>
      <c r="J118" t="s">
        <v>3</v>
      </c>
      <c r="K118" t="s">
        <v>521</v>
      </c>
      <c r="L118">
        <v>1191</v>
      </c>
      <c r="N118">
        <v>1013</v>
      </c>
      <c r="O118" t="s">
        <v>519</v>
      </c>
      <c r="P118" t="s">
        <v>519</v>
      </c>
      <c r="Q118">
        <v>1</v>
      </c>
      <c r="X118">
        <v>2.78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2</v>
      </c>
      <c r="AF118" t="s">
        <v>78</v>
      </c>
      <c r="AG118">
        <v>3.4749999999999996</v>
      </c>
      <c r="AH118">
        <v>2</v>
      </c>
      <c r="AI118">
        <v>39580056</v>
      </c>
      <c r="AJ118">
        <v>117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ROW(Source!A57)</f>
        <v>57</v>
      </c>
      <c r="B119">
        <v>39580057</v>
      </c>
      <c r="C119">
        <v>39580054</v>
      </c>
      <c r="D119">
        <v>36882452</v>
      </c>
      <c r="E119">
        <v>1</v>
      </c>
      <c r="F119">
        <v>1</v>
      </c>
      <c r="G119">
        <v>1</v>
      </c>
      <c r="H119">
        <v>2</v>
      </c>
      <c r="I119" t="s">
        <v>522</v>
      </c>
      <c r="J119" t="s">
        <v>523</v>
      </c>
      <c r="K119" t="s">
        <v>524</v>
      </c>
      <c r="L119">
        <v>1368</v>
      </c>
      <c r="N119">
        <v>1011</v>
      </c>
      <c r="O119" t="s">
        <v>525</v>
      </c>
      <c r="P119" t="s">
        <v>525</v>
      </c>
      <c r="Q119">
        <v>1</v>
      </c>
      <c r="X119">
        <v>0.31</v>
      </c>
      <c r="Y119">
        <v>0</v>
      </c>
      <c r="Z119">
        <v>31.26</v>
      </c>
      <c r="AA119">
        <v>13.5</v>
      </c>
      <c r="AB119">
        <v>0</v>
      </c>
      <c r="AC119">
        <v>0</v>
      </c>
      <c r="AD119">
        <v>1</v>
      </c>
      <c r="AE119">
        <v>0</v>
      </c>
      <c r="AF119" t="s">
        <v>78</v>
      </c>
      <c r="AG119">
        <v>0.38750000000000001</v>
      </c>
      <c r="AH119">
        <v>2</v>
      </c>
      <c r="AI119">
        <v>39580057</v>
      </c>
      <c r="AJ119">
        <v>118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ROW(Source!A57)</f>
        <v>57</v>
      </c>
      <c r="B120">
        <v>39580058</v>
      </c>
      <c r="C120">
        <v>39580054</v>
      </c>
      <c r="D120">
        <v>36882621</v>
      </c>
      <c r="E120">
        <v>1</v>
      </c>
      <c r="F120">
        <v>1</v>
      </c>
      <c r="G120">
        <v>1</v>
      </c>
      <c r="H120">
        <v>2</v>
      </c>
      <c r="I120" t="s">
        <v>602</v>
      </c>
      <c r="J120" t="s">
        <v>603</v>
      </c>
      <c r="K120" t="s">
        <v>604</v>
      </c>
      <c r="L120">
        <v>1368</v>
      </c>
      <c r="N120">
        <v>1011</v>
      </c>
      <c r="O120" t="s">
        <v>525</v>
      </c>
      <c r="P120" t="s">
        <v>525</v>
      </c>
      <c r="Q120">
        <v>1</v>
      </c>
      <c r="X120">
        <v>1.97</v>
      </c>
      <c r="Y120">
        <v>0</v>
      </c>
      <c r="Z120">
        <v>12.39</v>
      </c>
      <c r="AA120">
        <v>10.06</v>
      </c>
      <c r="AB120">
        <v>0</v>
      </c>
      <c r="AC120">
        <v>0</v>
      </c>
      <c r="AD120">
        <v>1</v>
      </c>
      <c r="AE120">
        <v>0</v>
      </c>
      <c r="AF120" t="s">
        <v>78</v>
      </c>
      <c r="AG120">
        <v>2.4624999999999999</v>
      </c>
      <c r="AH120">
        <v>2</v>
      </c>
      <c r="AI120">
        <v>39580058</v>
      </c>
      <c r="AJ120">
        <v>119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ROW(Source!A57)</f>
        <v>57</v>
      </c>
      <c r="B121">
        <v>39580059</v>
      </c>
      <c r="C121">
        <v>39580054</v>
      </c>
      <c r="D121">
        <v>36883554</v>
      </c>
      <c r="E121">
        <v>1</v>
      </c>
      <c r="F121">
        <v>1</v>
      </c>
      <c r="G121">
        <v>1</v>
      </c>
      <c r="H121">
        <v>2</v>
      </c>
      <c r="I121" t="s">
        <v>526</v>
      </c>
      <c r="J121" t="s">
        <v>527</v>
      </c>
      <c r="K121" t="s">
        <v>528</v>
      </c>
      <c r="L121">
        <v>1368</v>
      </c>
      <c r="N121">
        <v>1011</v>
      </c>
      <c r="O121" t="s">
        <v>525</v>
      </c>
      <c r="P121" t="s">
        <v>525</v>
      </c>
      <c r="Q121">
        <v>1</v>
      </c>
      <c r="X121">
        <v>0.5</v>
      </c>
      <c r="Y121">
        <v>0</v>
      </c>
      <c r="Z121">
        <v>65.709999999999994</v>
      </c>
      <c r="AA121">
        <v>11.6</v>
      </c>
      <c r="AB121">
        <v>0</v>
      </c>
      <c r="AC121">
        <v>0</v>
      </c>
      <c r="AD121">
        <v>1</v>
      </c>
      <c r="AE121">
        <v>0</v>
      </c>
      <c r="AF121" t="s">
        <v>78</v>
      </c>
      <c r="AG121">
        <v>0.625</v>
      </c>
      <c r="AH121">
        <v>2</v>
      </c>
      <c r="AI121">
        <v>39580059</v>
      </c>
      <c r="AJ121">
        <v>120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ROW(Source!A57)</f>
        <v>57</v>
      </c>
      <c r="B122">
        <v>39580060</v>
      </c>
      <c r="C122">
        <v>39580054</v>
      </c>
      <c r="D122">
        <v>36797095</v>
      </c>
      <c r="E122">
        <v>17</v>
      </c>
      <c r="F122">
        <v>1</v>
      </c>
      <c r="G122">
        <v>1</v>
      </c>
      <c r="H122">
        <v>3</v>
      </c>
      <c r="I122" t="s">
        <v>157</v>
      </c>
      <c r="J122" t="s">
        <v>3</v>
      </c>
      <c r="K122" t="s">
        <v>158</v>
      </c>
      <c r="L122">
        <v>1327</v>
      </c>
      <c r="N122">
        <v>1005</v>
      </c>
      <c r="O122" t="s">
        <v>154</v>
      </c>
      <c r="P122" t="s">
        <v>154</v>
      </c>
      <c r="Q122">
        <v>1</v>
      </c>
      <c r="X122">
        <v>105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 t="s">
        <v>3</v>
      </c>
      <c r="AG122">
        <v>105</v>
      </c>
      <c r="AH122">
        <v>2</v>
      </c>
      <c r="AI122">
        <v>39580060</v>
      </c>
      <c r="AJ122">
        <v>122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ROW(Source!A57)</f>
        <v>57</v>
      </c>
      <c r="B123">
        <v>39580061</v>
      </c>
      <c r="C123">
        <v>39580054</v>
      </c>
      <c r="D123">
        <v>36804526</v>
      </c>
      <c r="E123">
        <v>1</v>
      </c>
      <c r="F123">
        <v>1</v>
      </c>
      <c r="G123">
        <v>1</v>
      </c>
      <c r="H123">
        <v>3</v>
      </c>
      <c r="I123" t="s">
        <v>168</v>
      </c>
      <c r="J123" t="s">
        <v>170</v>
      </c>
      <c r="K123" t="s">
        <v>169</v>
      </c>
      <c r="L123">
        <v>1348</v>
      </c>
      <c r="N123">
        <v>1009</v>
      </c>
      <c r="O123" t="s">
        <v>105</v>
      </c>
      <c r="P123" t="s">
        <v>105</v>
      </c>
      <c r="Q123">
        <v>1000</v>
      </c>
      <c r="X123">
        <v>2E-3</v>
      </c>
      <c r="Y123">
        <v>9713.4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2E-3</v>
      </c>
      <c r="AH123">
        <v>2</v>
      </c>
      <c r="AI123">
        <v>39580061</v>
      </c>
      <c r="AJ123">
        <v>123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ROW(Source!A57)</f>
        <v>57</v>
      </c>
      <c r="B124">
        <v>39580062</v>
      </c>
      <c r="C124">
        <v>39580054</v>
      </c>
      <c r="D124">
        <v>36806488</v>
      </c>
      <c r="E124">
        <v>1</v>
      </c>
      <c r="F124">
        <v>1</v>
      </c>
      <c r="G124">
        <v>1</v>
      </c>
      <c r="H124">
        <v>3</v>
      </c>
      <c r="I124" t="s">
        <v>160</v>
      </c>
      <c r="J124" t="s">
        <v>162</v>
      </c>
      <c r="K124" t="s">
        <v>161</v>
      </c>
      <c r="L124">
        <v>1348</v>
      </c>
      <c r="N124">
        <v>1009</v>
      </c>
      <c r="O124" t="s">
        <v>105</v>
      </c>
      <c r="P124" t="s">
        <v>105</v>
      </c>
      <c r="Q124">
        <v>1000</v>
      </c>
      <c r="X124">
        <v>0.49</v>
      </c>
      <c r="Y124">
        <v>729.98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</v>
      </c>
      <c r="AG124">
        <v>0.49</v>
      </c>
      <c r="AH124">
        <v>2</v>
      </c>
      <c r="AI124">
        <v>39580062</v>
      </c>
      <c r="AJ124">
        <v>124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ROW(Source!A57)</f>
        <v>57</v>
      </c>
      <c r="B125">
        <v>39580063</v>
      </c>
      <c r="C125">
        <v>39580054</v>
      </c>
      <c r="D125">
        <v>36807325</v>
      </c>
      <c r="E125">
        <v>1</v>
      </c>
      <c r="F125">
        <v>1</v>
      </c>
      <c r="G125">
        <v>1</v>
      </c>
      <c r="H125">
        <v>3</v>
      </c>
      <c r="I125" t="s">
        <v>164</v>
      </c>
      <c r="J125" t="s">
        <v>166</v>
      </c>
      <c r="K125" t="s">
        <v>165</v>
      </c>
      <c r="L125">
        <v>1339</v>
      </c>
      <c r="N125">
        <v>1007</v>
      </c>
      <c r="O125" t="s">
        <v>86</v>
      </c>
      <c r="P125" t="s">
        <v>86</v>
      </c>
      <c r="Q125">
        <v>1</v>
      </c>
      <c r="X125">
        <v>0.06</v>
      </c>
      <c r="Y125">
        <v>510.4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3</v>
      </c>
      <c r="AG125">
        <v>0.06</v>
      </c>
      <c r="AH125">
        <v>2</v>
      </c>
      <c r="AI125">
        <v>39580063</v>
      </c>
      <c r="AJ125">
        <v>125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ROW(Source!A57)</f>
        <v>57</v>
      </c>
      <c r="B126">
        <v>39580064</v>
      </c>
      <c r="C126">
        <v>39580054</v>
      </c>
      <c r="D126">
        <v>36836927</v>
      </c>
      <c r="E126">
        <v>1</v>
      </c>
      <c r="F126">
        <v>1</v>
      </c>
      <c r="G126">
        <v>1</v>
      </c>
      <c r="H126">
        <v>3</v>
      </c>
      <c r="I126" t="s">
        <v>172</v>
      </c>
      <c r="J126" t="s">
        <v>174</v>
      </c>
      <c r="K126" t="s">
        <v>173</v>
      </c>
      <c r="L126">
        <v>1348</v>
      </c>
      <c r="N126">
        <v>1009</v>
      </c>
      <c r="O126" t="s">
        <v>105</v>
      </c>
      <c r="P126" t="s">
        <v>105</v>
      </c>
      <c r="Q126">
        <v>1000</v>
      </c>
      <c r="X126">
        <v>4.3E-3</v>
      </c>
      <c r="Y126">
        <v>26500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4.3E-3</v>
      </c>
      <c r="AH126">
        <v>2</v>
      </c>
      <c r="AI126">
        <v>39580064</v>
      </c>
      <c r="AJ126">
        <v>126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ROW(Source!A64)</f>
        <v>64</v>
      </c>
      <c r="B127">
        <v>39580344</v>
      </c>
      <c r="C127">
        <v>39580343</v>
      </c>
      <c r="D127">
        <v>37070090</v>
      </c>
      <c r="E127">
        <v>1</v>
      </c>
      <c r="F127">
        <v>1</v>
      </c>
      <c r="G127">
        <v>1</v>
      </c>
      <c r="H127">
        <v>1</v>
      </c>
      <c r="I127" t="s">
        <v>618</v>
      </c>
      <c r="J127" t="s">
        <v>3</v>
      </c>
      <c r="K127" t="s">
        <v>619</v>
      </c>
      <c r="L127">
        <v>1191</v>
      </c>
      <c r="N127">
        <v>1013</v>
      </c>
      <c r="O127" t="s">
        <v>519</v>
      </c>
      <c r="P127" t="s">
        <v>519</v>
      </c>
      <c r="Q127">
        <v>1</v>
      </c>
      <c r="X127">
        <v>1.78</v>
      </c>
      <c r="Y127">
        <v>0</v>
      </c>
      <c r="Z127">
        <v>0</v>
      </c>
      <c r="AA127">
        <v>0</v>
      </c>
      <c r="AB127">
        <v>8.9700000000000006</v>
      </c>
      <c r="AC127">
        <v>0</v>
      </c>
      <c r="AD127">
        <v>1</v>
      </c>
      <c r="AE127">
        <v>1</v>
      </c>
      <c r="AF127" t="s">
        <v>79</v>
      </c>
      <c r="AG127">
        <v>2.0469999999999997</v>
      </c>
      <c r="AH127">
        <v>2</v>
      </c>
      <c r="AI127">
        <v>39580344</v>
      </c>
      <c r="AJ127">
        <v>127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ROW(Source!A64)</f>
        <v>64</v>
      </c>
      <c r="B128">
        <v>39580345</v>
      </c>
      <c r="C128">
        <v>39580343</v>
      </c>
      <c r="D128">
        <v>37064876</v>
      </c>
      <c r="E128">
        <v>1</v>
      </c>
      <c r="F128">
        <v>1</v>
      </c>
      <c r="G128">
        <v>1</v>
      </c>
      <c r="H128">
        <v>1</v>
      </c>
      <c r="I128" t="s">
        <v>520</v>
      </c>
      <c r="J128" t="s">
        <v>3</v>
      </c>
      <c r="K128" t="s">
        <v>521</v>
      </c>
      <c r="L128">
        <v>1191</v>
      </c>
      <c r="N128">
        <v>1013</v>
      </c>
      <c r="O128" t="s">
        <v>519</v>
      </c>
      <c r="P128" t="s">
        <v>519</v>
      </c>
      <c r="Q128">
        <v>1</v>
      </c>
      <c r="X128">
        <v>0.02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2</v>
      </c>
      <c r="AF128" t="s">
        <v>78</v>
      </c>
      <c r="AG128">
        <v>2.5000000000000001E-2</v>
      </c>
      <c r="AH128">
        <v>2</v>
      </c>
      <c r="AI128">
        <v>39580345</v>
      </c>
      <c r="AJ128">
        <v>128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ROW(Source!A64)</f>
        <v>64</v>
      </c>
      <c r="B129">
        <v>39580346</v>
      </c>
      <c r="C129">
        <v>39580343</v>
      </c>
      <c r="D129">
        <v>36882159</v>
      </c>
      <c r="E129">
        <v>1</v>
      </c>
      <c r="F129">
        <v>1</v>
      </c>
      <c r="G129">
        <v>1</v>
      </c>
      <c r="H129">
        <v>2</v>
      </c>
      <c r="I129" t="s">
        <v>620</v>
      </c>
      <c r="J129" t="s">
        <v>621</v>
      </c>
      <c r="K129" t="s">
        <v>622</v>
      </c>
      <c r="L129">
        <v>1368</v>
      </c>
      <c r="N129">
        <v>1011</v>
      </c>
      <c r="O129" t="s">
        <v>525</v>
      </c>
      <c r="P129" t="s">
        <v>525</v>
      </c>
      <c r="Q129">
        <v>1</v>
      </c>
      <c r="X129">
        <v>0.01</v>
      </c>
      <c r="Y129">
        <v>0</v>
      </c>
      <c r="Z129">
        <v>111.99</v>
      </c>
      <c r="AA129">
        <v>13.5</v>
      </c>
      <c r="AB129">
        <v>0</v>
      </c>
      <c r="AC129">
        <v>0</v>
      </c>
      <c r="AD129">
        <v>1</v>
      </c>
      <c r="AE129">
        <v>0</v>
      </c>
      <c r="AF129" t="s">
        <v>78</v>
      </c>
      <c r="AG129">
        <v>1.2500000000000001E-2</v>
      </c>
      <c r="AH129">
        <v>2</v>
      </c>
      <c r="AI129">
        <v>39580346</v>
      </c>
      <c r="AJ129">
        <v>129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ROW(Source!A64)</f>
        <v>64</v>
      </c>
      <c r="B130">
        <v>39580347</v>
      </c>
      <c r="C130">
        <v>39580343</v>
      </c>
      <c r="D130">
        <v>36883554</v>
      </c>
      <c r="E130">
        <v>1</v>
      </c>
      <c r="F130">
        <v>1</v>
      </c>
      <c r="G130">
        <v>1</v>
      </c>
      <c r="H130">
        <v>2</v>
      </c>
      <c r="I130" t="s">
        <v>526</v>
      </c>
      <c r="J130" t="s">
        <v>527</v>
      </c>
      <c r="K130" t="s">
        <v>528</v>
      </c>
      <c r="L130">
        <v>1368</v>
      </c>
      <c r="N130">
        <v>1011</v>
      </c>
      <c r="O130" t="s">
        <v>525</v>
      </c>
      <c r="P130" t="s">
        <v>525</v>
      </c>
      <c r="Q130">
        <v>1</v>
      </c>
      <c r="X130">
        <v>0.01</v>
      </c>
      <c r="Y130">
        <v>0</v>
      </c>
      <c r="Z130">
        <v>65.709999999999994</v>
      </c>
      <c r="AA130">
        <v>11.6</v>
      </c>
      <c r="AB130">
        <v>0</v>
      </c>
      <c r="AC130">
        <v>0</v>
      </c>
      <c r="AD130">
        <v>1</v>
      </c>
      <c r="AE130">
        <v>0</v>
      </c>
      <c r="AF130" t="s">
        <v>78</v>
      </c>
      <c r="AG130">
        <v>1.2500000000000001E-2</v>
      </c>
      <c r="AH130">
        <v>2</v>
      </c>
      <c r="AI130">
        <v>39580347</v>
      </c>
      <c r="AJ130">
        <v>130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ROW(Source!A64)</f>
        <v>64</v>
      </c>
      <c r="B131">
        <v>39580348</v>
      </c>
      <c r="C131">
        <v>39580343</v>
      </c>
      <c r="D131">
        <v>36883858</v>
      </c>
      <c r="E131">
        <v>1</v>
      </c>
      <c r="F131">
        <v>1</v>
      </c>
      <c r="G131">
        <v>1</v>
      </c>
      <c r="H131">
        <v>2</v>
      </c>
      <c r="I131" t="s">
        <v>623</v>
      </c>
      <c r="J131" t="s">
        <v>624</v>
      </c>
      <c r="K131" t="s">
        <v>625</v>
      </c>
      <c r="L131">
        <v>1368</v>
      </c>
      <c r="N131">
        <v>1011</v>
      </c>
      <c r="O131" t="s">
        <v>525</v>
      </c>
      <c r="P131" t="s">
        <v>525</v>
      </c>
      <c r="Q131">
        <v>1</v>
      </c>
      <c r="X131">
        <v>0.12</v>
      </c>
      <c r="Y131">
        <v>0</v>
      </c>
      <c r="Z131">
        <v>8.1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78</v>
      </c>
      <c r="AG131">
        <v>0.15</v>
      </c>
      <c r="AH131">
        <v>2</v>
      </c>
      <c r="AI131">
        <v>39580348</v>
      </c>
      <c r="AJ131">
        <v>131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ROW(Source!A64)</f>
        <v>64</v>
      </c>
      <c r="B132">
        <v>39580349</v>
      </c>
      <c r="C132">
        <v>39580343</v>
      </c>
      <c r="D132">
        <v>36803269</v>
      </c>
      <c r="E132">
        <v>1</v>
      </c>
      <c r="F132">
        <v>1</v>
      </c>
      <c r="G132">
        <v>1</v>
      </c>
      <c r="H132">
        <v>3</v>
      </c>
      <c r="I132" t="s">
        <v>626</v>
      </c>
      <c r="J132" t="s">
        <v>627</v>
      </c>
      <c r="K132" t="s">
        <v>628</v>
      </c>
      <c r="L132">
        <v>1348</v>
      </c>
      <c r="N132">
        <v>1009</v>
      </c>
      <c r="O132" t="s">
        <v>105</v>
      </c>
      <c r="P132" t="s">
        <v>105</v>
      </c>
      <c r="Q132">
        <v>1000</v>
      </c>
      <c r="X132">
        <v>1.1E-4</v>
      </c>
      <c r="Y132">
        <v>10362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1.1E-4</v>
      </c>
      <c r="AH132">
        <v>2</v>
      </c>
      <c r="AI132">
        <v>39580349</v>
      </c>
      <c r="AJ132">
        <v>132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ROW(Source!A64)</f>
        <v>64</v>
      </c>
      <c r="B133">
        <v>39580350</v>
      </c>
      <c r="C133">
        <v>39580343</v>
      </c>
      <c r="D133">
        <v>36804447</v>
      </c>
      <c r="E133">
        <v>1</v>
      </c>
      <c r="F133">
        <v>1</v>
      </c>
      <c r="G133">
        <v>1</v>
      </c>
      <c r="H133">
        <v>3</v>
      </c>
      <c r="I133" t="s">
        <v>629</v>
      </c>
      <c r="J133" t="s">
        <v>630</v>
      </c>
      <c r="K133" t="s">
        <v>631</v>
      </c>
      <c r="L133">
        <v>1348</v>
      </c>
      <c r="N133">
        <v>1009</v>
      </c>
      <c r="O133" t="s">
        <v>105</v>
      </c>
      <c r="P133" t="s">
        <v>105</v>
      </c>
      <c r="Q133">
        <v>1000</v>
      </c>
      <c r="X133">
        <v>4.0000000000000002E-4</v>
      </c>
      <c r="Y133">
        <v>9040.01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4.0000000000000002E-4</v>
      </c>
      <c r="AH133">
        <v>2</v>
      </c>
      <c r="AI133">
        <v>39580350</v>
      </c>
      <c r="AJ133">
        <v>133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ROW(Source!A64)</f>
        <v>64</v>
      </c>
      <c r="B134">
        <v>39580351</v>
      </c>
      <c r="C134">
        <v>39580343</v>
      </c>
      <c r="D134">
        <v>36796210</v>
      </c>
      <c r="E134">
        <v>17</v>
      </c>
      <c r="F134">
        <v>1</v>
      </c>
      <c r="G134">
        <v>1</v>
      </c>
      <c r="H134">
        <v>3</v>
      </c>
      <c r="I134" t="s">
        <v>89</v>
      </c>
      <c r="J134" t="s">
        <v>3</v>
      </c>
      <c r="K134" t="s">
        <v>775</v>
      </c>
      <c r="L134">
        <v>1339</v>
      </c>
      <c r="N134">
        <v>1007</v>
      </c>
      <c r="O134" t="s">
        <v>86</v>
      </c>
      <c r="P134" t="s">
        <v>86</v>
      </c>
      <c r="Q134">
        <v>1</v>
      </c>
      <c r="X134">
        <v>2.9999999999999997E-4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 t="s">
        <v>3</v>
      </c>
      <c r="AG134">
        <v>2.9999999999999997E-4</v>
      </c>
      <c r="AH134">
        <v>3</v>
      </c>
      <c r="AI134">
        <v>-1</v>
      </c>
      <c r="AJ134" t="s">
        <v>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ROW(Source!A64)</f>
        <v>64</v>
      </c>
      <c r="B135">
        <v>39580352</v>
      </c>
      <c r="C135">
        <v>39580343</v>
      </c>
      <c r="D135">
        <v>36826587</v>
      </c>
      <c r="E135">
        <v>1</v>
      </c>
      <c r="F135">
        <v>1</v>
      </c>
      <c r="G135">
        <v>1</v>
      </c>
      <c r="H135">
        <v>3</v>
      </c>
      <c r="I135" t="s">
        <v>632</v>
      </c>
      <c r="J135" t="s">
        <v>633</v>
      </c>
      <c r="K135" t="s">
        <v>634</v>
      </c>
      <c r="L135">
        <v>1348</v>
      </c>
      <c r="N135">
        <v>1009</v>
      </c>
      <c r="O135" t="s">
        <v>105</v>
      </c>
      <c r="P135" t="s">
        <v>105</v>
      </c>
      <c r="Q135">
        <v>1000</v>
      </c>
      <c r="X135">
        <v>4.2999999999999999E-4</v>
      </c>
      <c r="Y135">
        <v>6508.75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4.2999999999999999E-4</v>
      </c>
      <c r="AH135">
        <v>2</v>
      </c>
      <c r="AI135">
        <v>39580352</v>
      </c>
      <c r="AJ135">
        <v>134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ROW(Source!A64)</f>
        <v>64</v>
      </c>
      <c r="B136">
        <v>39580353</v>
      </c>
      <c r="C136">
        <v>39580343</v>
      </c>
      <c r="D136">
        <v>36797832</v>
      </c>
      <c r="E136">
        <v>17</v>
      </c>
      <c r="F136">
        <v>1</v>
      </c>
      <c r="G136">
        <v>1</v>
      </c>
      <c r="H136">
        <v>3</v>
      </c>
      <c r="I136" t="s">
        <v>187</v>
      </c>
      <c r="J136" t="s">
        <v>3</v>
      </c>
      <c r="K136" t="s">
        <v>188</v>
      </c>
      <c r="L136">
        <v>1354</v>
      </c>
      <c r="N136">
        <v>1010</v>
      </c>
      <c r="O136" t="s">
        <v>189</v>
      </c>
      <c r="P136" t="s">
        <v>189</v>
      </c>
      <c r="Q136">
        <v>1</v>
      </c>
      <c r="X136">
        <v>1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 t="s">
        <v>3</v>
      </c>
      <c r="AG136">
        <v>1</v>
      </c>
      <c r="AH136">
        <v>2</v>
      </c>
      <c r="AI136">
        <v>39580353</v>
      </c>
      <c r="AJ136">
        <v>136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ROW(Source!A67)</f>
        <v>67</v>
      </c>
      <c r="B137">
        <v>39580379</v>
      </c>
      <c r="C137">
        <v>39579678</v>
      </c>
      <c r="D137">
        <v>37064978</v>
      </c>
      <c r="E137">
        <v>1</v>
      </c>
      <c r="F137">
        <v>1</v>
      </c>
      <c r="G137">
        <v>1</v>
      </c>
      <c r="H137">
        <v>1</v>
      </c>
      <c r="I137" t="s">
        <v>635</v>
      </c>
      <c r="J137" t="s">
        <v>3</v>
      </c>
      <c r="K137" t="s">
        <v>636</v>
      </c>
      <c r="L137">
        <v>1191</v>
      </c>
      <c r="N137">
        <v>1013</v>
      </c>
      <c r="O137" t="s">
        <v>519</v>
      </c>
      <c r="P137" t="s">
        <v>519</v>
      </c>
      <c r="Q137">
        <v>1</v>
      </c>
      <c r="X137">
        <v>33.630000000000003</v>
      </c>
      <c r="Y137">
        <v>0</v>
      </c>
      <c r="Z137">
        <v>0</v>
      </c>
      <c r="AA137">
        <v>0</v>
      </c>
      <c r="AB137">
        <v>8.86</v>
      </c>
      <c r="AC137">
        <v>0</v>
      </c>
      <c r="AD137">
        <v>1</v>
      </c>
      <c r="AE137">
        <v>1</v>
      </c>
      <c r="AF137" t="s">
        <v>79</v>
      </c>
      <c r="AG137">
        <v>38.674500000000002</v>
      </c>
      <c r="AH137">
        <v>2</v>
      </c>
      <c r="AI137">
        <v>39580379</v>
      </c>
      <c r="AJ137">
        <v>137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ROW(Source!A67)</f>
        <v>67</v>
      </c>
      <c r="B138">
        <v>39580380</v>
      </c>
      <c r="C138">
        <v>39579678</v>
      </c>
      <c r="D138">
        <v>37064876</v>
      </c>
      <c r="E138">
        <v>1</v>
      </c>
      <c r="F138">
        <v>1</v>
      </c>
      <c r="G138">
        <v>1</v>
      </c>
      <c r="H138">
        <v>1</v>
      </c>
      <c r="I138" t="s">
        <v>520</v>
      </c>
      <c r="J138" t="s">
        <v>3</v>
      </c>
      <c r="K138" t="s">
        <v>521</v>
      </c>
      <c r="L138">
        <v>1191</v>
      </c>
      <c r="N138">
        <v>1013</v>
      </c>
      <c r="O138" t="s">
        <v>519</v>
      </c>
      <c r="P138" t="s">
        <v>519</v>
      </c>
      <c r="Q138">
        <v>1</v>
      </c>
      <c r="X138">
        <v>0.02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2</v>
      </c>
      <c r="AF138" t="s">
        <v>78</v>
      </c>
      <c r="AG138">
        <v>2.5000000000000001E-2</v>
      </c>
      <c r="AH138">
        <v>2</v>
      </c>
      <c r="AI138">
        <v>39580380</v>
      </c>
      <c r="AJ138">
        <v>138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ROW(Source!A67)</f>
        <v>67</v>
      </c>
      <c r="B139">
        <v>39580381</v>
      </c>
      <c r="C139">
        <v>39579678</v>
      </c>
      <c r="D139">
        <v>36882452</v>
      </c>
      <c r="E139">
        <v>1</v>
      </c>
      <c r="F139">
        <v>1</v>
      </c>
      <c r="G139">
        <v>1</v>
      </c>
      <c r="H139">
        <v>2</v>
      </c>
      <c r="I139" t="s">
        <v>522</v>
      </c>
      <c r="J139" t="s">
        <v>523</v>
      </c>
      <c r="K139" t="s">
        <v>524</v>
      </c>
      <c r="L139">
        <v>1368</v>
      </c>
      <c r="N139">
        <v>1011</v>
      </c>
      <c r="O139" t="s">
        <v>525</v>
      </c>
      <c r="P139" t="s">
        <v>525</v>
      </c>
      <c r="Q139">
        <v>1</v>
      </c>
      <c r="X139">
        <v>0.01</v>
      </c>
      <c r="Y139">
        <v>0</v>
      </c>
      <c r="Z139">
        <v>31.26</v>
      </c>
      <c r="AA139">
        <v>13.5</v>
      </c>
      <c r="AB139">
        <v>0</v>
      </c>
      <c r="AC139">
        <v>0</v>
      </c>
      <c r="AD139">
        <v>1</v>
      </c>
      <c r="AE139">
        <v>0</v>
      </c>
      <c r="AF139" t="s">
        <v>78</v>
      </c>
      <c r="AG139">
        <v>1.2500000000000001E-2</v>
      </c>
      <c r="AH139">
        <v>2</v>
      </c>
      <c r="AI139">
        <v>39580381</v>
      </c>
      <c r="AJ139">
        <v>139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ROW(Source!A67)</f>
        <v>67</v>
      </c>
      <c r="B140">
        <v>39580382</v>
      </c>
      <c r="C140">
        <v>39579678</v>
      </c>
      <c r="D140">
        <v>36883554</v>
      </c>
      <c r="E140">
        <v>1</v>
      </c>
      <c r="F140">
        <v>1</v>
      </c>
      <c r="G140">
        <v>1</v>
      </c>
      <c r="H140">
        <v>2</v>
      </c>
      <c r="I140" t="s">
        <v>526</v>
      </c>
      <c r="J140" t="s">
        <v>527</v>
      </c>
      <c r="K140" t="s">
        <v>528</v>
      </c>
      <c r="L140">
        <v>1368</v>
      </c>
      <c r="N140">
        <v>1011</v>
      </c>
      <c r="O140" t="s">
        <v>525</v>
      </c>
      <c r="P140" t="s">
        <v>525</v>
      </c>
      <c r="Q140">
        <v>1</v>
      </c>
      <c r="X140">
        <v>0.01</v>
      </c>
      <c r="Y140">
        <v>0</v>
      </c>
      <c r="Z140">
        <v>65.709999999999994</v>
      </c>
      <c r="AA140">
        <v>11.6</v>
      </c>
      <c r="AB140">
        <v>0</v>
      </c>
      <c r="AC140">
        <v>0</v>
      </c>
      <c r="AD140">
        <v>1</v>
      </c>
      <c r="AE140">
        <v>0</v>
      </c>
      <c r="AF140" t="s">
        <v>78</v>
      </c>
      <c r="AG140">
        <v>1.2500000000000001E-2</v>
      </c>
      <c r="AH140">
        <v>2</v>
      </c>
      <c r="AI140">
        <v>39580382</v>
      </c>
      <c r="AJ140">
        <v>140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ROW(Source!A67)</f>
        <v>67</v>
      </c>
      <c r="B141">
        <v>39580383</v>
      </c>
      <c r="C141">
        <v>39579678</v>
      </c>
      <c r="D141">
        <v>36797604</v>
      </c>
      <c r="E141">
        <v>17</v>
      </c>
      <c r="F141">
        <v>1</v>
      </c>
      <c r="G141">
        <v>1</v>
      </c>
      <c r="H141">
        <v>3</v>
      </c>
      <c r="I141" t="s">
        <v>200</v>
      </c>
      <c r="J141" t="s">
        <v>3</v>
      </c>
      <c r="K141" t="s">
        <v>201</v>
      </c>
      <c r="L141">
        <v>1328</v>
      </c>
      <c r="N141">
        <v>1005</v>
      </c>
      <c r="O141" t="s">
        <v>15</v>
      </c>
      <c r="P141" t="s">
        <v>15</v>
      </c>
      <c r="Q141">
        <v>100</v>
      </c>
      <c r="X141">
        <v>1.1299999999999999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 t="s">
        <v>3</v>
      </c>
      <c r="AG141">
        <v>1.1299999999999999</v>
      </c>
      <c r="AH141">
        <v>2</v>
      </c>
      <c r="AI141">
        <v>39580383</v>
      </c>
      <c r="AJ141">
        <v>141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ROW(Source!A67)</f>
        <v>67</v>
      </c>
      <c r="B142">
        <v>39580384</v>
      </c>
      <c r="C142">
        <v>39579678</v>
      </c>
      <c r="D142">
        <v>36801783</v>
      </c>
      <c r="E142">
        <v>1</v>
      </c>
      <c r="F142">
        <v>1</v>
      </c>
      <c r="G142">
        <v>1</v>
      </c>
      <c r="H142">
        <v>3</v>
      </c>
      <c r="I142" t="s">
        <v>637</v>
      </c>
      <c r="J142" t="s">
        <v>638</v>
      </c>
      <c r="K142" t="s">
        <v>639</v>
      </c>
      <c r="L142">
        <v>1348</v>
      </c>
      <c r="N142">
        <v>1009</v>
      </c>
      <c r="O142" t="s">
        <v>105</v>
      </c>
      <c r="P142" t="s">
        <v>105</v>
      </c>
      <c r="Q142">
        <v>1000</v>
      </c>
      <c r="X142">
        <v>7.1000000000000004E-3</v>
      </c>
      <c r="Y142">
        <v>5650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7.1000000000000004E-3</v>
      </c>
      <c r="AH142">
        <v>2</v>
      </c>
      <c r="AI142">
        <v>39580384</v>
      </c>
      <c r="AJ142">
        <v>143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ROW(Source!A67)</f>
        <v>67</v>
      </c>
      <c r="B143">
        <v>39580385</v>
      </c>
      <c r="C143">
        <v>39579678</v>
      </c>
      <c r="D143">
        <v>36801792</v>
      </c>
      <c r="E143">
        <v>1</v>
      </c>
      <c r="F143">
        <v>1</v>
      </c>
      <c r="G143">
        <v>1</v>
      </c>
      <c r="H143">
        <v>3</v>
      </c>
      <c r="I143" t="s">
        <v>564</v>
      </c>
      <c r="J143" t="s">
        <v>565</v>
      </c>
      <c r="K143" t="s">
        <v>566</v>
      </c>
      <c r="L143">
        <v>1339</v>
      </c>
      <c r="N143">
        <v>1007</v>
      </c>
      <c r="O143" t="s">
        <v>86</v>
      </c>
      <c r="P143" t="s">
        <v>86</v>
      </c>
      <c r="Q143">
        <v>1</v>
      </c>
      <c r="X143">
        <v>0.01</v>
      </c>
      <c r="Y143">
        <v>2.44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0.01</v>
      </c>
      <c r="AH143">
        <v>2</v>
      </c>
      <c r="AI143">
        <v>39580385</v>
      </c>
      <c r="AJ143">
        <v>144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ROW(Source!A67)</f>
        <v>67</v>
      </c>
      <c r="B144">
        <v>39580386</v>
      </c>
      <c r="C144">
        <v>39579678</v>
      </c>
      <c r="D144">
        <v>36805524</v>
      </c>
      <c r="E144">
        <v>1</v>
      </c>
      <c r="F144">
        <v>1</v>
      </c>
      <c r="G144">
        <v>1</v>
      </c>
      <c r="H144">
        <v>3</v>
      </c>
      <c r="I144" t="s">
        <v>591</v>
      </c>
      <c r="J144" t="s">
        <v>592</v>
      </c>
      <c r="K144" t="s">
        <v>593</v>
      </c>
      <c r="L144">
        <v>1346</v>
      </c>
      <c r="N144">
        <v>1009</v>
      </c>
      <c r="O144" t="s">
        <v>118</v>
      </c>
      <c r="P144" t="s">
        <v>118</v>
      </c>
      <c r="Q144">
        <v>1</v>
      </c>
      <c r="X144">
        <v>0.01</v>
      </c>
      <c r="Y144">
        <v>1.82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0.01</v>
      </c>
      <c r="AH144">
        <v>2</v>
      </c>
      <c r="AI144">
        <v>39580386</v>
      </c>
      <c r="AJ144">
        <v>145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ROW(Source!A67)</f>
        <v>67</v>
      </c>
      <c r="B145">
        <v>39580387</v>
      </c>
      <c r="C145">
        <v>39579678</v>
      </c>
      <c r="D145">
        <v>36806413</v>
      </c>
      <c r="E145">
        <v>1</v>
      </c>
      <c r="F145">
        <v>1</v>
      </c>
      <c r="G145">
        <v>1</v>
      </c>
      <c r="H145">
        <v>3</v>
      </c>
      <c r="I145" t="s">
        <v>640</v>
      </c>
      <c r="J145" t="s">
        <v>641</v>
      </c>
      <c r="K145" t="s">
        <v>642</v>
      </c>
      <c r="L145">
        <v>1339</v>
      </c>
      <c r="N145">
        <v>1007</v>
      </c>
      <c r="O145" t="s">
        <v>86</v>
      </c>
      <c r="P145" t="s">
        <v>86</v>
      </c>
      <c r="Q145">
        <v>1</v>
      </c>
      <c r="X145">
        <v>4.0000000000000002E-4</v>
      </c>
      <c r="Y145">
        <v>74.58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4.0000000000000002E-4</v>
      </c>
      <c r="AH145">
        <v>2</v>
      </c>
      <c r="AI145">
        <v>39580387</v>
      </c>
      <c r="AJ145">
        <v>146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ROW(Source!A67)</f>
        <v>67</v>
      </c>
      <c r="B146">
        <v>39580388</v>
      </c>
      <c r="C146">
        <v>39579678</v>
      </c>
      <c r="D146">
        <v>36836966</v>
      </c>
      <c r="E146">
        <v>1</v>
      </c>
      <c r="F146">
        <v>1</v>
      </c>
      <c r="G146">
        <v>1</v>
      </c>
      <c r="H146">
        <v>3</v>
      </c>
      <c r="I146" t="s">
        <v>643</v>
      </c>
      <c r="J146" t="s">
        <v>644</v>
      </c>
      <c r="K146" t="s">
        <v>645</v>
      </c>
      <c r="L146">
        <v>1348</v>
      </c>
      <c r="N146">
        <v>1009</v>
      </c>
      <c r="O146" t="s">
        <v>105</v>
      </c>
      <c r="P146" t="s">
        <v>105</v>
      </c>
      <c r="Q146">
        <v>1000</v>
      </c>
      <c r="X146">
        <v>2E-3</v>
      </c>
      <c r="Y146">
        <v>25990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2E-3</v>
      </c>
      <c r="AH146">
        <v>2</v>
      </c>
      <c r="AI146">
        <v>39580388</v>
      </c>
      <c r="AJ146">
        <v>147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ROW(Source!A67)</f>
        <v>67</v>
      </c>
      <c r="B147">
        <v>39580389</v>
      </c>
      <c r="C147">
        <v>39579678</v>
      </c>
      <c r="D147">
        <v>36839212</v>
      </c>
      <c r="E147">
        <v>1</v>
      </c>
      <c r="F147">
        <v>1</v>
      </c>
      <c r="G147">
        <v>1</v>
      </c>
      <c r="H147">
        <v>3</v>
      </c>
      <c r="I147" t="s">
        <v>646</v>
      </c>
      <c r="J147" t="s">
        <v>647</v>
      </c>
      <c r="K147" t="s">
        <v>648</v>
      </c>
      <c r="L147">
        <v>1348</v>
      </c>
      <c r="N147">
        <v>1009</v>
      </c>
      <c r="O147" t="s">
        <v>105</v>
      </c>
      <c r="P147" t="s">
        <v>105</v>
      </c>
      <c r="Q147">
        <v>1000</v>
      </c>
      <c r="X147">
        <v>6.7000000000000002E-3</v>
      </c>
      <c r="Y147">
        <v>4294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6.7000000000000002E-3</v>
      </c>
      <c r="AH147">
        <v>2</v>
      </c>
      <c r="AI147">
        <v>39580389</v>
      </c>
      <c r="AJ147">
        <v>148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ROW(Source!A70)</f>
        <v>70</v>
      </c>
      <c r="B148">
        <v>39580404</v>
      </c>
      <c r="C148">
        <v>39580118</v>
      </c>
      <c r="D148">
        <v>37064978</v>
      </c>
      <c r="E148">
        <v>1</v>
      </c>
      <c r="F148">
        <v>1</v>
      </c>
      <c r="G148">
        <v>1</v>
      </c>
      <c r="H148">
        <v>1</v>
      </c>
      <c r="I148" t="s">
        <v>635</v>
      </c>
      <c r="J148" t="s">
        <v>3</v>
      </c>
      <c r="K148" t="s">
        <v>636</v>
      </c>
      <c r="L148">
        <v>1191</v>
      </c>
      <c r="N148">
        <v>1013</v>
      </c>
      <c r="O148" t="s">
        <v>519</v>
      </c>
      <c r="P148" t="s">
        <v>519</v>
      </c>
      <c r="Q148">
        <v>1</v>
      </c>
      <c r="X148">
        <v>27.64</v>
      </c>
      <c r="Y148">
        <v>0</v>
      </c>
      <c r="Z148">
        <v>0</v>
      </c>
      <c r="AA148">
        <v>0</v>
      </c>
      <c r="AB148">
        <v>8.86</v>
      </c>
      <c r="AC148">
        <v>0</v>
      </c>
      <c r="AD148">
        <v>1</v>
      </c>
      <c r="AE148">
        <v>1</v>
      </c>
      <c r="AF148" t="s">
        <v>79</v>
      </c>
      <c r="AG148">
        <v>31.785999999999998</v>
      </c>
      <c r="AH148">
        <v>2</v>
      </c>
      <c r="AI148">
        <v>39580404</v>
      </c>
      <c r="AJ148">
        <v>149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ROW(Source!A70)</f>
        <v>70</v>
      </c>
      <c r="B149">
        <v>39580405</v>
      </c>
      <c r="C149">
        <v>39580118</v>
      </c>
      <c r="D149">
        <v>37064876</v>
      </c>
      <c r="E149">
        <v>1</v>
      </c>
      <c r="F149">
        <v>1</v>
      </c>
      <c r="G149">
        <v>1</v>
      </c>
      <c r="H149">
        <v>1</v>
      </c>
      <c r="I149" t="s">
        <v>520</v>
      </c>
      <c r="J149" t="s">
        <v>3</v>
      </c>
      <c r="K149" t="s">
        <v>521</v>
      </c>
      <c r="L149">
        <v>1191</v>
      </c>
      <c r="N149">
        <v>1013</v>
      </c>
      <c r="O149" t="s">
        <v>519</v>
      </c>
      <c r="P149" t="s">
        <v>519</v>
      </c>
      <c r="Q149">
        <v>1</v>
      </c>
      <c r="X149">
        <v>0.02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2</v>
      </c>
      <c r="AF149" t="s">
        <v>78</v>
      </c>
      <c r="AG149">
        <v>2.5000000000000001E-2</v>
      </c>
      <c r="AH149">
        <v>2</v>
      </c>
      <c r="AI149">
        <v>39580405</v>
      </c>
      <c r="AJ149">
        <v>150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ROW(Source!A70)</f>
        <v>70</v>
      </c>
      <c r="B150">
        <v>39580406</v>
      </c>
      <c r="C150">
        <v>39580118</v>
      </c>
      <c r="D150">
        <v>36882452</v>
      </c>
      <c r="E150">
        <v>1</v>
      </c>
      <c r="F150">
        <v>1</v>
      </c>
      <c r="G150">
        <v>1</v>
      </c>
      <c r="H150">
        <v>2</v>
      </c>
      <c r="I150" t="s">
        <v>522</v>
      </c>
      <c r="J150" t="s">
        <v>523</v>
      </c>
      <c r="K150" t="s">
        <v>524</v>
      </c>
      <c r="L150">
        <v>1368</v>
      </c>
      <c r="N150">
        <v>1011</v>
      </c>
      <c r="O150" t="s">
        <v>525</v>
      </c>
      <c r="P150" t="s">
        <v>525</v>
      </c>
      <c r="Q150">
        <v>1</v>
      </c>
      <c r="X150">
        <v>0.01</v>
      </c>
      <c r="Y150">
        <v>0</v>
      </c>
      <c r="Z150">
        <v>31.26</v>
      </c>
      <c r="AA150">
        <v>13.5</v>
      </c>
      <c r="AB150">
        <v>0</v>
      </c>
      <c r="AC150">
        <v>0</v>
      </c>
      <c r="AD150">
        <v>1</v>
      </c>
      <c r="AE150">
        <v>0</v>
      </c>
      <c r="AF150" t="s">
        <v>78</v>
      </c>
      <c r="AG150">
        <v>1.2500000000000001E-2</v>
      </c>
      <c r="AH150">
        <v>2</v>
      </c>
      <c r="AI150">
        <v>39580406</v>
      </c>
      <c r="AJ150">
        <v>151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ROW(Source!A70)</f>
        <v>70</v>
      </c>
      <c r="B151">
        <v>39580407</v>
      </c>
      <c r="C151">
        <v>39580118</v>
      </c>
      <c r="D151">
        <v>36883554</v>
      </c>
      <c r="E151">
        <v>1</v>
      </c>
      <c r="F151">
        <v>1</v>
      </c>
      <c r="G151">
        <v>1</v>
      </c>
      <c r="H151">
        <v>2</v>
      </c>
      <c r="I151" t="s">
        <v>526</v>
      </c>
      <c r="J151" t="s">
        <v>527</v>
      </c>
      <c r="K151" t="s">
        <v>528</v>
      </c>
      <c r="L151">
        <v>1368</v>
      </c>
      <c r="N151">
        <v>1011</v>
      </c>
      <c r="O151" t="s">
        <v>525</v>
      </c>
      <c r="P151" t="s">
        <v>525</v>
      </c>
      <c r="Q151">
        <v>1</v>
      </c>
      <c r="X151">
        <v>0.01</v>
      </c>
      <c r="Y151">
        <v>0</v>
      </c>
      <c r="Z151">
        <v>65.709999999999994</v>
      </c>
      <c r="AA151">
        <v>11.6</v>
      </c>
      <c r="AB151">
        <v>0</v>
      </c>
      <c r="AC151">
        <v>0</v>
      </c>
      <c r="AD151">
        <v>1</v>
      </c>
      <c r="AE151">
        <v>0</v>
      </c>
      <c r="AF151" t="s">
        <v>78</v>
      </c>
      <c r="AG151">
        <v>1.2500000000000001E-2</v>
      </c>
      <c r="AH151">
        <v>2</v>
      </c>
      <c r="AI151">
        <v>39580407</v>
      </c>
      <c r="AJ151">
        <v>152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ROW(Source!A70)</f>
        <v>70</v>
      </c>
      <c r="B152">
        <v>39580408</v>
      </c>
      <c r="C152">
        <v>39580118</v>
      </c>
      <c r="D152">
        <v>36797604</v>
      </c>
      <c r="E152">
        <v>17</v>
      </c>
      <c r="F152">
        <v>1</v>
      </c>
      <c r="G152">
        <v>1</v>
      </c>
      <c r="H152">
        <v>3</v>
      </c>
      <c r="I152" t="s">
        <v>200</v>
      </c>
      <c r="J152" t="s">
        <v>3</v>
      </c>
      <c r="K152" t="s">
        <v>201</v>
      </c>
      <c r="L152">
        <v>1328</v>
      </c>
      <c r="N152">
        <v>1005</v>
      </c>
      <c r="O152" t="s">
        <v>15</v>
      </c>
      <c r="P152" t="s">
        <v>15</v>
      </c>
      <c r="Q152">
        <v>100</v>
      </c>
      <c r="X152">
        <v>1.1299999999999999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 t="s">
        <v>3</v>
      </c>
      <c r="AG152">
        <v>1.1299999999999999</v>
      </c>
      <c r="AH152">
        <v>2</v>
      </c>
      <c r="AI152">
        <v>39580408</v>
      </c>
      <c r="AJ152">
        <v>153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ROW(Source!A70)</f>
        <v>70</v>
      </c>
      <c r="B153">
        <v>39580409</v>
      </c>
      <c r="C153">
        <v>39580118</v>
      </c>
      <c r="D153">
        <v>36801783</v>
      </c>
      <c r="E153">
        <v>1</v>
      </c>
      <c r="F153">
        <v>1</v>
      </c>
      <c r="G153">
        <v>1</v>
      </c>
      <c r="H153">
        <v>3</v>
      </c>
      <c r="I153" t="s">
        <v>637</v>
      </c>
      <c r="J153" t="s">
        <v>638</v>
      </c>
      <c r="K153" t="s">
        <v>639</v>
      </c>
      <c r="L153">
        <v>1348</v>
      </c>
      <c r="N153">
        <v>1009</v>
      </c>
      <c r="O153" t="s">
        <v>105</v>
      </c>
      <c r="P153" t="s">
        <v>105</v>
      </c>
      <c r="Q153">
        <v>1000</v>
      </c>
      <c r="X153">
        <v>8.4999999999999995E-4</v>
      </c>
      <c r="Y153">
        <v>5650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8.4999999999999995E-4</v>
      </c>
      <c r="AH153">
        <v>2</v>
      </c>
      <c r="AI153">
        <v>39580409</v>
      </c>
      <c r="AJ153">
        <v>155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ROW(Source!A70)</f>
        <v>70</v>
      </c>
      <c r="B154">
        <v>39580410</v>
      </c>
      <c r="C154">
        <v>39580118</v>
      </c>
      <c r="D154">
        <v>36801792</v>
      </c>
      <c r="E154">
        <v>1</v>
      </c>
      <c r="F154">
        <v>1</v>
      </c>
      <c r="G154">
        <v>1</v>
      </c>
      <c r="H154">
        <v>3</v>
      </c>
      <c r="I154" t="s">
        <v>564</v>
      </c>
      <c r="J154" t="s">
        <v>565</v>
      </c>
      <c r="K154" t="s">
        <v>566</v>
      </c>
      <c r="L154">
        <v>1339</v>
      </c>
      <c r="N154">
        <v>1007</v>
      </c>
      <c r="O154" t="s">
        <v>86</v>
      </c>
      <c r="P154" t="s">
        <v>86</v>
      </c>
      <c r="Q154">
        <v>1</v>
      </c>
      <c r="X154">
        <v>0.01</v>
      </c>
      <c r="Y154">
        <v>2.44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3</v>
      </c>
      <c r="AG154">
        <v>0.01</v>
      </c>
      <c r="AH154">
        <v>2</v>
      </c>
      <c r="AI154">
        <v>39580410</v>
      </c>
      <c r="AJ154">
        <v>156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ROW(Source!A70)</f>
        <v>70</v>
      </c>
      <c r="B155">
        <v>39580411</v>
      </c>
      <c r="C155">
        <v>39580118</v>
      </c>
      <c r="D155">
        <v>36805524</v>
      </c>
      <c r="E155">
        <v>1</v>
      </c>
      <c r="F155">
        <v>1</v>
      </c>
      <c r="G155">
        <v>1</v>
      </c>
      <c r="H155">
        <v>3</v>
      </c>
      <c r="I155" t="s">
        <v>591</v>
      </c>
      <c r="J155" t="s">
        <v>592</v>
      </c>
      <c r="K155" t="s">
        <v>593</v>
      </c>
      <c r="L155">
        <v>1346</v>
      </c>
      <c r="N155">
        <v>1009</v>
      </c>
      <c r="O155" t="s">
        <v>118</v>
      </c>
      <c r="P155" t="s">
        <v>118</v>
      </c>
      <c r="Q155">
        <v>1</v>
      </c>
      <c r="X155">
        <v>0.01</v>
      </c>
      <c r="Y155">
        <v>1.82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3</v>
      </c>
      <c r="AG155">
        <v>0.01</v>
      </c>
      <c r="AH155">
        <v>2</v>
      </c>
      <c r="AI155">
        <v>39580411</v>
      </c>
      <c r="AJ155">
        <v>157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ROW(Source!A70)</f>
        <v>70</v>
      </c>
      <c r="B156">
        <v>39580412</v>
      </c>
      <c r="C156">
        <v>39580118</v>
      </c>
      <c r="D156">
        <v>36806413</v>
      </c>
      <c r="E156">
        <v>1</v>
      </c>
      <c r="F156">
        <v>1</v>
      </c>
      <c r="G156">
        <v>1</v>
      </c>
      <c r="H156">
        <v>3</v>
      </c>
      <c r="I156" t="s">
        <v>640</v>
      </c>
      <c r="J156" t="s">
        <v>641</v>
      </c>
      <c r="K156" t="s">
        <v>642</v>
      </c>
      <c r="L156">
        <v>1339</v>
      </c>
      <c r="N156">
        <v>1007</v>
      </c>
      <c r="O156" t="s">
        <v>86</v>
      </c>
      <c r="P156" t="s">
        <v>86</v>
      </c>
      <c r="Q156">
        <v>1</v>
      </c>
      <c r="X156">
        <v>4.0000000000000002E-4</v>
      </c>
      <c r="Y156">
        <v>74.58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3</v>
      </c>
      <c r="AG156">
        <v>4.0000000000000002E-4</v>
      </c>
      <c r="AH156">
        <v>2</v>
      </c>
      <c r="AI156">
        <v>39580412</v>
      </c>
      <c r="AJ156">
        <v>158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ROW(Source!A70)</f>
        <v>70</v>
      </c>
      <c r="B157">
        <v>39580413</v>
      </c>
      <c r="C157">
        <v>39580118</v>
      </c>
      <c r="D157">
        <v>36836966</v>
      </c>
      <c r="E157">
        <v>1</v>
      </c>
      <c r="F157">
        <v>1</v>
      </c>
      <c r="G157">
        <v>1</v>
      </c>
      <c r="H157">
        <v>3</v>
      </c>
      <c r="I157" t="s">
        <v>643</v>
      </c>
      <c r="J157" t="s">
        <v>644</v>
      </c>
      <c r="K157" t="s">
        <v>645</v>
      </c>
      <c r="L157">
        <v>1348</v>
      </c>
      <c r="N157">
        <v>1009</v>
      </c>
      <c r="O157" t="s">
        <v>105</v>
      </c>
      <c r="P157" t="s">
        <v>105</v>
      </c>
      <c r="Q157">
        <v>1000</v>
      </c>
      <c r="X157">
        <v>1.5E-3</v>
      </c>
      <c r="Y157">
        <v>25990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3</v>
      </c>
      <c r="AG157">
        <v>1.5E-3</v>
      </c>
      <c r="AH157">
        <v>2</v>
      </c>
      <c r="AI157">
        <v>39580413</v>
      </c>
      <c r="AJ157">
        <v>159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ROW(Source!A73)</f>
        <v>73</v>
      </c>
      <c r="B158">
        <v>39579815</v>
      </c>
      <c r="C158">
        <v>39579814</v>
      </c>
      <c r="D158">
        <v>37064978</v>
      </c>
      <c r="E158">
        <v>1</v>
      </c>
      <c r="F158">
        <v>1</v>
      </c>
      <c r="G158">
        <v>1</v>
      </c>
      <c r="H158">
        <v>1</v>
      </c>
      <c r="I158" t="s">
        <v>635</v>
      </c>
      <c r="J158" t="s">
        <v>3</v>
      </c>
      <c r="K158" t="s">
        <v>636</v>
      </c>
      <c r="L158">
        <v>1191</v>
      </c>
      <c r="N158">
        <v>1013</v>
      </c>
      <c r="O158" t="s">
        <v>519</v>
      </c>
      <c r="P158" t="s">
        <v>519</v>
      </c>
      <c r="Q158">
        <v>1</v>
      </c>
      <c r="X158">
        <v>32.729999999999997</v>
      </c>
      <c r="Y158">
        <v>0</v>
      </c>
      <c r="Z158">
        <v>0</v>
      </c>
      <c r="AA158">
        <v>0</v>
      </c>
      <c r="AB158">
        <v>8.86</v>
      </c>
      <c r="AC158">
        <v>0</v>
      </c>
      <c r="AD158">
        <v>1</v>
      </c>
      <c r="AE158">
        <v>1</v>
      </c>
      <c r="AF158" t="s">
        <v>79</v>
      </c>
      <c r="AG158">
        <v>37.639499999999991</v>
      </c>
      <c r="AH158">
        <v>2</v>
      </c>
      <c r="AI158">
        <v>39579815</v>
      </c>
      <c r="AJ158">
        <v>160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ROW(Source!A73)</f>
        <v>73</v>
      </c>
      <c r="B159">
        <v>39579816</v>
      </c>
      <c r="C159">
        <v>39579814</v>
      </c>
      <c r="D159">
        <v>37064876</v>
      </c>
      <c r="E159">
        <v>1</v>
      </c>
      <c r="F159">
        <v>1</v>
      </c>
      <c r="G159">
        <v>1</v>
      </c>
      <c r="H159">
        <v>1</v>
      </c>
      <c r="I159" t="s">
        <v>520</v>
      </c>
      <c r="J159" t="s">
        <v>3</v>
      </c>
      <c r="K159" t="s">
        <v>521</v>
      </c>
      <c r="L159">
        <v>1191</v>
      </c>
      <c r="N159">
        <v>1013</v>
      </c>
      <c r="O159" t="s">
        <v>519</v>
      </c>
      <c r="P159" t="s">
        <v>519</v>
      </c>
      <c r="Q159">
        <v>1</v>
      </c>
      <c r="X159">
        <v>0.11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2</v>
      </c>
      <c r="AF159" t="s">
        <v>78</v>
      </c>
      <c r="AG159">
        <v>0.13750000000000001</v>
      </c>
      <c r="AH159">
        <v>2</v>
      </c>
      <c r="AI159">
        <v>39579816</v>
      </c>
      <c r="AJ159">
        <v>161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ROW(Source!A73)</f>
        <v>73</v>
      </c>
      <c r="B160">
        <v>39579817</v>
      </c>
      <c r="C160">
        <v>39579814</v>
      </c>
      <c r="D160">
        <v>36882448</v>
      </c>
      <c r="E160">
        <v>1</v>
      </c>
      <c r="F160">
        <v>1</v>
      </c>
      <c r="G160">
        <v>1</v>
      </c>
      <c r="H160">
        <v>2</v>
      </c>
      <c r="I160" t="s">
        <v>585</v>
      </c>
      <c r="J160" t="s">
        <v>586</v>
      </c>
      <c r="K160" t="s">
        <v>587</v>
      </c>
      <c r="L160">
        <v>1368</v>
      </c>
      <c r="N160">
        <v>1011</v>
      </c>
      <c r="O160" t="s">
        <v>525</v>
      </c>
      <c r="P160" t="s">
        <v>525</v>
      </c>
      <c r="Q160">
        <v>1</v>
      </c>
      <c r="X160">
        <v>0.01</v>
      </c>
      <c r="Y160">
        <v>0</v>
      </c>
      <c r="Z160">
        <v>27.66</v>
      </c>
      <c r="AA160">
        <v>11.6</v>
      </c>
      <c r="AB160">
        <v>0</v>
      </c>
      <c r="AC160">
        <v>0</v>
      </c>
      <c r="AD160">
        <v>1</v>
      </c>
      <c r="AE160">
        <v>0</v>
      </c>
      <c r="AF160" t="s">
        <v>78</v>
      </c>
      <c r="AG160">
        <v>1.2500000000000001E-2</v>
      </c>
      <c r="AH160">
        <v>2</v>
      </c>
      <c r="AI160">
        <v>39579817</v>
      </c>
      <c r="AJ160">
        <v>162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ROW(Source!A73)</f>
        <v>73</v>
      </c>
      <c r="B161">
        <v>39579818</v>
      </c>
      <c r="C161">
        <v>39579814</v>
      </c>
      <c r="D161">
        <v>36883554</v>
      </c>
      <c r="E161">
        <v>1</v>
      </c>
      <c r="F161">
        <v>1</v>
      </c>
      <c r="G161">
        <v>1</v>
      </c>
      <c r="H161">
        <v>2</v>
      </c>
      <c r="I161" t="s">
        <v>526</v>
      </c>
      <c r="J161" t="s">
        <v>527</v>
      </c>
      <c r="K161" t="s">
        <v>528</v>
      </c>
      <c r="L161">
        <v>1368</v>
      </c>
      <c r="N161">
        <v>1011</v>
      </c>
      <c r="O161" t="s">
        <v>525</v>
      </c>
      <c r="P161" t="s">
        <v>525</v>
      </c>
      <c r="Q161">
        <v>1</v>
      </c>
      <c r="X161">
        <v>0.1</v>
      </c>
      <c r="Y161">
        <v>0</v>
      </c>
      <c r="Z161">
        <v>65.709999999999994</v>
      </c>
      <c r="AA161">
        <v>11.6</v>
      </c>
      <c r="AB161">
        <v>0</v>
      </c>
      <c r="AC161">
        <v>0</v>
      </c>
      <c r="AD161">
        <v>1</v>
      </c>
      <c r="AE161">
        <v>0</v>
      </c>
      <c r="AF161" t="s">
        <v>78</v>
      </c>
      <c r="AG161">
        <v>0.125</v>
      </c>
      <c r="AH161">
        <v>2</v>
      </c>
      <c r="AI161">
        <v>39579818</v>
      </c>
      <c r="AJ161">
        <v>163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ROW(Source!A73)</f>
        <v>73</v>
      </c>
      <c r="B162">
        <v>39579819</v>
      </c>
      <c r="C162">
        <v>39579814</v>
      </c>
      <c r="D162">
        <v>36805188</v>
      </c>
      <c r="E162">
        <v>1</v>
      </c>
      <c r="F162">
        <v>1</v>
      </c>
      <c r="G162">
        <v>1</v>
      </c>
      <c r="H162">
        <v>3</v>
      </c>
      <c r="I162" t="s">
        <v>649</v>
      </c>
      <c r="J162" t="s">
        <v>650</v>
      </c>
      <c r="K162" t="s">
        <v>651</v>
      </c>
      <c r="L162">
        <v>1327</v>
      </c>
      <c r="N162">
        <v>1005</v>
      </c>
      <c r="O162" t="s">
        <v>154</v>
      </c>
      <c r="P162" t="s">
        <v>154</v>
      </c>
      <c r="Q162">
        <v>1</v>
      </c>
      <c r="X162">
        <v>0.84</v>
      </c>
      <c r="Y162">
        <v>72.319999999999993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0.84</v>
      </c>
      <c r="AH162">
        <v>2</v>
      </c>
      <c r="AI162">
        <v>39579819</v>
      </c>
      <c r="AJ162">
        <v>164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ROW(Source!A73)</f>
        <v>73</v>
      </c>
      <c r="B163">
        <v>39579820</v>
      </c>
      <c r="C163">
        <v>39579814</v>
      </c>
      <c r="D163">
        <v>36805524</v>
      </c>
      <c r="E163">
        <v>1</v>
      </c>
      <c r="F163">
        <v>1</v>
      </c>
      <c r="G163">
        <v>1</v>
      </c>
      <c r="H163">
        <v>3</v>
      </c>
      <c r="I163" t="s">
        <v>591</v>
      </c>
      <c r="J163" t="s">
        <v>592</v>
      </c>
      <c r="K163" t="s">
        <v>593</v>
      </c>
      <c r="L163">
        <v>1346</v>
      </c>
      <c r="N163">
        <v>1009</v>
      </c>
      <c r="O163" t="s">
        <v>118</v>
      </c>
      <c r="P163" t="s">
        <v>118</v>
      </c>
      <c r="Q163">
        <v>1</v>
      </c>
      <c r="X163">
        <v>0.31</v>
      </c>
      <c r="Y163">
        <v>1.82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0.31</v>
      </c>
      <c r="AH163">
        <v>2</v>
      </c>
      <c r="AI163">
        <v>39579820</v>
      </c>
      <c r="AJ163">
        <v>165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ROW(Source!A73)</f>
        <v>73</v>
      </c>
      <c r="B164">
        <v>39579821</v>
      </c>
      <c r="C164">
        <v>39579814</v>
      </c>
      <c r="D164">
        <v>36797562</v>
      </c>
      <c r="E164">
        <v>17</v>
      </c>
      <c r="F164">
        <v>1</v>
      </c>
      <c r="G164">
        <v>1</v>
      </c>
      <c r="H164">
        <v>3</v>
      </c>
      <c r="I164" t="s">
        <v>219</v>
      </c>
      <c r="J164" t="s">
        <v>3</v>
      </c>
      <c r="K164" t="s">
        <v>220</v>
      </c>
      <c r="L164">
        <v>1348</v>
      </c>
      <c r="N164">
        <v>1009</v>
      </c>
      <c r="O164" t="s">
        <v>105</v>
      </c>
      <c r="P164" t="s">
        <v>105</v>
      </c>
      <c r="Q164">
        <v>1000</v>
      </c>
      <c r="X164">
        <v>0.03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 t="s">
        <v>3</v>
      </c>
      <c r="AG164">
        <v>0.03</v>
      </c>
      <c r="AH164">
        <v>2</v>
      </c>
      <c r="AI164">
        <v>39579821</v>
      </c>
      <c r="AJ164">
        <v>166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ROW(Source!A73)</f>
        <v>73</v>
      </c>
      <c r="B165">
        <v>39579822</v>
      </c>
      <c r="C165">
        <v>39579814</v>
      </c>
      <c r="D165">
        <v>36797079</v>
      </c>
      <c r="E165">
        <v>17</v>
      </c>
      <c r="F165">
        <v>1</v>
      </c>
      <c r="G165">
        <v>1</v>
      </c>
      <c r="H165">
        <v>3</v>
      </c>
      <c r="I165" t="s">
        <v>121</v>
      </c>
      <c r="J165" t="s">
        <v>3</v>
      </c>
      <c r="K165" t="s">
        <v>122</v>
      </c>
      <c r="L165">
        <v>1348</v>
      </c>
      <c r="N165">
        <v>1009</v>
      </c>
      <c r="O165" t="s">
        <v>105</v>
      </c>
      <c r="P165" t="s">
        <v>105</v>
      </c>
      <c r="Q165">
        <v>1000</v>
      </c>
      <c r="X165">
        <v>0.02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 t="s">
        <v>3</v>
      </c>
      <c r="AG165">
        <v>0.02</v>
      </c>
      <c r="AH165">
        <v>2</v>
      </c>
      <c r="AI165">
        <v>39579822</v>
      </c>
      <c r="AJ165">
        <v>169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ROW(Source!A73)</f>
        <v>73</v>
      </c>
      <c r="B166">
        <v>39579823</v>
      </c>
      <c r="C166">
        <v>39579814</v>
      </c>
      <c r="D166">
        <v>36839220</v>
      </c>
      <c r="E166">
        <v>1</v>
      </c>
      <c r="F166">
        <v>1</v>
      </c>
      <c r="G166">
        <v>1</v>
      </c>
      <c r="H166">
        <v>3</v>
      </c>
      <c r="I166" t="s">
        <v>652</v>
      </c>
      <c r="J166" t="s">
        <v>653</v>
      </c>
      <c r="K166" t="s">
        <v>654</v>
      </c>
      <c r="L166">
        <v>1348</v>
      </c>
      <c r="N166">
        <v>1009</v>
      </c>
      <c r="O166" t="s">
        <v>105</v>
      </c>
      <c r="P166" t="s">
        <v>105</v>
      </c>
      <c r="Q166">
        <v>1000</v>
      </c>
      <c r="X166">
        <v>5.0000000000000001E-3</v>
      </c>
      <c r="Y166">
        <v>11397.1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3</v>
      </c>
      <c r="AG166">
        <v>5.0000000000000001E-3</v>
      </c>
      <c r="AH166">
        <v>2</v>
      </c>
      <c r="AI166">
        <v>39579823</v>
      </c>
      <c r="AJ166">
        <v>170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ROW(Source!A78)</f>
        <v>78</v>
      </c>
      <c r="B167">
        <v>39579705</v>
      </c>
      <c r="C167">
        <v>39579704</v>
      </c>
      <c r="D167">
        <v>37071037</v>
      </c>
      <c r="E167">
        <v>1</v>
      </c>
      <c r="F167">
        <v>1</v>
      </c>
      <c r="G167">
        <v>1</v>
      </c>
      <c r="H167">
        <v>1</v>
      </c>
      <c r="I167" t="s">
        <v>616</v>
      </c>
      <c r="J167" t="s">
        <v>3</v>
      </c>
      <c r="K167" t="s">
        <v>617</v>
      </c>
      <c r="L167">
        <v>1191</v>
      </c>
      <c r="N167">
        <v>1013</v>
      </c>
      <c r="O167" t="s">
        <v>519</v>
      </c>
      <c r="P167" t="s">
        <v>519</v>
      </c>
      <c r="Q167">
        <v>1</v>
      </c>
      <c r="X167">
        <v>8.3800000000000008</v>
      </c>
      <c r="Y167">
        <v>0</v>
      </c>
      <c r="Z167">
        <v>0</v>
      </c>
      <c r="AA167">
        <v>0</v>
      </c>
      <c r="AB167">
        <v>9.6199999999999992</v>
      </c>
      <c r="AC167">
        <v>0</v>
      </c>
      <c r="AD167">
        <v>1</v>
      </c>
      <c r="AE167">
        <v>1</v>
      </c>
      <c r="AF167" t="s">
        <v>79</v>
      </c>
      <c r="AG167">
        <v>9.6370000000000005</v>
      </c>
      <c r="AH167">
        <v>2</v>
      </c>
      <c r="AI167">
        <v>39579705</v>
      </c>
      <c r="AJ167">
        <v>171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ROW(Source!A78)</f>
        <v>78</v>
      </c>
      <c r="B168">
        <v>39579706</v>
      </c>
      <c r="C168">
        <v>39579704</v>
      </c>
      <c r="D168">
        <v>36797607</v>
      </c>
      <c r="E168">
        <v>17</v>
      </c>
      <c r="F168">
        <v>1</v>
      </c>
      <c r="G168">
        <v>1</v>
      </c>
      <c r="H168">
        <v>3</v>
      </c>
      <c r="I168" t="s">
        <v>228</v>
      </c>
      <c r="J168" t="s">
        <v>3</v>
      </c>
      <c r="K168" t="s">
        <v>229</v>
      </c>
      <c r="L168">
        <v>1348</v>
      </c>
      <c r="N168">
        <v>1009</v>
      </c>
      <c r="O168" t="s">
        <v>105</v>
      </c>
      <c r="P168" t="s">
        <v>105</v>
      </c>
      <c r="Q168">
        <v>1000</v>
      </c>
      <c r="X168">
        <v>1.6E-2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 t="s">
        <v>3</v>
      </c>
      <c r="AG168">
        <v>1.6E-2</v>
      </c>
      <c r="AH168">
        <v>2</v>
      </c>
      <c r="AI168">
        <v>39579706</v>
      </c>
      <c r="AJ168">
        <v>173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ROW(Source!A81)</f>
        <v>81</v>
      </c>
      <c r="B169">
        <v>39579907</v>
      </c>
      <c r="C169">
        <v>39579906</v>
      </c>
      <c r="D169">
        <v>37075528</v>
      </c>
      <c r="E169">
        <v>1</v>
      </c>
      <c r="F169">
        <v>1</v>
      </c>
      <c r="G169">
        <v>1</v>
      </c>
      <c r="H169">
        <v>1</v>
      </c>
      <c r="I169" t="s">
        <v>655</v>
      </c>
      <c r="J169" t="s">
        <v>3</v>
      </c>
      <c r="K169" t="s">
        <v>656</v>
      </c>
      <c r="L169">
        <v>1191</v>
      </c>
      <c r="N169">
        <v>1013</v>
      </c>
      <c r="O169" t="s">
        <v>519</v>
      </c>
      <c r="P169" t="s">
        <v>519</v>
      </c>
      <c r="Q169">
        <v>1</v>
      </c>
      <c r="X169">
        <v>324.82</v>
      </c>
      <c r="Y169">
        <v>0</v>
      </c>
      <c r="Z169">
        <v>0</v>
      </c>
      <c r="AA169">
        <v>0</v>
      </c>
      <c r="AB169">
        <v>10.06</v>
      </c>
      <c r="AC169">
        <v>0</v>
      </c>
      <c r="AD169">
        <v>1</v>
      </c>
      <c r="AE169">
        <v>1</v>
      </c>
      <c r="AF169" t="s">
        <v>79</v>
      </c>
      <c r="AG169">
        <v>373.54299999999995</v>
      </c>
      <c r="AH169">
        <v>2</v>
      </c>
      <c r="AI169">
        <v>39579907</v>
      </c>
      <c r="AJ169">
        <v>174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ROW(Source!A81)</f>
        <v>81</v>
      </c>
      <c r="B170">
        <v>39579908</v>
      </c>
      <c r="C170">
        <v>39579906</v>
      </c>
      <c r="D170">
        <v>37064876</v>
      </c>
      <c r="E170">
        <v>1</v>
      </c>
      <c r="F170">
        <v>1</v>
      </c>
      <c r="G170">
        <v>1</v>
      </c>
      <c r="H170">
        <v>1</v>
      </c>
      <c r="I170" t="s">
        <v>520</v>
      </c>
      <c r="J170" t="s">
        <v>3</v>
      </c>
      <c r="K170" t="s">
        <v>521</v>
      </c>
      <c r="L170">
        <v>1191</v>
      </c>
      <c r="N170">
        <v>1013</v>
      </c>
      <c r="O170" t="s">
        <v>519</v>
      </c>
      <c r="P170" t="s">
        <v>519</v>
      </c>
      <c r="Q170">
        <v>1</v>
      </c>
      <c r="X170">
        <v>2.48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2</v>
      </c>
      <c r="AF170" t="s">
        <v>78</v>
      </c>
      <c r="AG170">
        <v>3.1</v>
      </c>
      <c r="AH170">
        <v>2</v>
      </c>
      <c r="AI170">
        <v>39579908</v>
      </c>
      <c r="AJ170">
        <v>175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ROW(Source!A81)</f>
        <v>81</v>
      </c>
      <c r="B171">
        <v>39579909</v>
      </c>
      <c r="C171">
        <v>39579906</v>
      </c>
      <c r="D171">
        <v>36882159</v>
      </c>
      <c r="E171">
        <v>1</v>
      </c>
      <c r="F171">
        <v>1</v>
      </c>
      <c r="G171">
        <v>1</v>
      </c>
      <c r="H171">
        <v>2</v>
      </c>
      <c r="I171" t="s">
        <v>620</v>
      </c>
      <c r="J171" t="s">
        <v>621</v>
      </c>
      <c r="K171" t="s">
        <v>622</v>
      </c>
      <c r="L171">
        <v>1368</v>
      </c>
      <c r="N171">
        <v>1011</v>
      </c>
      <c r="O171" t="s">
        <v>525</v>
      </c>
      <c r="P171" t="s">
        <v>525</v>
      </c>
      <c r="Q171">
        <v>1</v>
      </c>
      <c r="X171">
        <v>2.2000000000000002</v>
      </c>
      <c r="Y171">
        <v>0</v>
      </c>
      <c r="Z171">
        <v>111.99</v>
      </c>
      <c r="AA171">
        <v>13.5</v>
      </c>
      <c r="AB171">
        <v>0</v>
      </c>
      <c r="AC171">
        <v>0</v>
      </c>
      <c r="AD171">
        <v>1</v>
      </c>
      <c r="AE171">
        <v>0</v>
      </c>
      <c r="AF171" t="s">
        <v>78</v>
      </c>
      <c r="AG171">
        <v>2.75</v>
      </c>
      <c r="AH171">
        <v>2</v>
      </c>
      <c r="AI171">
        <v>39579909</v>
      </c>
      <c r="AJ171">
        <v>176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ROW(Source!A81)</f>
        <v>81</v>
      </c>
      <c r="B172">
        <v>39579910</v>
      </c>
      <c r="C172">
        <v>39579906</v>
      </c>
      <c r="D172">
        <v>36882358</v>
      </c>
      <c r="E172">
        <v>1</v>
      </c>
      <c r="F172">
        <v>1</v>
      </c>
      <c r="G172">
        <v>1</v>
      </c>
      <c r="H172">
        <v>2</v>
      </c>
      <c r="I172" t="s">
        <v>657</v>
      </c>
      <c r="J172" t="s">
        <v>658</v>
      </c>
      <c r="K172" t="s">
        <v>659</v>
      </c>
      <c r="L172">
        <v>1368</v>
      </c>
      <c r="N172">
        <v>1011</v>
      </c>
      <c r="O172" t="s">
        <v>525</v>
      </c>
      <c r="P172" t="s">
        <v>525</v>
      </c>
      <c r="Q172">
        <v>1</v>
      </c>
      <c r="X172">
        <v>43.9</v>
      </c>
      <c r="Y172">
        <v>0</v>
      </c>
      <c r="Z172">
        <v>6.9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78</v>
      </c>
      <c r="AG172">
        <v>54.875</v>
      </c>
      <c r="AH172">
        <v>2</v>
      </c>
      <c r="AI172">
        <v>39579910</v>
      </c>
      <c r="AJ172">
        <v>177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ROW(Source!A81)</f>
        <v>81</v>
      </c>
      <c r="B173">
        <v>39579911</v>
      </c>
      <c r="C173">
        <v>39579906</v>
      </c>
      <c r="D173">
        <v>36883554</v>
      </c>
      <c r="E173">
        <v>1</v>
      </c>
      <c r="F173">
        <v>1</v>
      </c>
      <c r="G173">
        <v>1</v>
      </c>
      <c r="H173">
        <v>2</v>
      </c>
      <c r="I173" t="s">
        <v>526</v>
      </c>
      <c r="J173" t="s">
        <v>527</v>
      </c>
      <c r="K173" t="s">
        <v>528</v>
      </c>
      <c r="L173">
        <v>1368</v>
      </c>
      <c r="N173">
        <v>1011</v>
      </c>
      <c r="O173" t="s">
        <v>525</v>
      </c>
      <c r="P173" t="s">
        <v>525</v>
      </c>
      <c r="Q173">
        <v>1</v>
      </c>
      <c r="X173">
        <v>0.28000000000000003</v>
      </c>
      <c r="Y173">
        <v>0</v>
      </c>
      <c r="Z173">
        <v>65.709999999999994</v>
      </c>
      <c r="AA173">
        <v>11.6</v>
      </c>
      <c r="AB173">
        <v>0</v>
      </c>
      <c r="AC173">
        <v>0</v>
      </c>
      <c r="AD173">
        <v>1</v>
      </c>
      <c r="AE173">
        <v>0</v>
      </c>
      <c r="AF173" t="s">
        <v>78</v>
      </c>
      <c r="AG173">
        <v>0.35000000000000003</v>
      </c>
      <c r="AH173">
        <v>2</v>
      </c>
      <c r="AI173">
        <v>39579911</v>
      </c>
      <c r="AJ173">
        <v>178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ROW(Source!A81)</f>
        <v>81</v>
      </c>
      <c r="B174">
        <v>39579912</v>
      </c>
      <c r="C174">
        <v>39579906</v>
      </c>
      <c r="D174">
        <v>36805352</v>
      </c>
      <c r="E174">
        <v>1</v>
      </c>
      <c r="F174">
        <v>1</v>
      </c>
      <c r="G174">
        <v>1</v>
      </c>
      <c r="H174">
        <v>3</v>
      </c>
      <c r="I174" t="s">
        <v>258</v>
      </c>
      <c r="J174" t="s">
        <v>260</v>
      </c>
      <c r="K174" t="s">
        <v>259</v>
      </c>
      <c r="L174">
        <v>1346</v>
      </c>
      <c r="N174">
        <v>1009</v>
      </c>
      <c r="O174" t="s">
        <v>118</v>
      </c>
      <c r="P174" t="s">
        <v>118</v>
      </c>
      <c r="Q174">
        <v>1</v>
      </c>
      <c r="X174">
        <v>0</v>
      </c>
      <c r="Y174">
        <v>28.26</v>
      </c>
      <c r="Z174">
        <v>0</v>
      </c>
      <c r="AA174">
        <v>0</v>
      </c>
      <c r="AB174">
        <v>0</v>
      </c>
      <c r="AC174">
        <v>1</v>
      </c>
      <c r="AD174">
        <v>0</v>
      </c>
      <c r="AE174">
        <v>0</v>
      </c>
      <c r="AF174" t="s">
        <v>3</v>
      </c>
      <c r="AG174">
        <v>0</v>
      </c>
      <c r="AH174">
        <v>2</v>
      </c>
      <c r="AI174">
        <v>39580337</v>
      </c>
      <c r="AJ174">
        <v>181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ROW(Source!A81)</f>
        <v>81</v>
      </c>
      <c r="B175">
        <v>39579913</v>
      </c>
      <c r="C175">
        <v>39579906</v>
      </c>
      <c r="D175">
        <v>36805527</v>
      </c>
      <c r="E175">
        <v>1</v>
      </c>
      <c r="F175">
        <v>1</v>
      </c>
      <c r="G175">
        <v>1</v>
      </c>
      <c r="H175">
        <v>3</v>
      </c>
      <c r="I175" t="s">
        <v>660</v>
      </c>
      <c r="J175" t="s">
        <v>661</v>
      </c>
      <c r="K175" t="s">
        <v>662</v>
      </c>
      <c r="L175">
        <v>1348</v>
      </c>
      <c r="N175">
        <v>1009</v>
      </c>
      <c r="O175" t="s">
        <v>105</v>
      </c>
      <c r="P175" t="s">
        <v>105</v>
      </c>
      <c r="Q175">
        <v>1000</v>
      </c>
      <c r="X175">
        <v>1.15E-3</v>
      </c>
      <c r="Y175">
        <v>37900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1.15E-3</v>
      </c>
      <c r="AH175">
        <v>2</v>
      </c>
      <c r="AI175">
        <v>39579913</v>
      </c>
      <c r="AJ175">
        <v>182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ROW(Source!A81)</f>
        <v>81</v>
      </c>
      <c r="B176">
        <v>39579914</v>
      </c>
      <c r="C176">
        <v>39579906</v>
      </c>
      <c r="D176">
        <v>36805665</v>
      </c>
      <c r="E176">
        <v>1</v>
      </c>
      <c r="F176">
        <v>1</v>
      </c>
      <c r="G176">
        <v>1</v>
      </c>
      <c r="H176">
        <v>3</v>
      </c>
      <c r="I176" t="s">
        <v>776</v>
      </c>
      <c r="J176" t="s">
        <v>777</v>
      </c>
      <c r="K176" t="s">
        <v>778</v>
      </c>
      <c r="L176">
        <v>1327</v>
      </c>
      <c r="N176">
        <v>1005</v>
      </c>
      <c r="O176" t="s">
        <v>154</v>
      </c>
      <c r="P176" t="s">
        <v>154</v>
      </c>
      <c r="Q176">
        <v>1</v>
      </c>
      <c r="X176">
        <v>0</v>
      </c>
      <c r="Y176">
        <v>52</v>
      </c>
      <c r="Z176">
        <v>0</v>
      </c>
      <c r="AA176">
        <v>0</v>
      </c>
      <c r="AB176">
        <v>0</v>
      </c>
      <c r="AC176">
        <v>1</v>
      </c>
      <c r="AD176">
        <v>0</v>
      </c>
      <c r="AE176">
        <v>0</v>
      </c>
      <c r="AF176" t="s">
        <v>3</v>
      </c>
      <c r="AG176">
        <v>0</v>
      </c>
      <c r="AH176">
        <v>3</v>
      </c>
      <c r="AI176">
        <v>-1</v>
      </c>
      <c r="AJ176" t="s">
        <v>3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ROW(Source!A81)</f>
        <v>81</v>
      </c>
      <c r="B177">
        <v>39579915</v>
      </c>
      <c r="C177">
        <v>39579906</v>
      </c>
      <c r="D177">
        <v>36805751</v>
      </c>
      <c r="E177">
        <v>1</v>
      </c>
      <c r="F177">
        <v>1</v>
      </c>
      <c r="G177">
        <v>1</v>
      </c>
      <c r="H177">
        <v>3</v>
      </c>
      <c r="I177" t="s">
        <v>779</v>
      </c>
      <c r="J177" t="s">
        <v>780</v>
      </c>
      <c r="K177" t="s">
        <v>781</v>
      </c>
      <c r="L177">
        <v>1327</v>
      </c>
      <c r="N177">
        <v>1005</v>
      </c>
      <c r="O177" t="s">
        <v>154</v>
      </c>
      <c r="P177" t="s">
        <v>154</v>
      </c>
      <c r="Q177">
        <v>1</v>
      </c>
      <c r="X177">
        <v>0</v>
      </c>
      <c r="Y177">
        <v>350</v>
      </c>
      <c r="Z177">
        <v>0</v>
      </c>
      <c r="AA177">
        <v>0</v>
      </c>
      <c r="AB177">
        <v>0</v>
      </c>
      <c r="AC177">
        <v>1</v>
      </c>
      <c r="AD177">
        <v>0</v>
      </c>
      <c r="AE177">
        <v>0</v>
      </c>
      <c r="AF177" t="s">
        <v>3</v>
      </c>
      <c r="AG177">
        <v>0</v>
      </c>
      <c r="AH177">
        <v>3</v>
      </c>
      <c r="AI177">
        <v>-1</v>
      </c>
      <c r="AJ177" t="s">
        <v>3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ROW(Source!A81)</f>
        <v>81</v>
      </c>
      <c r="B178">
        <v>39579916</v>
      </c>
      <c r="C178">
        <v>39579906</v>
      </c>
      <c r="D178">
        <v>36823258</v>
      </c>
      <c r="E178">
        <v>1</v>
      </c>
      <c r="F178">
        <v>1</v>
      </c>
      <c r="G178">
        <v>1</v>
      </c>
      <c r="H178">
        <v>3</v>
      </c>
      <c r="I178" t="s">
        <v>663</v>
      </c>
      <c r="J178" t="s">
        <v>664</v>
      </c>
      <c r="K178" t="s">
        <v>665</v>
      </c>
      <c r="L178">
        <v>1348</v>
      </c>
      <c r="N178">
        <v>1009</v>
      </c>
      <c r="O178" t="s">
        <v>105</v>
      </c>
      <c r="P178" t="s">
        <v>105</v>
      </c>
      <c r="Q178">
        <v>1000</v>
      </c>
      <c r="X178">
        <v>0.02</v>
      </c>
      <c r="Y178">
        <v>7712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0.02</v>
      </c>
      <c r="AH178">
        <v>2</v>
      </c>
      <c r="AI178">
        <v>39579916</v>
      </c>
      <c r="AJ178">
        <v>184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ROW(Source!A81)</f>
        <v>81</v>
      </c>
      <c r="B179">
        <v>39579917</v>
      </c>
      <c r="C179">
        <v>39579906</v>
      </c>
      <c r="D179">
        <v>36825287</v>
      </c>
      <c r="E179">
        <v>1</v>
      </c>
      <c r="F179">
        <v>1</v>
      </c>
      <c r="G179">
        <v>1</v>
      </c>
      <c r="H179">
        <v>3</v>
      </c>
      <c r="I179" t="s">
        <v>666</v>
      </c>
      <c r="J179" t="s">
        <v>667</v>
      </c>
      <c r="K179" t="s">
        <v>668</v>
      </c>
      <c r="L179">
        <v>1302</v>
      </c>
      <c r="N179">
        <v>1003</v>
      </c>
      <c r="O179" t="s">
        <v>307</v>
      </c>
      <c r="P179" t="s">
        <v>307</v>
      </c>
      <c r="Q179">
        <v>10</v>
      </c>
      <c r="X179">
        <v>0.2</v>
      </c>
      <c r="Y179">
        <v>50.24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3</v>
      </c>
      <c r="AG179">
        <v>0.2</v>
      </c>
      <c r="AH179">
        <v>2</v>
      </c>
      <c r="AI179">
        <v>39579917</v>
      </c>
      <c r="AJ179">
        <v>185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ROW(Source!A81)</f>
        <v>81</v>
      </c>
      <c r="B180">
        <v>39579918</v>
      </c>
      <c r="C180">
        <v>39579906</v>
      </c>
      <c r="D180">
        <v>36796836</v>
      </c>
      <c r="E180">
        <v>17</v>
      </c>
      <c r="F180">
        <v>1</v>
      </c>
      <c r="G180">
        <v>1</v>
      </c>
      <c r="H180">
        <v>3</v>
      </c>
      <c r="I180" t="s">
        <v>782</v>
      </c>
      <c r="J180" t="s">
        <v>3</v>
      </c>
      <c r="K180" t="s">
        <v>783</v>
      </c>
      <c r="L180">
        <v>1348</v>
      </c>
      <c r="N180">
        <v>1009</v>
      </c>
      <c r="O180" t="s">
        <v>105</v>
      </c>
      <c r="P180" t="s">
        <v>105</v>
      </c>
      <c r="Q180">
        <v>1000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1</v>
      </c>
      <c r="AD180">
        <v>0</v>
      </c>
      <c r="AE180">
        <v>0</v>
      </c>
      <c r="AF180" t="s">
        <v>3</v>
      </c>
      <c r="AG180">
        <v>0</v>
      </c>
      <c r="AH180">
        <v>3</v>
      </c>
      <c r="AI180">
        <v>-1</v>
      </c>
      <c r="AJ180" t="s">
        <v>3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ROW(Source!A81)</f>
        <v>81</v>
      </c>
      <c r="B181">
        <v>39579919</v>
      </c>
      <c r="C181">
        <v>39579906</v>
      </c>
      <c r="D181">
        <v>36830313</v>
      </c>
      <c r="E181">
        <v>1</v>
      </c>
      <c r="F181">
        <v>1</v>
      </c>
      <c r="G181">
        <v>1</v>
      </c>
      <c r="H181">
        <v>3</v>
      </c>
      <c r="I181" t="s">
        <v>669</v>
      </c>
      <c r="J181" t="s">
        <v>670</v>
      </c>
      <c r="K181" t="s">
        <v>671</v>
      </c>
      <c r="L181">
        <v>1339</v>
      </c>
      <c r="N181">
        <v>1007</v>
      </c>
      <c r="O181" t="s">
        <v>86</v>
      </c>
      <c r="P181" t="s">
        <v>86</v>
      </c>
      <c r="Q181">
        <v>1</v>
      </c>
      <c r="X181">
        <v>0.04</v>
      </c>
      <c r="Y181">
        <v>1700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0.04</v>
      </c>
      <c r="AH181">
        <v>2</v>
      </c>
      <c r="AI181">
        <v>39579919</v>
      </c>
      <c r="AJ181">
        <v>188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ROW(Source!A88)</f>
        <v>88</v>
      </c>
      <c r="B182">
        <v>39579932</v>
      </c>
      <c r="C182">
        <v>39579931</v>
      </c>
      <c r="D182">
        <v>37072767</v>
      </c>
      <c r="E182">
        <v>1</v>
      </c>
      <c r="F182">
        <v>1</v>
      </c>
      <c r="G182">
        <v>1</v>
      </c>
      <c r="H182">
        <v>1</v>
      </c>
      <c r="I182" t="s">
        <v>583</v>
      </c>
      <c r="J182" t="s">
        <v>3</v>
      </c>
      <c r="K182" t="s">
        <v>584</v>
      </c>
      <c r="L182">
        <v>1191</v>
      </c>
      <c r="N182">
        <v>1013</v>
      </c>
      <c r="O182" t="s">
        <v>519</v>
      </c>
      <c r="P182" t="s">
        <v>519</v>
      </c>
      <c r="Q182">
        <v>1</v>
      </c>
      <c r="X182">
        <v>89.53</v>
      </c>
      <c r="Y182">
        <v>0</v>
      </c>
      <c r="Z182">
        <v>0</v>
      </c>
      <c r="AA182">
        <v>0</v>
      </c>
      <c r="AB182">
        <v>9.18</v>
      </c>
      <c r="AC182">
        <v>0</v>
      </c>
      <c r="AD182">
        <v>1</v>
      </c>
      <c r="AE182">
        <v>1</v>
      </c>
      <c r="AF182" t="s">
        <v>79</v>
      </c>
      <c r="AG182">
        <v>102.95949999999999</v>
      </c>
      <c r="AH182">
        <v>2</v>
      </c>
      <c r="AI182">
        <v>39579932</v>
      </c>
      <c r="AJ182">
        <v>189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ROW(Source!A88)</f>
        <v>88</v>
      </c>
      <c r="B183">
        <v>39579933</v>
      </c>
      <c r="C183">
        <v>39579931</v>
      </c>
      <c r="D183">
        <v>37064876</v>
      </c>
      <c r="E183">
        <v>1</v>
      </c>
      <c r="F183">
        <v>1</v>
      </c>
      <c r="G183">
        <v>1</v>
      </c>
      <c r="H183">
        <v>1</v>
      </c>
      <c r="I183" t="s">
        <v>520</v>
      </c>
      <c r="J183" t="s">
        <v>3</v>
      </c>
      <c r="K183" t="s">
        <v>521</v>
      </c>
      <c r="L183">
        <v>1191</v>
      </c>
      <c r="N183">
        <v>1013</v>
      </c>
      <c r="O183" t="s">
        <v>519</v>
      </c>
      <c r="P183" t="s">
        <v>519</v>
      </c>
      <c r="Q183">
        <v>1</v>
      </c>
      <c r="X183">
        <v>11.68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2</v>
      </c>
      <c r="AF183" t="s">
        <v>78</v>
      </c>
      <c r="AG183">
        <v>14.6</v>
      </c>
      <c r="AH183">
        <v>2</v>
      </c>
      <c r="AI183">
        <v>39579933</v>
      </c>
      <c r="AJ183">
        <v>190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ROW(Source!A88)</f>
        <v>88</v>
      </c>
      <c r="B184">
        <v>39579934</v>
      </c>
      <c r="C184">
        <v>39579931</v>
      </c>
      <c r="D184">
        <v>36882057</v>
      </c>
      <c r="E184">
        <v>1</v>
      </c>
      <c r="F184">
        <v>1</v>
      </c>
      <c r="G184">
        <v>1</v>
      </c>
      <c r="H184">
        <v>2</v>
      </c>
      <c r="I184" t="s">
        <v>672</v>
      </c>
      <c r="J184" t="s">
        <v>673</v>
      </c>
      <c r="K184" t="s">
        <v>674</v>
      </c>
      <c r="L184">
        <v>1368</v>
      </c>
      <c r="N184">
        <v>1011</v>
      </c>
      <c r="O184" t="s">
        <v>525</v>
      </c>
      <c r="P184" t="s">
        <v>525</v>
      </c>
      <c r="Q184">
        <v>1</v>
      </c>
      <c r="X184">
        <v>9.69</v>
      </c>
      <c r="Y184">
        <v>0</v>
      </c>
      <c r="Z184">
        <v>86.4</v>
      </c>
      <c r="AA184">
        <v>13.5</v>
      </c>
      <c r="AB184">
        <v>0</v>
      </c>
      <c r="AC184">
        <v>0</v>
      </c>
      <c r="AD184">
        <v>1</v>
      </c>
      <c r="AE184">
        <v>0</v>
      </c>
      <c r="AF184" t="s">
        <v>78</v>
      </c>
      <c r="AG184">
        <v>12.112499999999999</v>
      </c>
      <c r="AH184">
        <v>2</v>
      </c>
      <c r="AI184">
        <v>39579934</v>
      </c>
      <c r="AJ184">
        <v>191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ROW(Source!A88)</f>
        <v>88</v>
      </c>
      <c r="B185">
        <v>39579935</v>
      </c>
      <c r="C185">
        <v>39579931</v>
      </c>
      <c r="D185">
        <v>36883554</v>
      </c>
      <c r="E185">
        <v>1</v>
      </c>
      <c r="F185">
        <v>1</v>
      </c>
      <c r="G185">
        <v>1</v>
      </c>
      <c r="H185">
        <v>2</v>
      </c>
      <c r="I185" t="s">
        <v>526</v>
      </c>
      <c r="J185" t="s">
        <v>527</v>
      </c>
      <c r="K185" t="s">
        <v>528</v>
      </c>
      <c r="L185">
        <v>1368</v>
      </c>
      <c r="N185">
        <v>1011</v>
      </c>
      <c r="O185" t="s">
        <v>525</v>
      </c>
      <c r="P185" t="s">
        <v>525</v>
      </c>
      <c r="Q185">
        <v>1</v>
      </c>
      <c r="X185">
        <v>1.99</v>
      </c>
      <c r="Y185">
        <v>0</v>
      </c>
      <c r="Z185">
        <v>65.709999999999994</v>
      </c>
      <c r="AA185">
        <v>11.6</v>
      </c>
      <c r="AB185">
        <v>0</v>
      </c>
      <c r="AC185">
        <v>0</v>
      </c>
      <c r="AD185">
        <v>1</v>
      </c>
      <c r="AE185">
        <v>0</v>
      </c>
      <c r="AF185" t="s">
        <v>78</v>
      </c>
      <c r="AG185">
        <v>2.4874999999999998</v>
      </c>
      <c r="AH185">
        <v>2</v>
      </c>
      <c r="AI185">
        <v>39579935</v>
      </c>
      <c r="AJ185">
        <v>192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ROW(Source!A88)</f>
        <v>88</v>
      </c>
      <c r="B186">
        <v>39579936</v>
      </c>
      <c r="C186">
        <v>39579931</v>
      </c>
      <c r="D186">
        <v>36796888</v>
      </c>
      <c r="E186">
        <v>17</v>
      </c>
      <c r="F186">
        <v>1</v>
      </c>
      <c r="G186">
        <v>1</v>
      </c>
      <c r="H186">
        <v>3</v>
      </c>
      <c r="I186" t="s">
        <v>769</v>
      </c>
      <c r="J186" t="s">
        <v>3</v>
      </c>
      <c r="K186" t="s">
        <v>784</v>
      </c>
      <c r="L186">
        <v>1035</v>
      </c>
      <c r="N186">
        <v>1013</v>
      </c>
      <c r="O186" t="s">
        <v>247</v>
      </c>
      <c r="P186" t="s">
        <v>247</v>
      </c>
      <c r="Q186">
        <v>1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1</v>
      </c>
      <c r="AD186">
        <v>0</v>
      </c>
      <c r="AE186">
        <v>0</v>
      </c>
      <c r="AF186" t="s">
        <v>3</v>
      </c>
      <c r="AG186">
        <v>0</v>
      </c>
      <c r="AH186">
        <v>3</v>
      </c>
      <c r="AI186">
        <v>-1</v>
      </c>
      <c r="AJ186" t="s">
        <v>3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ROW(Source!A88)</f>
        <v>88</v>
      </c>
      <c r="B187">
        <v>39579937</v>
      </c>
      <c r="C187">
        <v>39579931</v>
      </c>
      <c r="D187">
        <v>36804545</v>
      </c>
      <c r="E187">
        <v>1</v>
      </c>
      <c r="F187">
        <v>1</v>
      </c>
      <c r="G187">
        <v>1</v>
      </c>
      <c r="H187">
        <v>3</v>
      </c>
      <c r="I187" t="s">
        <v>675</v>
      </c>
      <c r="J187" t="s">
        <v>676</v>
      </c>
      <c r="K187" t="s">
        <v>677</v>
      </c>
      <c r="L187">
        <v>1348</v>
      </c>
      <c r="N187">
        <v>1009</v>
      </c>
      <c r="O187" t="s">
        <v>105</v>
      </c>
      <c r="P187" t="s">
        <v>105</v>
      </c>
      <c r="Q187">
        <v>1000</v>
      </c>
      <c r="X187">
        <v>4.13E-3</v>
      </c>
      <c r="Y187">
        <v>11978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4.13E-3</v>
      </c>
      <c r="AH187">
        <v>2</v>
      </c>
      <c r="AI187">
        <v>39579937</v>
      </c>
      <c r="AJ187">
        <v>196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ROW(Source!A88)</f>
        <v>88</v>
      </c>
      <c r="B188">
        <v>39579938</v>
      </c>
      <c r="C188">
        <v>39579931</v>
      </c>
      <c r="D188">
        <v>36807324</v>
      </c>
      <c r="E188">
        <v>1</v>
      </c>
      <c r="F188">
        <v>1</v>
      </c>
      <c r="G188">
        <v>1</v>
      </c>
      <c r="H188">
        <v>3</v>
      </c>
      <c r="I188" t="s">
        <v>678</v>
      </c>
      <c r="J188" t="s">
        <v>679</v>
      </c>
      <c r="K188" t="s">
        <v>680</v>
      </c>
      <c r="L188">
        <v>1339</v>
      </c>
      <c r="N188">
        <v>1007</v>
      </c>
      <c r="O188" t="s">
        <v>86</v>
      </c>
      <c r="P188" t="s">
        <v>86</v>
      </c>
      <c r="Q188">
        <v>1</v>
      </c>
      <c r="X188">
        <v>0.105</v>
      </c>
      <c r="Y188">
        <v>458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0.105</v>
      </c>
      <c r="AH188">
        <v>2</v>
      </c>
      <c r="AI188">
        <v>39579938</v>
      </c>
      <c r="AJ188">
        <v>197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ROW(Source!A88)</f>
        <v>88</v>
      </c>
      <c r="B189">
        <v>39579939</v>
      </c>
      <c r="C189">
        <v>39579931</v>
      </c>
      <c r="D189">
        <v>36796962</v>
      </c>
      <c r="E189">
        <v>17</v>
      </c>
      <c r="F189">
        <v>1</v>
      </c>
      <c r="G189">
        <v>1</v>
      </c>
      <c r="H189">
        <v>3</v>
      </c>
      <c r="I189" t="s">
        <v>785</v>
      </c>
      <c r="J189" t="s">
        <v>3</v>
      </c>
      <c r="K189" t="s">
        <v>786</v>
      </c>
      <c r="L189">
        <v>1346</v>
      </c>
      <c r="N189">
        <v>1009</v>
      </c>
      <c r="O189" t="s">
        <v>118</v>
      </c>
      <c r="P189" t="s">
        <v>118</v>
      </c>
      <c r="Q189">
        <v>1</v>
      </c>
      <c r="X189">
        <v>37.5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 t="s">
        <v>3</v>
      </c>
      <c r="AG189">
        <v>37.5</v>
      </c>
      <c r="AH189">
        <v>3</v>
      </c>
      <c r="AI189">
        <v>-1</v>
      </c>
      <c r="AJ189" t="s">
        <v>3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ROW(Source!A88)</f>
        <v>88</v>
      </c>
      <c r="B190">
        <v>39579940</v>
      </c>
      <c r="C190">
        <v>39579931</v>
      </c>
      <c r="D190">
        <v>36830501</v>
      </c>
      <c r="E190">
        <v>1</v>
      </c>
      <c r="F190">
        <v>1</v>
      </c>
      <c r="G190">
        <v>1</v>
      </c>
      <c r="H190">
        <v>3</v>
      </c>
      <c r="I190" t="s">
        <v>681</v>
      </c>
      <c r="J190" t="s">
        <v>682</v>
      </c>
      <c r="K190" t="s">
        <v>683</v>
      </c>
      <c r="L190">
        <v>1339</v>
      </c>
      <c r="N190">
        <v>1007</v>
      </c>
      <c r="O190" t="s">
        <v>86</v>
      </c>
      <c r="P190" t="s">
        <v>86</v>
      </c>
      <c r="Q190">
        <v>1</v>
      </c>
      <c r="X190">
        <v>0.08</v>
      </c>
      <c r="Y190">
        <v>1100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0.08</v>
      </c>
      <c r="AH190">
        <v>2</v>
      </c>
      <c r="AI190">
        <v>39579940</v>
      </c>
      <c r="AJ190">
        <v>198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ROW(Source!A88)</f>
        <v>88</v>
      </c>
      <c r="B191">
        <v>39579941</v>
      </c>
      <c r="C191">
        <v>39579931</v>
      </c>
      <c r="D191">
        <v>36796984</v>
      </c>
      <c r="E191">
        <v>17</v>
      </c>
      <c r="F191">
        <v>1</v>
      </c>
      <c r="G191">
        <v>1</v>
      </c>
      <c r="H191">
        <v>3</v>
      </c>
      <c r="I191" t="s">
        <v>280</v>
      </c>
      <c r="J191" t="s">
        <v>3</v>
      </c>
      <c r="K191" t="s">
        <v>281</v>
      </c>
      <c r="L191">
        <v>1327</v>
      </c>
      <c r="N191">
        <v>1005</v>
      </c>
      <c r="O191" t="s">
        <v>154</v>
      </c>
      <c r="P191" t="s">
        <v>154</v>
      </c>
      <c r="Q191">
        <v>1</v>
      </c>
      <c r="X191">
        <v>100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 t="s">
        <v>3</v>
      </c>
      <c r="AG191">
        <v>100</v>
      </c>
      <c r="AH191">
        <v>2</v>
      </c>
      <c r="AI191">
        <v>39579941</v>
      </c>
      <c r="AJ191">
        <v>199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ROW(Source!A88)</f>
        <v>88</v>
      </c>
      <c r="B192">
        <v>39579942</v>
      </c>
      <c r="C192">
        <v>39579931</v>
      </c>
      <c r="D192">
        <v>36838798</v>
      </c>
      <c r="E192">
        <v>1</v>
      </c>
      <c r="F192">
        <v>1</v>
      </c>
      <c r="G192">
        <v>1</v>
      </c>
      <c r="H192">
        <v>3</v>
      </c>
      <c r="I192" t="s">
        <v>684</v>
      </c>
      <c r="J192" t="s">
        <v>685</v>
      </c>
      <c r="K192" t="s">
        <v>686</v>
      </c>
      <c r="L192">
        <v>1296</v>
      </c>
      <c r="N192">
        <v>1002</v>
      </c>
      <c r="O192" t="s">
        <v>215</v>
      </c>
      <c r="P192" t="s">
        <v>215</v>
      </c>
      <c r="Q192">
        <v>1</v>
      </c>
      <c r="X192">
        <v>32.4</v>
      </c>
      <c r="Y192">
        <v>46.86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32.4</v>
      </c>
      <c r="AH192">
        <v>2</v>
      </c>
      <c r="AI192">
        <v>39579942</v>
      </c>
      <c r="AJ192">
        <v>202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ROW(Source!A95)</f>
        <v>95</v>
      </c>
      <c r="B193">
        <v>39579957</v>
      </c>
      <c r="C193">
        <v>39579956</v>
      </c>
      <c r="D193">
        <v>37066491</v>
      </c>
      <c r="E193">
        <v>1</v>
      </c>
      <c r="F193">
        <v>1</v>
      </c>
      <c r="G193">
        <v>1</v>
      </c>
      <c r="H193">
        <v>1</v>
      </c>
      <c r="I193" t="s">
        <v>687</v>
      </c>
      <c r="J193" t="s">
        <v>3</v>
      </c>
      <c r="K193" t="s">
        <v>688</v>
      </c>
      <c r="L193">
        <v>1191</v>
      </c>
      <c r="N193">
        <v>1013</v>
      </c>
      <c r="O193" t="s">
        <v>519</v>
      </c>
      <c r="P193" t="s">
        <v>519</v>
      </c>
      <c r="Q193">
        <v>1</v>
      </c>
      <c r="X193">
        <v>17.89</v>
      </c>
      <c r="Y193">
        <v>0</v>
      </c>
      <c r="Z193">
        <v>0</v>
      </c>
      <c r="AA193">
        <v>0</v>
      </c>
      <c r="AB193">
        <v>8.02</v>
      </c>
      <c r="AC193">
        <v>0</v>
      </c>
      <c r="AD193">
        <v>1</v>
      </c>
      <c r="AE193">
        <v>1</v>
      </c>
      <c r="AF193" t="s">
        <v>3</v>
      </c>
      <c r="AG193">
        <v>17.89</v>
      </c>
      <c r="AH193">
        <v>2</v>
      </c>
      <c r="AI193">
        <v>39579957</v>
      </c>
      <c r="AJ193">
        <v>203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ROW(Source!A95)</f>
        <v>95</v>
      </c>
      <c r="B194">
        <v>39579958</v>
      </c>
      <c r="C194">
        <v>39579956</v>
      </c>
      <c r="D194">
        <v>37064876</v>
      </c>
      <c r="E194">
        <v>1</v>
      </c>
      <c r="F194">
        <v>1</v>
      </c>
      <c r="G194">
        <v>1</v>
      </c>
      <c r="H194">
        <v>1</v>
      </c>
      <c r="I194" t="s">
        <v>520</v>
      </c>
      <c r="J194" t="s">
        <v>3</v>
      </c>
      <c r="K194" t="s">
        <v>521</v>
      </c>
      <c r="L194">
        <v>1191</v>
      </c>
      <c r="N194">
        <v>1013</v>
      </c>
      <c r="O194" t="s">
        <v>519</v>
      </c>
      <c r="P194" t="s">
        <v>519</v>
      </c>
      <c r="Q194">
        <v>1</v>
      </c>
      <c r="X194">
        <v>0.08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2</v>
      </c>
      <c r="AF194" t="s">
        <v>3</v>
      </c>
      <c r="AG194">
        <v>0.08</v>
      </c>
      <c r="AH194">
        <v>2</v>
      </c>
      <c r="AI194">
        <v>39579958</v>
      </c>
      <c r="AJ194">
        <v>204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ROW(Source!A95)</f>
        <v>95</v>
      </c>
      <c r="B195">
        <v>39579959</v>
      </c>
      <c r="C195">
        <v>39579956</v>
      </c>
      <c r="D195">
        <v>36882452</v>
      </c>
      <c r="E195">
        <v>1</v>
      </c>
      <c r="F195">
        <v>1</v>
      </c>
      <c r="G195">
        <v>1</v>
      </c>
      <c r="H195">
        <v>2</v>
      </c>
      <c r="I195" t="s">
        <v>522</v>
      </c>
      <c r="J195" t="s">
        <v>523</v>
      </c>
      <c r="K195" t="s">
        <v>524</v>
      </c>
      <c r="L195">
        <v>1368</v>
      </c>
      <c r="N195">
        <v>1011</v>
      </c>
      <c r="O195" t="s">
        <v>525</v>
      </c>
      <c r="P195" t="s">
        <v>525</v>
      </c>
      <c r="Q195">
        <v>1</v>
      </c>
      <c r="X195">
        <v>0.08</v>
      </c>
      <c r="Y195">
        <v>0</v>
      </c>
      <c r="Z195">
        <v>31.26</v>
      </c>
      <c r="AA195">
        <v>13.5</v>
      </c>
      <c r="AB195">
        <v>0</v>
      </c>
      <c r="AC195">
        <v>0</v>
      </c>
      <c r="AD195">
        <v>1</v>
      </c>
      <c r="AE195">
        <v>0</v>
      </c>
      <c r="AF195" t="s">
        <v>3</v>
      </c>
      <c r="AG195">
        <v>0.08</v>
      </c>
      <c r="AH195">
        <v>2</v>
      </c>
      <c r="AI195">
        <v>39579959</v>
      </c>
      <c r="AJ195">
        <v>205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ROW(Source!A96)</f>
        <v>96</v>
      </c>
      <c r="B196">
        <v>39579961</v>
      </c>
      <c r="C196">
        <v>39579960</v>
      </c>
      <c r="D196">
        <v>37080781</v>
      </c>
      <c r="E196">
        <v>1</v>
      </c>
      <c r="F196">
        <v>1</v>
      </c>
      <c r="G196">
        <v>1</v>
      </c>
      <c r="H196">
        <v>1</v>
      </c>
      <c r="I196" t="s">
        <v>689</v>
      </c>
      <c r="J196" t="s">
        <v>3</v>
      </c>
      <c r="K196" t="s">
        <v>690</v>
      </c>
      <c r="L196">
        <v>1191</v>
      </c>
      <c r="N196">
        <v>1013</v>
      </c>
      <c r="O196" t="s">
        <v>519</v>
      </c>
      <c r="P196" t="s">
        <v>519</v>
      </c>
      <c r="Q196">
        <v>1</v>
      </c>
      <c r="X196">
        <v>94.4</v>
      </c>
      <c r="Y196">
        <v>0</v>
      </c>
      <c r="Z196">
        <v>0</v>
      </c>
      <c r="AA196">
        <v>0</v>
      </c>
      <c r="AB196">
        <v>9.92</v>
      </c>
      <c r="AC196">
        <v>0</v>
      </c>
      <c r="AD196">
        <v>1</v>
      </c>
      <c r="AE196">
        <v>1</v>
      </c>
      <c r="AF196" t="s">
        <v>3</v>
      </c>
      <c r="AG196">
        <v>94.4</v>
      </c>
      <c r="AH196">
        <v>2</v>
      </c>
      <c r="AI196">
        <v>39579961</v>
      </c>
      <c r="AJ196">
        <v>206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ROW(Source!A96)</f>
        <v>96</v>
      </c>
      <c r="B197">
        <v>39579962</v>
      </c>
      <c r="C197">
        <v>39579960</v>
      </c>
      <c r="D197">
        <v>37064876</v>
      </c>
      <c r="E197">
        <v>1</v>
      </c>
      <c r="F197">
        <v>1</v>
      </c>
      <c r="G197">
        <v>1</v>
      </c>
      <c r="H197">
        <v>1</v>
      </c>
      <c r="I197" t="s">
        <v>520</v>
      </c>
      <c r="J197" t="s">
        <v>3</v>
      </c>
      <c r="K197" t="s">
        <v>521</v>
      </c>
      <c r="L197">
        <v>1191</v>
      </c>
      <c r="N197">
        <v>1013</v>
      </c>
      <c r="O197" t="s">
        <v>519</v>
      </c>
      <c r="P197" t="s">
        <v>519</v>
      </c>
      <c r="Q197">
        <v>1</v>
      </c>
      <c r="X197">
        <v>0.4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2</v>
      </c>
      <c r="AF197" t="s">
        <v>3</v>
      </c>
      <c r="AG197">
        <v>0.4</v>
      </c>
      <c r="AH197">
        <v>2</v>
      </c>
      <c r="AI197">
        <v>39579962</v>
      </c>
      <c r="AJ197">
        <v>207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ROW(Source!A96)</f>
        <v>96</v>
      </c>
      <c r="B198">
        <v>39579963</v>
      </c>
      <c r="C198">
        <v>39579960</v>
      </c>
      <c r="D198">
        <v>36882159</v>
      </c>
      <c r="E198">
        <v>1</v>
      </c>
      <c r="F198">
        <v>1</v>
      </c>
      <c r="G198">
        <v>1</v>
      </c>
      <c r="H198">
        <v>2</v>
      </c>
      <c r="I198" t="s">
        <v>620</v>
      </c>
      <c r="J198" t="s">
        <v>621</v>
      </c>
      <c r="K198" t="s">
        <v>622</v>
      </c>
      <c r="L198">
        <v>1368</v>
      </c>
      <c r="N198">
        <v>1011</v>
      </c>
      <c r="O198" t="s">
        <v>525</v>
      </c>
      <c r="P198" t="s">
        <v>525</v>
      </c>
      <c r="Q198">
        <v>1</v>
      </c>
      <c r="X198">
        <v>0.2</v>
      </c>
      <c r="Y198">
        <v>0</v>
      </c>
      <c r="Z198">
        <v>111.99</v>
      </c>
      <c r="AA198">
        <v>13.5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0.2</v>
      </c>
      <c r="AH198">
        <v>2</v>
      </c>
      <c r="AI198">
        <v>39579963</v>
      </c>
      <c r="AJ198">
        <v>208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ROW(Source!A96)</f>
        <v>96</v>
      </c>
      <c r="B199">
        <v>39579964</v>
      </c>
      <c r="C199">
        <v>39579960</v>
      </c>
      <c r="D199">
        <v>36883554</v>
      </c>
      <c r="E199">
        <v>1</v>
      </c>
      <c r="F199">
        <v>1</v>
      </c>
      <c r="G199">
        <v>1</v>
      </c>
      <c r="H199">
        <v>2</v>
      </c>
      <c r="I199" t="s">
        <v>526</v>
      </c>
      <c r="J199" t="s">
        <v>527</v>
      </c>
      <c r="K199" t="s">
        <v>528</v>
      </c>
      <c r="L199">
        <v>1368</v>
      </c>
      <c r="N199">
        <v>1011</v>
      </c>
      <c r="O199" t="s">
        <v>525</v>
      </c>
      <c r="P199" t="s">
        <v>525</v>
      </c>
      <c r="Q199">
        <v>1</v>
      </c>
      <c r="X199">
        <v>0.2</v>
      </c>
      <c r="Y199">
        <v>0</v>
      </c>
      <c r="Z199">
        <v>65.709999999999994</v>
      </c>
      <c r="AA199">
        <v>11.6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0.2</v>
      </c>
      <c r="AH199">
        <v>2</v>
      </c>
      <c r="AI199">
        <v>39579964</v>
      </c>
      <c r="AJ199">
        <v>209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ROW(Source!A96)</f>
        <v>96</v>
      </c>
      <c r="B200">
        <v>39579965</v>
      </c>
      <c r="C200">
        <v>39579960</v>
      </c>
      <c r="D200">
        <v>36855778</v>
      </c>
      <c r="E200">
        <v>1</v>
      </c>
      <c r="F200">
        <v>1</v>
      </c>
      <c r="G200">
        <v>1</v>
      </c>
      <c r="H200">
        <v>3</v>
      </c>
      <c r="I200" t="s">
        <v>691</v>
      </c>
      <c r="J200" t="s">
        <v>692</v>
      </c>
      <c r="K200" t="s">
        <v>693</v>
      </c>
      <c r="L200">
        <v>1355</v>
      </c>
      <c r="N200">
        <v>1010</v>
      </c>
      <c r="O200" t="s">
        <v>360</v>
      </c>
      <c r="P200" t="s">
        <v>360</v>
      </c>
      <c r="Q200">
        <v>100</v>
      </c>
      <c r="X200">
        <v>1.02</v>
      </c>
      <c r="Y200">
        <v>100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1.02</v>
      </c>
      <c r="AH200">
        <v>2</v>
      </c>
      <c r="AI200">
        <v>39579965</v>
      </c>
      <c r="AJ200">
        <v>211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ROW(Source!A96)</f>
        <v>96</v>
      </c>
      <c r="B201">
        <v>39579966</v>
      </c>
      <c r="C201">
        <v>39579960</v>
      </c>
      <c r="D201">
        <v>36799065</v>
      </c>
      <c r="E201">
        <v>17</v>
      </c>
      <c r="F201">
        <v>1</v>
      </c>
      <c r="G201">
        <v>1</v>
      </c>
      <c r="H201">
        <v>3</v>
      </c>
      <c r="I201" t="s">
        <v>694</v>
      </c>
      <c r="J201" t="s">
        <v>3</v>
      </c>
      <c r="K201" t="s">
        <v>695</v>
      </c>
      <c r="L201">
        <v>1374</v>
      </c>
      <c r="N201">
        <v>1013</v>
      </c>
      <c r="O201" t="s">
        <v>696</v>
      </c>
      <c r="P201" t="s">
        <v>696</v>
      </c>
      <c r="Q201">
        <v>1</v>
      </c>
      <c r="X201">
        <v>18.73</v>
      </c>
      <c r="Y201">
        <v>1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3</v>
      </c>
      <c r="AG201">
        <v>18.73</v>
      </c>
      <c r="AH201">
        <v>2</v>
      </c>
      <c r="AI201">
        <v>39579966</v>
      </c>
      <c r="AJ201">
        <v>212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ROW(Source!A98)</f>
        <v>98</v>
      </c>
      <c r="B202">
        <v>39580486</v>
      </c>
      <c r="C202">
        <v>39580485</v>
      </c>
      <c r="D202">
        <v>37072767</v>
      </c>
      <c r="E202">
        <v>1</v>
      </c>
      <c r="F202">
        <v>1</v>
      </c>
      <c r="G202">
        <v>1</v>
      </c>
      <c r="H202">
        <v>1</v>
      </c>
      <c r="I202" t="s">
        <v>583</v>
      </c>
      <c r="J202" t="s">
        <v>3</v>
      </c>
      <c r="K202" t="s">
        <v>584</v>
      </c>
      <c r="L202">
        <v>1191</v>
      </c>
      <c r="N202">
        <v>1013</v>
      </c>
      <c r="O202" t="s">
        <v>519</v>
      </c>
      <c r="P202" t="s">
        <v>519</v>
      </c>
      <c r="Q202">
        <v>1</v>
      </c>
      <c r="X202">
        <v>15.2</v>
      </c>
      <c r="Y202">
        <v>0</v>
      </c>
      <c r="Z202">
        <v>0</v>
      </c>
      <c r="AA202">
        <v>0</v>
      </c>
      <c r="AB202">
        <v>9.18</v>
      </c>
      <c r="AC202">
        <v>0</v>
      </c>
      <c r="AD202">
        <v>1</v>
      </c>
      <c r="AE202">
        <v>1</v>
      </c>
      <c r="AF202" t="s">
        <v>3</v>
      </c>
      <c r="AG202">
        <v>15.2</v>
      </c>
      <c r="AH202">
        <v>2</v>
      </c>
      <c r="AI202">
        <v>39580486</v>
      </c>
      <c r="AJ202">
        <v>213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ROW(Source!A98)</f>
        <v>98</v>
      </c>
      <c r="B203">
        <v>39580487</v>
      </c>
      <c r="C203">
        <v>39580485</v>
      </c>
      <c r="D203">
        <v>36804661</v>
      </c>
      <c r="E203">
        <v>1</v>
      </c>
      <c r="F203">
        <v>1</v>
      </c>
      <c r="G203">
        <v>1</v>
      </c>
      <c r="H203">
        <v>3</v>
      </c>
      <c r="I203" t="s">
        <v>541</v>
      </c>
      <c r="J203" t="s">
        <v>542</v>
      </c>
      <c r="K203" t="s">
        <v>543</v>
      </c>
      <c r="L203">
        <v>1355</v>
      </c>
      <c r="N203">
        <v>1010</v>
      </c>
      <c r="O203" t="s">
        <v>360</v>
      </c>
      <c r="P203" t="s">
        <v>360</v>
      </c>
      <c r="Q203">
        <v>100</v>
      </c>
      <c r="X203">
        <v>1.75</v>
      </c>
      <c r="Y203">
        <v>8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</v>
      </c>
      <c r="AG203">
        <v>1.75</v>
      </c>
      <c r="AH203">
        <v>2</v>
      </c>
      <c r="AI203">
        <v>39580487</v>
      </c>
      <c r="AJ203">
        <v>214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ROW(Source!A98)</f>
        <v>98</v>
      </c>
      <c r="B204">
        <v>39580488</v>
      </c>
      <c r="C204">
        <v>39580485</v>
      </c>
      <c r="D204">
        <v>36799065</v>
      </c>
      <c r="E204">
        <v>17</v>
      </c>
      <c r="F204">
        <v>1</v>
      </c>
      <c r="G204">
        <v>1</v>
      </c>
      <c r="H204">
        <v>3</v>
      </c>
      <c r="I204" t="s">
        <v>694</v>
      </c>
      <c r="J204" t="s">
        <v>3</v>
      </c>
      <c r="K204" t="s">
        <v>695</v>
      </c>
      <c r="L204">
        <v>1374</v>
      </c>
      <c r="N204">
        <v>1013</v>
      </c>
      <c r="O204" t="s">
        <v>696</v>
      </c>
      <c r="P204" t="s">
        <v>696</v>
      </c>
      <c r="Q204">
        <v>1</v>
      </c>
      <c r="X204">
        <v>2.79</v>
      </c>
      <c r="Y204">
        <v>1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2.79</v>
      </c>
      <c r="AH204">
        <v>2</v>
      </c>
      <c r="AI204">
        <v>39580488</v>
      </c>
      <c r="AJ204">
        <v>216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ROW(Source!A100)</f>
        <v>100</v>
      </c>
      <c r="B205">
        <v>39579971</v>
      </c>
      <c r="C205">
        <v>39579970</v>
      </c>
      <c r="D205">
        <v>37064878</v>
      </c>
      <c r="E205">
        <v>1</v>
      </c>
      <c r="F205">
        <v>1</v>
      </c>
      <c r="G205">
        <v>1</v>
      </c>
      <c r="H205">
        <v>1</v>
      </c>
      <c r="I205" t="s">
        <v>517</v>
      </c>
      <c r="J205" t="s">
        <v>3</v>
      </c>
      <c r="K205" t="s">
        <v>518</v>
      </c>
      <c r="L205">
        <v>1191</v>
      </c>
      <c r="N205">
        <v>1013</v>
      </c>
      <c r="O205" t="s">
        <v>519</v>
      </c>
      <c r="P205" t="s">
        <v>519</v>
      </c>
      <c r="Q205">
        <v>1</v>
      </c>
      <c r="X205">
        <v>6.29</v>
      </c>
      <c r="Y205">
        <v>0</v>
      </c>
      <c r="Z205">
        <v>0</v>
      </c>
      <c r="AA205">
        <v>0</v>
      </c>
      <c r="AB205">
        <v>9.4</v>
      </c>
      <c r="AC205">
        <v>0</v>
      </c>
      <c r="AD205">
        <v>1</v>
      </c>
      <c r="AE205">
        <v>1</v>
      </c>
      <c r="AF205" t="s">
        <v>3</v>
      </c>
      <c r="AG205">
        <v>6.29</v>
      </c>
      <c r="AH205">
        <v>2</v>
      </c>
      <c r="AI205">
        <v>39579971</v>
      </c>
      <c r="AJ205">
        <v>217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ROW(Source!A100)</f>
        <v>100</v>
      </c>
      <c r="B206">
        <v>39579972</v>
      </c>
      <c r="C206">
        <v>39579970</v>
      </c>
      <c r="D206">
        <v>37064876</v>
      </c>
      <c r="E206">
        <v>1</v>
      </c>
      <c r="F206">
        <v>1</v>
      </c>
      <c r="G206">
        <v>1</v>
      </c>
      <c r="H206">
        <v>1</v>
      </c>
      <c r="I206" t="s">
        <v>520</v>
      </c>
      <c r="J206" t="s">
        <v>3</v>
      </c>
      <c r="K206" t="s">
        <v>521</v>
      </c>
      <c r="L206">
        <v>1191</v>
      </c>
      <c r="N206">
        <v>1013</v>
      </c>
      <c r="O206" t="s">
        <v>519</v>
      </c>
      <c r="P206" t="s">
        <v>519</v>
      </c>
      <c r="Q206">
        <v>1</v>
      </c>
      <c r="X206">
        <v>0.06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2</v>
      </c>
      <c r="AF206" t="s">
        <v>3</v>
      </c>
      <c r="AG206">
        <v>0.06</v>
      </c>
      <c r="AH206">
        <v>2</v>
      </c>
      <c r="AI206">
        <v>39579972</v>
      </c>
      <c r="AJ206">
        <v>218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ROW(Source!A100)</f>
        <v>100</v>
      </c>
      <c r="B207">
        <v>39579973</v>
      </c>
      <c r="C207">
        <v>39579970</v>
      </c>
      <c r="D207">
        <v>36882159</v>
      </c>
      <c r="E207">
        <v>1</v>
      </c>
      <c r="F207">
        <v>1</v>
      </c>
      <c r="G207">
        <v>1</v>
      </c>
      <c r="H207">
        <v>2</v>
      </c>
      <c r="I207" t="s">
        <v>620</v>
      </c>
      <c r="J207" t="s">
        <v>621</v>
      </c>
      <c r="K207" t="s">
        <v>622</v>
      </c>
      <c r="L207">
        <v>1368</v>
      </c>
      <c r="N207">
        <v>1011</v>
      </c>
      <c r="O207" t="s">
        <v>525</v>
      </c>
      <c r="P207" t="s">
        <v>525</v>
      </c>
      <c r="Q207">
        <v>1</v>
      </c>
      <c r="X207">
        <v>0.03</v>
      </c>
      <c r="Y207">
        <v>0</v>
      </c>
      <c r="Z207">
        <v>111.99</v>
      </c>
      <c r="AA207">
        <v>13.5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0.03</v>
      </c>
      <c r="AH207">
        <v>2</v>
      </c>
      <c r="AI207">
        <v>39579973</v>
      </c>
      <c r="AJ207">
        <v>219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ROW(Source!A100)</f>
        <v>100</v>
      </c>
      <c r="B208">
        <v>39579974</v>
      </c>
      <c r="C208">
        <v>39579970</v>
      </c>
      <c r="D208">
        <v>36883554</v>
      </c>
      <c r="E208">
        <v>1</v>
      </c>
      <c r="F208">
        <v>1</v>
      </c>
      <c r="G208">
        <v>1</v>
      </c>
      <c r="H208">
        <v>2</v>
      </c>
      <c r="I208" t="s">
        <v>526</v>
      </c>
      <c r="J208" t="s">
        <v>527</v>
      </c>
      <c r="K208" t="s">
        <v>528</v>
      </c>
      <c r="L208">
        <v>1368</v>
      </c>
      <c r="N208">
        <v>1011</v>
      </c>
      <c r="O208" t="s">
        <v>525</v>
      </c>
      <c r="P208" t="s">
        <v>525</v>
      </c>
      <c r="Q208">
        <v>1</v>
      </c>
      <c r="X208">
        <v>0.03</v>
      </c>
      <c r="Y208">
        <v>0</v>
      </c>
      <c r="Z208">
        <v>65.709999999999994</v>
      </c>
      <c r="AA208">
        <v>11.6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0.03</v>
      </c>
      <c r="AH208">
        <v>2</v>
      </c>
      <c r="AI208">
        <v>39579974</v>
      </c>
      <c r="AJ208">
        <v>220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ROW(Source!A100)</f>
        <v>100</v>
      </c>
      <c r="B209">
        <v>39579975</v>
      </c>
      <c r="C209">
        <v>39579970</v>
      </c>
      <c r="D209">
        <v>36802094</v>
      </c>
      <c r="E209">
        <v>1</v>
      </c>
      <c r="F209">
        <v>1</v>
      </c>
      <c r="G209">
        <v>1</v>
      </c>
      <c r="H209">
        <v>3</v>
      </c>
      <c r="I209" t="s">
        <v>697</v>
      </c>
      <c r="J209" t="s">
        <v>698</v>
      </c>
      <c r="K209" t="s">
        <v>699</v>
      </c>
      <c r="L209">
        <v>1346</v>
      </c>
      <c r="N209">
        <v>1009</v>
      </c>
      <c r="O209" t="s">
        <v>118</v>
      </c>
      <c r="P209" t="s">
        <v>118</v>
      </c>
      <c r="Q209">
        <v>1</v>
      </c>
      <c r="X209">
        <v>0.32</v>
      </c>
      <c r="Y209">
        <v>30.4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3</v>
      </c>
      <c r="AG209">
        <v>0.32</v>
      </c>
      <c r="AH209">
        <v>2</v>
      </c>
      <c r="AI209">
        <v>39579975</v>
      </c>
      <c r="AJ209">
        <v>221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ROW(Source!A100)</f>
        <v>100</v>
      </c>
      <c r="B210">
        <v>39579976</v>
      </c>
      <c r="C210">
        <v>39579970</v>
      </c>
      <c r="D210">
        <v>36802373</v>
      </c>
      <c r="E210">
        <v>1</v>
      </c>
      <c r="F210">
        <v>1</v>
      </c>
      <c r="G210">
        <v>1</v>
      </c>
      <c r="H210">
        <v>3</v>
      </c>
      <c r="I210" t="s">
        <v>700</v>
      </c>
      <c r="J210" t="s">
        <v>701</v>
      </c>
      <c r="K210" t="s">
        <v>702</v>
      </c>
      <c r="L210">
        <v>1348</v>
      </c>
      <c r="N210">
        <v>1009</v>
      </c>
      <c r="O210" t="s">
        <v>105</v>
      </c>
      <c r="P210" t="s">
        <v>105</v>
      </c>
      <c r="Q210">
        <v>1000</v>
      </c>
      <c r="X210">
        <v>1.0499999999999999E-3</v>
      </c>
      <c r="Y210">
        <v>1820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3</v>
      </c>
      <c r="AG210">
        <v>1.0499999999999999E-3</v>
      </c>
      <c r="AH210">
        <v>2</v>
      </c>
      <c r="AI210">
        <v>39579976</v>
      </c>
      <c r="AJ210">
        <v>222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ROW(Source!A100)</f>
        <v>100</v>
      </c>
      <c r="B211">
        <v>39579977</v>
      </c>
      <c r="C211">
        <v>39579970</v>
      </c>
      <c r="D211">
        <v>36838317</v>
      </c>
      <c r="E211">
        <v>1</v>
      </c>
      <c r="F211">
        <v>1</v>
      </c>
      <c r="G211">
        <v>1</v>
      </c>
      <c r="H211">
        <v>3</v>
      </c>
      <c r="I211" t="s">
        <v>703</v>
      </c>
      <c r="J211" t="s">
        <v>704</v>
      </c>
      <c r="K211" t="s">
        <v>229</v>
      </c>
      <c r="L211">
        <v>1346</v>
      </c>
      <c r="N211">
        <v>1009</v>
      </c>
      <c r="O211" t="s">
        <v>118</v>
      </c>
      <c r="P211" t="s">
        <v>118</v>
      </c>
      <c r="Q211">
        <v>1</v>
      </c>
      <c r="X211">
        <v>0.02</v>
      </c>
      <c r="Y211">
        <v>28.6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3</v>
      </c>
      <c r="AG211">
        <v>0.02</v>
      </c>
      <c r="AH211">
        <v>2</v>
      </c>
      <c r="AI211">
        <v>39579977</v>
      </c>
      <c r="AJ211">
        <v>223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ROW(Source!A100)</f>
        <v>100</v>
      </c>
      <c r="B212">
        <v>39579978</v>
      </c>
      <c r="C212">
        <v>39579970</v>
      </c>
      <c r="D212">
        <v>36852011</v>
      </c>
      <c r="E212">
        <v>1</v>
      </c>
      <c r="F212">
        <v>1</v>
      </c>
      <c r="G212">
        <v>1</v>
      </c>
      <c r="H212">
        <v>3</v>
      </c>
      <c r="I212" t="s">
        <v>705</v>
      </c>
      <c r="J212" t="s">
        <v>706</v>
      </c>
      <c r="K212" t="s">
        <v>707</v>
      </c>
      <c r="L212">
        <v>1355</v>
      </c>
      <c r="N212">
        <v>1010</v>
      </c>
      <c r="O212" t="s">
        <v>360</v>
      </c>
      <c r="P212" t="s">
        <v>360</v>
      </c>
      <c r="Q212">
        <v>100</v>
      </c>
      <c r="X212">
        <v>0.05</v>
      </c>
      <c r="Y212">
        <v>143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0.05</v>
      </c>
      <c r="AH212">
        <v>2</v>
      </c>
      <c r="AI212">
        <v>39579978</v>
      </c>
      <c r="AJ212">
        <v>224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ROW(Source!A100)</f>
        <v>100</v>
      </c>
      <c r="B213">
        <v>39579979</v>
      </c>
      <c r="C213">
        <v>39579970</v>
      </c>
      <c r="D213">
        <v>36852061</v>
      </c>
      <c r="E213">
        <v>1</v>
      </c>
      <c r="F213">
        <v>1</v>
      </c>
      <c r="G213">
        <v>1</v>
      </c>
      <c r="H213">
        <v>3</v>
      </c>
      <c r="I213" t="s">
        <v>708</v>
      </c>
      <c r="J213" t="s">
        <v>709</v>
      </c>
      <c r="K213" t="s">
        <v>710</v>
      </c>
      <c r="L213">
        <v>1356</v>
      </c>
      <c r="N213">
        <v>1010</v>
      </c>
      <c r="O213" t="s">
        <v>711</v>
      </c>
      <c r="P213" t="s">
        <v>711</v>
      </c>
      <c r="Q213">
        <v>1000</v>
      </c>
      <c r="X213">
        <v>1.2200000000000001E-2</v>
      </c>
      <c r="Y213">
        <v>176.21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1.2200000000000001E-2</v>
      </c>
      <c r="AH213">
        <v>2</v>
      </c>
      <c r="AI213">
        <v>39579979</v>
      </c>
      <c r="AJ213">
        <v>225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ROW(Source!A100)</f>
        <v>100</v>
      </c>
      <c r="B214">
        <v>39579980</v>
      </c>
      <c r="C214">
        <v>39579970</v>
      </c>
      <c r="D214">
        <v>36799065</v>
      </c>
      <c r="E214">
        <v>17</v>
      </c>
      <c r="F214">
        <v>1</v>
      </c>
      <c r="G214">
        <v>1</v>
      </c>
      <c r="H214">
        <v>3</v>
      </c>
      <c r="I214" t="s">
        <v>694</v>
      </c>
      <c r="J214" t="s">
        <v>3</v>
      </c>
      <c r="K214" t="s">
        <v>695</v>
      </c>
      <c r="L214">
        <v>1374</v>
      </c>
      <c r="N214">
        <v>1013</v>
      </c>
      <c r="O214" t="s">
        <v>696</v>
      </c>
      <c r="P214" t="s">
        <v>696</v>
      </c>
      <c r="Q214">
        <v>1</v>
      </c>
      <c r="X214">
        <v>1.18</v>
      </c>
      <c r="Y214">
        <v>1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</v>
      </c>
      <c r="AG214">
        <v>1.18</v>
      </c>
      <c r="AH214">
        <v>2</v>
      </c>
      <c r="AI214">
        <v>39579980</v>
      </c>
      <c r="AJ214">
        <v>227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ROW(Source!A102)</f>
        <v>102</v>
      </c>
      <c r="B215">
        <v>39579982</v>
      </c>
      <c r="C215">
        <v>39579981</v>
      </c>
      <c r="D215">
        <v>37064878</v>
      </c>
      <c r="E215">
        <v>1</v>
      </c>
      <c r="F215">
        <v>1</v>
      </c>
      <c r="G215">
        <v>1</v>
      </c>
      <c r="H215">
        <v>1</v>
      </c>
      <c r="I215" t="s">
        <v>517</v>
      </c>
      <c r="J215" t="s">
        <v>3</v>
      </c>
      <c r="K215" t="s">
        <v>518</v>
      </c>
      <c r="L215">
        <v>1191</v>
      </c>
      <c r="N215">
        <v>1013</v>
      </c>
      <c r="O215" t="s">
        <v>519</v>
      </c>
      <c r="P215" t="s">
        <v>519</v>
      </c>
      <c r="Q215">
        <v>1</v>
      </c>
      <c r="X215">
        <v>5.39</v>
      </c>
      <c r="Y215">
        <v>0</v>
      </c>
      <c r="Z215">
        <v>0</v>
      </c>
      <c r="AA215">
        <v>0</v>
      </c>
      <c r="AB215">
        <v>9.4</v>
      </c>
      <c r="AC215">
        <v>0</v>
      </c>
      <c r="AD215">
        <v>1</v>
      </c>
      <c r="AE215">
        <v>1</v>
      </c>
      <c r="AF215" t="s">
        <v>3</v>
      </c>
      <c r="AG215">
        <v>5.39</v>
      </c>
      <c r="AH215">
        <v>2</v>
      </c>
      <c r="AI215">
        <v>39579982</v>
      </c>
      <c r="AJ215">
        <v>228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ROW(Source!A102)</f>
        <v>102</v>
      </c>
      <c r="B216">
        <v>39579983</v>
      </c>
      <c r="C216">
        <v>39579981</v>
      </c>
      <c r="D216">
        <v>37064876</v>
      </c>
      <c r="E216">
        <v>1</v>
      </c>
      <c r="F216">
        <v>1</v>
      </c>
      <c r="G216">
        <v>1</v>
      </c>
      <c r="H216">
        <v>1</v>
      </c>
      <c r="I216" t="s">
        <v>520</v>
      </c>
      <c r="J216" t="s">
        <v>3</v>
      </c>
      <c r="K216" t="s">
        <v>521</v>
      </c>
      <c r="L216">
        <v>1191</v>
      </c>
      <c r="N216">
        <v>1013</v>
      </c>
      <c r="O216" t="s">
        <v>519</v>
      </c>
      <c r="P216" t="s">
        <v>519</v>
      </c>
      <c r="Q216">
        <v>1</v>
      </c>
      <c r="X216">
        <v>0.04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3</v>
      </c>
      <c r="AG216">
        <v>0.04</v>
      </c>
      <c r="AH216">
        <v>2</v>
      </c>
      <c r="AI216">
        <v>39579983</v>
      </c>
      <c r="AJ216">
        <v>229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ROW(Source!A102)</f>
        <v>102</v>
      </c>
      <c r="B217">
        <v>39579984</v>
      </c>
      <c r="C217">
        <v>39579981</v>
      </c>
      <c r="D217">
        <v>36882159</v>
      </c>
      <c r="E217">
        <v>1</v>
      </c>
      <c r="F217">
        <v>1</v>
      </c>
      <c r="G217">
        <v>1</v>
      </c>
      <c r="H217">
        <v>2</v>
      </c>
      <c r="I217" t="s">
        <v>620</v>
      </c>
      <c r="J217" t="s">
        <v>621</v>
      </c>
      <c r="K217" t="s">
        <v>622</v>
      </c>
      <c r="L217">
        <v>1368</v>
      </c>
      <c r="N217">
        <v>1011</v>
      </c>
      <c r="O217" t="s">
        <v>525</v>
      </c>
      <c r="P217" t="s">
        <v>525</v>
      </c>
      <c r="Q217">
        <v>1</v>
      </c>
      <c r="X217">
        <v>0.02</v>
      </c>
      <c r="Y217">
        <v>0</v>
      </c>
      <c r="Z217">
        <v>111.99</v>
      </c>
      <c r="AA217">
        <v>13.5</v>
      </c>
      <c r="AB217">
        <v>0</v>
      </c>
      <c r="AC217">
        <v>0</v>
      </c>
      <c r="AD217">
        <v>1</v>
      </c>
      <c r="AE217">
        <v>0</v>
      </c>
      <c r="AF217" t="s">
        <v>3</v>
      </c>
      <c r="AG217">
        <v>0.02</v>
      </c>
      <c r="AH217">
        <v>2</v>
      </c>
      <c r="AI217">
        <v>39579984</v>
      </c>
      <c r="AJ217">
        <v>230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ROW(Source!A102)</f>
        <v>102</v>
      </c>
      <c r="B218">
        <v>39579985</v>
      </c>
      <c r="C218">
        <v>39579981</v>
      </c>
      <c r="D218">
        <v>36883554</v>
      </c>
      <c r="E218">
        <v>1</v>
      </c>
      <c r="F218">
        <v>1</v>
      </c>
      <c r="G218">
        <v>1</v>
      </c>
      <c r="H218">
        <v>2</v>
      </c>
      <c r="I218" t="s">
        <v>526</v>
      </c>
      <c r="J218" t="s">
        <v>527</v>
      </c>
      <c r="K218" t="s">
        <v>528</v>
      </c>
      <c r="L218">
        <v>1368</v>
      </c>
      <c r="N218">
        <v>1011</v>
      </c>
      <c r="O218" t="s">
        <v>525</v>
      </c>
      <c r="P218" t="s">
        <v>525</v>
      </c>
      <c r="Q218">
        <v>1</v>
      </c>
      <c r="X218">
        <v>0.02</v>
      </c>
      <c r="Y218">
        <v>0</v>
      </c>
      <c r="Z218">
        <v>65.709999999999994</v>
      </c>
      <c r="AA218">
        <v>11.6</v>
      </c>
      <c r="AB218">
        <v>0</v>
      </c>
      <c r="AC218">
        <v>0</v>
      </c>
      <c r="AD218">
        <v>1</v>
      </c>
      <c r="AE218">
        <v>0</v>
      </c>
      <c r="AF218" t="s">
        <v>3</v>
      </c>
      <c r="AG218">
        <v>0.02</v>
      </c>
      <c r="AH218">
        <v>2</v>
      </c>
      <c r="AI218">
        <v>39579985</v>
      </c>
      <c r="AJ218">
        <v>231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ROW(Source!A102)</f>
        <v>102</v>
      </c>
      <c r="B219">
        <v>39579986</v>
      </c>
      <c r="C219">
        <v>39579981</v>
      </c>
      <c r="D219">
        <v>36802094</v>
      </c>
      <c r="E219">
        <v>1</v>
      </c>
      <c r="F219">
        <v>1</v>
      </c>
      <c r="G219">
        <v>1</v>
      </c>
      <c r="H219">
        <v>3</v>
      </c>
      <c r="I219" t="s">
        <v>697</v>
      </c>
      <c r="J219" t="s">
        <v>698</v>
      </c>
      <c r="K219" t="s">
        <v>699</v>
      </c>
      <c r="L219">
        <v>1346</v>
      </c>
      <c r="N219">
        <v>1009</v>
      </c>
      <c r="O219" t="s">
        <v>118</v>
      </c>
      <c r="P219" t="s">
        <v>118</v>
      </c>
      <c r="Q219">
        <v>1</v>
      </c>
      <c r="X219">
        <v>0.16</v>
      </c>
      <c r="Y219">
        <v>30.4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0.16</v>
      </c>
      <c r="AH219">
        <v>2</v>
      </c>
      <c r="AI219">
        <v>39579986</v>
      </c>
      <c r="AJ219">
        <v>232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ROW(Source!A102)</f>
        <v>102</v>
      </c>
      <c r="B220">
        <v>39579987</v>
      </c>
      <c r="C220">
        <v>39579981</v>
      </c>
      <c r="D220">
        <v>36802373</v>
      </c>
      <c r="E220">
        <v>1</v>
      </c>
      <c r="F220">
        <v>1</v>
      </c>
      <c r="G220">
        <v>1</v>
      </c>
      <c r="H220">
        <v>3</v>
      </c>
      <c r="I220" t="s">
        <v>700</v>
      </c>
      <c r="J220" t="s">
        <v>701</v>
      </c>
      <c r="K220" t="s">
        <v>702</v>
      </c>
      <c r="L220">
        <v>1348</v>
      </c>
      <c r="N220">
        <v>1009</v>
      </c>
      <c r="O220" t="s">
        <v>105</v>
      </c>
      <c r="P220" t="s">
        <v>105</v>
      </c>
      <c r="Q220">
        <v>1000</v>
      </c>
      <c r="X220">
        <v>5.9999999999999995E-4</v>
      </c>
      <c r="Y220">
        <v>1820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3</v>
      </c>
      <c r="AG220">
        <v>5.9999999999999995E-4</v>
      </c>
      <c r="AH220">
        <v>2</v>
      </c>
      <c r="AI220">
        <v>39579987</v>
      </c>
      <c r="AJ220">
        <v>233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ROW(Source!A102)</f>
        <v>102</v>
      </c>
      <c r="B221">
        <v>39579988</v>
      </c>
      <c r="C221">
        <v>39579981</v>
      </c>
      <c r="D221">
        <v>36838317</v>
      </c>
      <c r="E221">
        <v>1</v>
      </c>
      <c r="F221">
        <v>1</v>
      </c>
      <c r="G221">
        <v>1</v>
      </c>
      <c r="H221">
        <v>3</v>
      </c>
      <c r="I221" t="s">
        <v>703</v>
      </c>
      <c r="J221" t="s">
        <v>704</v>
      </c>
      <c r="K221" t="s">
        <v>229</v>
      </c>
      <c r="L221">
        <v>1346</v>
      </c>
      <c r="N221">
        <v>1009</v>
      </c>
      <c r="O221" t="s">
        <v>118</v>
      </c>
      <c r="P221" t="s">
        <v>118</v>
      </c>
      <c r="Q221">
        <v>1</v>
      </c>
      <c r="X221">
        <v>0.02</v>
      </c>
      <c r="Y221">
        <v>28.6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0.02</v>
      </c>
      <c r="AH221">
        <v>2</v>
      </c>
      <c r="AI221">
        <v>39579988</v>
      </c>
      <c r="AJ221">
        <v>234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ROW(Source!A102)</f>
        <v>102</v>
      </c>
      <c r="B222">
        <v>39579989</v>
      </c>
      <c r="C222">
        <v>39579981</v>
      </c>
      <c r="D222">
        <v>36852009</v>
      </c>
      <c r="E222">
        <v>1</v>
      </c>
      <c r="F222">
        <v>1</v>
      </c>
      <c r="G222">
        <v>1</v>
      </c>
      <c r="H222">
        <v>3</v>
      </c>
      <c r="I222" t="s">
        <v>712</v>
      </c>
      <c r="J222" t="s">
        <v>713</v>
      </c>
      <c r="K222" t="s">
        <v>714</v>
      </c>
      <c r="L222">
        <v>1355</v>
      </c>
      <c r="N222">
        <v>1010</v>
      </c>
      <c r="O222" t="s">
        <v>360</v>
      </c>
      <c r="P222" t="s">
        <v>360</v>
      </c>
      <c r="Q222">
        <v>100</v>
      </c>
      <c r="X222">
        <v>0.05</v>
      </c>
      <c r="Y222">
        <v>110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3</v>
      </c>
      <c r="AG222">
        <v>0.05</v>
      </c>
      <c r="AH222">
        <v>2</v>
      </c>
      <c r="AI222">
        <v>39579989</v>
      </c>
      <c r="AJ222">
        <v>235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ROW(Source!A102)</f>
        <v>102</v>
      </c>
      <c r="B223">
        <v>39579990</v>
      </c>
      <c r="C223">
        <v>39579981</v>
      </c>
      <c r="D223">
        <v>36852060</v>
      </c>
      <c r="E223">
        <v>1</v>
      </c>
      <c r="F223">
        <v>1</v>
      </c>
      <c r="G223">
        <v>1</v>
      </c>
      <c r="H223">
        <v>3</v>
      </c>
      <c r="I223" t="s">
        <v>715</v>
      </c>
      <c r="J223" t="s">
        <v>716</v>
      </c>
      <c r="K223" t="s">
        <v>717</v>
      </c>
      <c r="L223">
        <v>1356</v>
      </c>
      <c r="N223">
        <v>1010</v>
      </c>
      <c r="O223" t="s">
        <v>711</v>
      </c>
      <c r="P223" t="s">
        <v>711</v>
      </c>
      <c r="Q223">
        <v>1000</v>
      </c>
      <c r="X223">
        <v>1.2200000000000001E-2</v>
      </c>
      <c r="Y223">
        <v>119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3</v>
      </c>
      <c r="AG223">
        <v>1.2200000000000001E-2</v>
      </c>
      <c r="AH223">
        <v>2</v>
      </c>
      <c r="AI223">
        <v>39579990</v>
      </c>
      <c r="AJ223">
        <v>236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ROW(Source!A102)</f>
        <v>102</v>
      </c>
      <c r="B224">
        <v>39579991</v>
      </c>
      <c r="C224">
        <v>39579981</v>
      </c>
      <c r="D224">
        <v>36799065</v>
      </c>
      <c r="E224">
        <v>17</v>
      </c>
      <c r="F224">
        <v>1</v>
      </c>
      <c r="G224">
        <v>1</v>
      </c>
      <c r="H224">
        <v>3</v>
      </c>
      <c r="I224" t="s">
        <v>694</v>
      </c>
      <c r="J224" t="s">
        <v>3</v>
      </c>
      <c r="K224" t="s">
        <v>695</v>
      </c>
      <c r="L224">
        <v>1374</v>
      </c>
      <c r="N224">
        <v>1013</v>
      </c>
      <c r="O224" t="s">
        <v>696</v>
      </c>
      <c r="P224" t="s">
        <v>696</v>
      </c>
      <c r="Q224">
        <v>1</v>
      </c>
      <c r="X224">
        <v>1.01</v>
      </c>
      <c r="Y224">
        <v>1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3</v>
      </c>
      <c r="AG224">
        <v>1.01</v>
      </c>
      <c r="AH224">
        <v>2</v>
      </c>
      <c r="AI224">
        <v>39579991</v>
      </c>
      <c r="AJ224">
        <v>238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ROW(Source!A104)</f>
        <v>104</v>
      </c>
      <c r="B225">
        <v>39579999</v>
      </c>
      <c r="C225">
        <v>39579998</v>
      </c>
      <c r="D225">
        <v>37072767</v>
      </c>
      <c r="E225">
        <v>1</v>
      </c>
      <c r="F225">
        <v>1</v>
      </c>
      <c r="G225">
        <v>1</v>
      </c>
      <c r="H225">
        <v>1</v>
      </c>
      <c r="I225" t="s">
        <v>583</v>
      </c>
      <c r="J225" t="s">
        <v>3</v>
      </c>
      <c r="K225" t="s">
        <v>584</v>
      </c>
      <c r="L225">
        <v>1191</v>
      </c>
      <c r="N225">
        <v>1013</v>
      </c>
      <c r="O225" t="s">
        <v>519</v>
      </c>
      <c r="P225" t="s">
        <v>519</v>
      </c>
      <c r="Q225">
        <v>1</v>
      </c>
      <c r="X225">
        <v>15.64</v>
      </c>
      <c r="Y225">
        <v>0</v>
      </c>
      <c r="Z225">
        <v>0</v>
      </c>
      <c r="AA225">
        <v>0</v>
      </c>
      <c r="AB225">
        <v>9.18</v>
      </c>
      <c r="AC225">
        <v>0</v>
      </c>
      <c r="AD225">
        <v>1</v>
      </c>
      <c r="AE225">
        <v>1</v>
      </c>
      <c r="AF225" t="s">
        <v>3</v>
      </c>
      <c r="AG225">
        <v>15.64</v>
      </c>
      <c r="AH225">
        <v>2</v>
      </c>
      <c r="AI225">
        <v>39579999</v>
      </c>
      <c r="AJ225">
        <v>239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ROW(Source!A104)</f>
        <v>104</v>
      </c>
      <c r="B226">
        <v>39580000</v>
      </c>
      <c r="C226">
        <v>39579998</v>
      </c>
      <c r="D226">
        <v>36883883</v>
      </c>
      <c r="E226">
        <v>1</v>
      </c>
      <c r="F226">
        <v>1</v>
      </c>
      <c r="G226">
        <v>1</v>
      </c>
      <c r="H226">
        <v>2</v>
      </c>
      <c r="I226" t="s">
        <v>718</v>
      </c>
      <c r="J226" t="s">
        <v>719</v>
      </c>
      <c r="K226" t="s">
        <v>720</v>
      </c>
      <c r="L226">
        <v>1368</v>
      </c>
      <c r="N226">
        <v>1011</v>
      </c>
      <c r="O226" t="s">
        <v>525</v>
      </c>
      <c r="P226" t="s">
        <v>525</v>
      </c>
      <c r="Q226">
        <v>1</v>
      </c>
      <c r="X226">
        <v>4.0599999999999996</v>
      </c>
      <c r="Y226">
        <v>0</v>
      </c>
      <c r="Z226">
        <v>32.5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3</v>
      </c>
      <c r="AG226">
        <v>4.0599999999999996</v>
      </c>
      <c r="AH226">
        <v>2</v>
      </c>
      <c r="AI226">
        <v>39580000</v>
      </c>
      <c r="AJ226">
        <v>240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ROW(Source!A104)</f>
        <v>104</v>
      </c>
      <c r="B227">
        <v>39580001</v>
      </c>
      <c r="C227">
        <v>39579998</v>
      </c>
      <c r="D227">
        <v>36884481</v>
      </c>
      <c r="E227">
        <v>1</v>
      </c>
      <c r="F227">
        <v>1</v>
      </c>
      <c r="G227">
        <v>1</v>
      </c>
      <c r="H227">
        <v>2</v>
      </c>
      <c r="I227" t="s">
        <v>721</v>
      </c>
      <c r="J227" t="s">
        <v>722</v>
      </c>
      <c r="K227" t="s">
        <v>723</v>
      </c>
      <c r="L227">
        <v>1368</v>
      </c>
      <c r="N227">
        <v>1011</v>
      </c>
      <c r="O227" t="s">
        <v>525</v>
      </c>
      <c r="P227" t="s">
        <v>525</v>
      </c>
      <c r="Q227">
        <v>1</v>
      </c>
      <c r="X227">
        <v>8.1199999999999992</v>
      </c>
      <c r="Y227">
        <v>0</v>
      </c>
      <c r="Z227">
        <v>1.53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</v>
      </c>
      <c r="AG227">
        <v>8.1199999999999992</v>
      </c>
      <c r="AH227">
        <v>2</v>
      </c>
      <c r="AI227">
        <v>39580001</v>
      </c>
      <c r="AJ227">
        <v>241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ROW(Source!A105)</f>
        <v>105</v>
      </c>
      <c r="B228">
        <v>39580492</v>
      </c>
      <c r="C228">
        <v>39580491</v>
      </c>
      <c r="D228">
        <v>37064978</v>
      </c>
      <c r="E228">
        <v>1</v>
      </c>
      <c r="F228">
        <v>1</v>
      </c>
      <c r="G228">
        <v>1</v>
      </c>
      <c r="H228">
        <v>1</v>
      </c>
      <c r="I228" t="s">
        <v>635</v>
      </c>
      <c r="J228" t="s">
        <v>3</v>
      </c>
      <c r="K228" t="s">
        <v>636</v>
      </c>
      <c r="L228">
        <v>1191</v>
      </c>
      <c r="N228">
        <v>1013</v>
      </c>
      <c r="O228" t="s">
        <v>519</v>
      </c>
      <c r="P228" t="s">
        <v>519</v>
      </c>
      <c r="Q228">
        <v>1</v>
      </c>
      <c r="X228">
        <v>228.35</v>
      </c>
      <c r="Y228">
        <v>0</v>
      </c>
      <c r="Z228">
        <v>0</v>
      </c>
      <c r="AA228">
        <v>0</v>
      </c>
      <c r="AB228">
        <v>8.86</v>
      </c>
      <c r="AC228">
        <v>0</v>
      </c>
      <c r="AD228">
        <v>1</v>
      </c>
      <c r="AE228">
        <v>1</v>
      </c>
      <c r="AF228" t="s">
        <v>3</v>
      </c>
      <c r="AG228">
        <v>228.35</v>
      </c>
      <c r="AH228">
        <v>2</v>
      </c>
      <c r="AI228">
        <v>39580492</v>
      </c>
      <c r="AJ228">
        <v>242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ROW(Source!A105)</f>
        <v>105</v>
      </c>
      <c r="B229">
        <v>39580493</v>
      </c>
      <c r="C229">
        <v>39580491</v>
      </c>
      <c r="D229">
        <v>37064876</v>
      </c>
      <c r="E229">
        <v>1</v>
      </c>
      <c r="F229">
        <v>1</v>
      </c>
      <c r="G229">
        <v>1</v>
      </c>
      <c r="H229">
        <v>1</v>
      </c>
      <c r="I229" t="s">
        <v>520</v>
      </c>
      <c r="J229" t="s">
        <v>3</v>
      </c>
      <c r="K229" t="s">
        <v>521</v>
      </c>
      <c r="L229">
        <v>1191</v>
      </c>
      <c r="N229">
        <v>1013</v>
      </c>
      <c r="O229" t="s">
        <v>519</v>
      </c>
      <c r="P229" t="s">
        <v>519</v>
      </c>
      <c r="Q229">
        <v>1</v>
      </c>
      <c r="X229">
        <v>0.67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2</v>
      </c>
      <c r="AF229" t="s">
        <v>3</v>
      </c>
      <c r="AG229">
        <v>0.67</v>
      </c>
      <c r="AH229">
        <v>2</v>
      </c>
      <c r="AI229">
        <v>39580493</v>
      </c>
      <c r="AJ229">
        <v>243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ROW(Source!A105)</f>
        <v>105</v>
      </c>
      <c r="B230">
        <v>39580494</v>
      </c>
      <c r="C230">
        <v>39580491</v>
      </c>
      <c r="D230">
        <v>36882452</v>
      </c>
      <c r="E230">
        <v>1</v>
      </c>
      <c r="F230">
        <v>1</v>
      </c>
      <c r="G230">
        <v>1</v>
      </c>
      <c r="H230">
        <v>2</v>
      </c>
      <c r="I230" t="s">
        <v>522</v>
      </c>
      <c r="J230" t="s">
        <v>523</v>
      </c>
      <c r="K230" t="s">
        <v>524</v>
      </c>
      <c r="L230">
        <v>1368</v>
      </c>
      <c r="N230">
        <v>1011</v>
      </c>
      <c r="O230" t="s">
        <v>525</v>
      </c>
      <c r="P230" t="s">
        <v>525</v>
      </c>
      <c r="Q230">
        <v>1</v>
      </c>
      <c r="X230">
        <v>0.67</v>
      </c>
      <c r="Y230">
        <v>0</v>
      </c>
      <c r="Z230">
        <v>31.26</v>
      </c>
      <c r="AA230">
        <v>13.5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0.67</v>
      </c>
      <c r="AH230">
        <v>2</v>
      </c>
      <c r="AI230">
        <v>39580494</v>
      </c>
      <c r="AJ230">
        <v>244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ROW(Source!A105)</f>
        <v>105</v>
      </c>
      <c r="B231">
        <v>39580495</v>
      </c>
      <c r="C231">
        <v>39580491</v>
      </c>
      <c r="D231">
        <v>36801792</v>
      </c>
      <c r="E231">
        <v>1</v>
      </c>
      <c r="F231">
        <v>1</v>
      </c>
      <c r="G231">
        <v>1</v>
      </c>
      <c r="H231">
        <v>3</v>
      </c>
      <c r="I231" t="s">
        <v>564</v>
      </c>
      <c r="J231" t="s">
        <v>565</v>
      </c>
      <c r="K231" t="s">
        <v>566</v>
      </c>
      <c r="L231">
        <v>1339</v>
      </c>
      <c r="N231">
        <v>1007</v>
      </c>
      <c r="O231" t="s">
        <v>86</v>
      </c>
      <c r="P231" t="s">
        <v>86</v>
      </c>
      <c r="Q231">
        <v>1</v>
      </c>
      <c r="X231">
        <v>0.35</v>
      </c>
      <c r="Y231">
        <v>2.44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3</v>
      </c>
      <c r="AG231">
        <v>0.35</v>
      </c>
      <c r="AH231">
        <v>2</v>
      </c>
      <c r="AI231">
        <v>39580495</v>
      </c>
      <c r="AJ231">
        <v>245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ROW(Source!A105)</f>
        <v>105</v>
      </c>
      <c r="B232">
        <v>39580496</v>
      </c>
      <c r="C232">
        <v>39580491</v>
      </c>
      <c r="D232">
        <v>36799072</v>
      </c>
      <c r="E232">
        <v>17</v>
      </c>
      <c r="F232">
        <v>1</v>
      </c>
      <c r="G232">
        <v>1</v>
      </c>
      <c r="H232">
        <v>3</v>
      </c>
      <c r="I232" t="s">
        <v>767</v>
      </c>
      <c r="J232" t="s">
        <v>3</v>
      </c>
      <c r="K232" t="s">
        <v>768</v>
      </c>
      <c r="L232">
        <v>1348</v>
      </c>
      <c r="N232">
        <v>1009</v>
      </c>
      <c r="O232" t="s">
        <v>105</v>
      </c>
      <c r="P232" t="s">
        <v>105</v>
      </c>
      <c r="Q232">
        <v>1000</v>
      </c>
      <c r="X232">
        <v>3.38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 t="s">
        <v>3</v>
      </c>
      <c r="AG232">
        <v>3.38</v>
      </c>
      <c r="AH232">
        <v>3</v>
      </c>
      <c r="AI232">
        <v>-1</v>
      </c>
      <c r="AJ232" t="s">
        <v>3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ROW(Source!A105)</f>
        <v>105</v>
      </c>
      <c r="B233">
        <v>39580497</v>
      </c>
      <c r="C233">
        <v>39580491</v>
      </c>
      <c r="D233">
        <v>36807381</v>
      </c>
      <c r="E233">
        <v>1</v>
      </c>
      <c r="F233">
        <v>1</v>
      </c>
      <c r="G233">
        <v>1</v>
      </c>
      <c r="H233">
        <v>3</v>
      </c>
      <c r="I233" t="s">
        <v>724</v>
      </c>
      <c r="J233" t="s">
        <v>725</v>
      </c>
      <c r="K233" t="s">
        <v>726</v>
      </c>
      <c r="L233">
        <v>1339</v>
      </c>
      <c r="N233">
        <v>1007</v>
      </c>
      <c r="O233" t="s">
        <v>86</v>
      </c>
      <c r="P233" t="s">
        <v>86</v>
      </c>
      <c r="Q233">
        <v>1</v>
      </c>
      <c r="X233">
        <v>2.2000000000000002</v>
      </c>
      <c r="Y233">
        <v>517.91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2.2000000000000002</v>
      </c>
      <c r="AH233">
        <v>2</v>
      </c>
      <c r="AI233">
        <v>39580497</v>
      </c>
      <c r="AJ233">
        <v>246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ROW(Source!A106)</f>
        <v>106</v>
      </c>
      <c r="B234">
        <v>39580003</v>
      </c>
      <c r="C234">
        <v>39580002</v>
      </c>
      <c r="D234">
        <v>37064878</v>
      </c>
      <c r="E234">
        <v>1</v>
      </c>
      <c r="F234">
        <v>1</v>
      </c>
      <c r="G234">
        <v>1</v>
      </c>
      <c r="H234">
        <v>1</v>
      </c>
      <c r="I234" t="s">
        <v>517</v>
      </c>
      <c r="J234" t="s">
        <v>3</v>
      </c>
      <c r="K234" t="s">
        <v>518</v>
      </c>
      <c r="L234">
        <v>1191</v>
      </c>
      <c r="N234">
        <v>1013</v>
      </c>
      <c r="O234" t="s">
        <v>519</v>
      </c>
      <c r="P234" t="s">
        <v>519</v>
      </c>
      <c r="Q234">
        <v>1</v>
      </c>
      <c r="X234">
        <v>16.5</v>
      </c>
      <c r="Y234">
        <v>0</v>
      </c>
      <c r="Z234">
        <v>0</v>
      </c>
      <c r="AA234">
        <v>0</v>
      </c>
      <c r="AB234">
        <v>9.4</v>
      </c>
      <c r="AC234">
        <v>0</v>
      </c>
      <c r="AD234">
        <v>1</v>
      </c>
      <c r="AE234">
        <v>1</v>
      </c>
      <c r="AF234" t="s">
        <v>3</v>
      </c>
      <c r="AG234">
        <v>16.5</v>
      </c>
      <c r="AH234">
        <v>2</v>
      </c>
      <c r="AI234">
        <v>39580003</v>
      </c>
      <c r="AJ234">
        <v>247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ROW(Source!A106)</f>
        <v>106</v>
      </c>
      <c r="B235">
        <v>39580004</v>
      </c>
      <c r="C235">
        <v>39580002</v>
      </c>
      <c r="D235">
        <v>37064876</v>
      </c>
      <c r="E235">
        <v>1</v>
      </c>
      <c r="F235">
        <v>1</v>
      </c>
      <c r="G235">
        <v>1</v>
      </c>
      <c r="H235">
        <v>1</v>
      </c>
      <c r="I235" t="s">
        <v>520</v>
      </c>
      <c r="J235" t="s">
        <v>3</v>
      </c>
      <c r="K235" t="s">
        <v>521</v>
      </c>
      <c r="L235">
        <v>1191</v>
      </c>
      <c r="N235">
        <v>1013</v>
      </c>
      <c r="O235" t="s">
        <v>519</v>
      </c>
      <c r="P235" t="s">
        <v>519</v>
      </c>
      <c r="Q235">
        <v>1</v>
      </c>
      <c r="X235">
        <v>0.04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2</v>
      </c>
      <c r="AF235" t="s">
        <v>3</v>
      </c>
      <c r="AG235">
        <v>0.04</v>
      </c>
      <c r="AH235">
        <v>2</v>
      </c>
      <c r="AI235">
        <v>39580004</v>
      </c>
      <c r="AJ235">
        <v>248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ROW(Source!A106)</f>
        <v>106</v>
      </c>
      <c r="B236">
        <v>39580005</v>
      </c>
      <c r="C236">
        <v>39580002</v>
      </c>
      <c r="D236">
        <v>36882159</v>
      </c>
      <c r="E236">
        <v>1</v>
      </c>
      <c r="F236">
        <v>1</v>
      </c>
      <c r="G236">
        <v>1</v>
      </c>
      <c r="H236">
        <v>2</v>
      </c>
      <c r="I236" t="s">
        <v>620</v>
      </c>
      <c r="J236" t="s">
        <v>621</v>
      </c>
      <c r="K236" t="s">
        <v>622</v>
      </c>
      <c r="L236">
        <v>1368</v>
      </c>
      <c r="N236">
        <v>1011</v>
      </c>
      <c r="O236" t="s">
        <v>525</v>
      </c>
      <c r="P236" t="s">
        <v>525</v>
      </c>
      <c r="Q236">
        <v>1</v>
      </c>
      <c r="X236">
        <v>0.02</v>
      </c>
      <c r="Y236">
        <v>0</v>
      </c>
      <c r="Z236">
        <v>111.99</v>
      </c>
      <c r="AA236">
        <v>13.5</v>
      </c>
      <c r="AB236">
        <v>0</v>
      </c>
      <c r="AC236">
        <v>0</v>
      </c>
      <c r="AD236">
        <v>1</v>
      </c>
      <c r="AE236">
        <v>0</v>
      </c>
      <c r="AF236" t="s">
        <v>3</v>
      </c>
      <c r="AG236">
        <v>0.02</v>
      </c>
      <c r="AH236">
        <v>2</v>
      </c>
      <c r="AI236">
        <v>39580005</v>
      </c>
      <c r="AJ236">
        <v>249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ROW(Source!A106)</f>
        <v>106</v>
      </c>
      <c r="B237">
        <v>39580006</v>
      </c>
      <c r="C237">
        <v>39580002</v>
      </c>
      <c r="D237">
        <v>36883554</v>
      </c>
      <c r="E237">
        <v>1</v>
      </c>
      <c r="F237">
        <v>1</v>
      </c>
      <c r="G237">
        <v>1</v>
      </c>
      <c r="H237">
        <v>2</v>
      </c>
      <c r="I237" t="s">
        <v>526</v>
      </c>
      <c r="J237" t="s">
        <v>527</v>
      </c>
      <c r="K237" t="s">
        <v>528</v>
      </c>
      <c r="L237">
        <v>1368</v>
      </c>
      <c r="N237">
        <v>1011</v>
      </c>
      <c r="O237" t="s">
        <v>525</v>
      </c>
      <c r="P237" t="s">
        <v>525</v>
      </c>
      <c r="Q237">
        <v>1</v>
      </c>
      <c r="X237">
        <v>0.02</v>
      </c>
      <c r="Y237">
        <v>0</v>
      </c>
      <c r="Z237">
        <v>65.709999999999994</v>
      </c>
      <c r="AA237">
        <v>11.6</v>
      </c>
      <c r="AB237">
        <v>0</v>
      </c>
      <c r="AC237">
        <v>0</v>
      </c>
      <c r="AD237">
        <v>1</v>
      </c>
      <c r="AE237">
        <v>0</v>
      </c>
      <c r="AF237" t="s">
        <v>3</v>
      </c>
      <c r="AG237">
        <v>0.02</v>
      </c>
      <c r="AH237">
        <v>2</v>
      </c>
      <c r="AI237">
        <v>39580006</v>
      </c>
      <c r="AJ237">
        <v>250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ROW(Source!A106)</f>
        <v>106</v>
      </c>
      <c r="B238">
        <v>39580007</v>
      </c>
      <c r="C238">
        <v>39580002</v>
      </c>
      <c r="D238">
        <v>36806488</v>
      </c>
      <c r="E238">
        <v>1</v>
      </c>
      <c r="F238">
        <v>1</v>
      </c>
      <c r="G238">
        <v>1</v>
      </c>
      <c r="H238">
        <v>3</v>
      </c>
      <c r="I238" t="s">
        <v>160</v>
      </c>
      <c r="J238" t="s">
        <v>162</v>
      </c>
      <c r="K238" t="s">
        <v>161</v>
      </c>
      <c r="L238">
        <v>1348</v>
      </c>
      <c r="N238">
        <v>1009</v>
      </c>
      <c r="O238" t="s">
        <v>105</v>
      </c>
      <c r="P238" t="s">
        <v>105</v>
      </c>
      <c r="Q238">
        <v>1000</v>
      </c>
      <c r="X238">
        <v>0.01</v>
      </c>
      <c r="Y238">
        <v>729.98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0.01</v>
      </c>
      <c r="AH238">
        <v>2</v>
      </c>
      <c r="AI238">
        <v>39580007</v>
      </c>
      <c r="AJ238">
        <v>251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ROW(Source!A106)</f>
        <v>106</v>
      </c>
      <c r="B239">
        <v>39580008</v>
      </c>
      <c r="C239">
        <v>39580002</v>
      </c>
      <c r="D239">
        <v>36838317</v>
      </c>
      <c r="E239">
        <v>1</v>
      </c>
      <c r="F239">
        <v>1</v>
      </c>
      <c r="G239">
        <v>1</v>
      </c>
      <c r="H239">
        <v>3</v>
      </c>
      <c r="I239" t="s">
        <v>703</v>
      </c>
      <c r="J239" t="s">
        <v>704</v>
      </c>
      <c r="K239" t="s">
        <v>229</v>
      </c>
      <c r="L239">
        <v>1346</v>
      </c>
      <c r="N239">
        <v>1009</v>
      </c>
      <c r="O239" t="s">
        <v>118</v>
      </c>
      <c r="P239" t="s">
        <v>118</v>
      </c>
      <c r="Q239">
        <v>1</v>
      </c>
      <c r="X239">
        <v>0.3</v>
      </c>
      <c r="Y239">
        <v>28.6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</v>
      </c>
      <c r="AG239">
        <v>0.3</v>
      </c>
      <c r="AH239">
        <v>2</v>
      </c>
      <c r="AI239">
        <v>39580008</v>
      </c>
      <c r="AJ239">
        <v>252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ROW(Source!A106)</f>
        <v>106</v>
      </c>
      <c r="B240">
        <v>39580009</v>
      </c>
      <c r="C240">
        <v>39580002</v>
      </c>
      <c r="D240">
        <v>36867793</v>
      </c>
      <c r="E240">
        <v>1</v>
      </c>
      <c r="F240">
        <v>1</v>
      </c>
      <c r="G240">
        <v>1</v>
      </c>
      <c r="H240">
        <v>3</v>
      </c>
      <c r="I240" t="s">
        <v>727</v>
      </c>
      <c r="J240" t="s">
        <v>728</v>
      </c>
      <c r="K240" t="s">
        <v>729</v>
      </c>
      <c r="L240">
        <v>1346</v>
      </c>
      <c r="N240">
        <v>1009</v>
      </c>
      <c r="O240" t="s">
        <v>118</v>
      </c>
      <c r="P240" t="s">
        <v>118</v>
      </c>
      <c r="Q240">
        <v>1</v>
      </c>
      <c r="X240">
        <v>0.53</v>
      </c>
      <c r="Y240">
        <v>41.7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3</v>
      </c>
      <c r="AG240">
        <v>0.53</v>
      </c>
      <c r="AH240">
        <v>2</v>
      </c>
      <c r="AI240">
        <v>39580009</v>
      </c>
      <c r="AJ240">
        <v>254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ROW(Source!A106)</f>
        <v>106</v>
      </c>
      <c r="B241">
        <v>39580010</v>
      </c>
      <c r="C241">
        <v>39580002</v>
      </c>
      <c r="D241">
        <v>36799065</v>
      </c>
      <c r="E241">
        <v>17</v>
      </c>
      <c r="F241">
        <v>1</v>
      </c>
      <c r="G241">
        <v>1</v>
      </c>
      <c r="H241">
        <v>3</v>
      </c>
      <c r="I241" t="s">
        <v>694</v>
      </c>
      <c r="J241" t="s">
        <v>3</v>
      </c>
      <c r="K241" t="s">
        <v>695</v>
      </c>
      <c r="L241">
        <v>1374</v>
      </c>
      <c r="N241">
        <v>1013</v>
      </c>
      <c r="O241" t="s">
        <v>696</v>
      </c>
      <c r="P241" t="s">
        <v>696</v>
      </c>
      <c r="Q241">
        <v>1</v>
      </c>
      <c r="X241">
        <v>3.1</v>
      </c>
      <c r="Y241">
        <v>1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3</v>
      </c>
      <c r="AG241">
        <v>3.1</v>
      </c>
      <c r="AH241">
        <v>2</v>
      </c>
      <c r="AI241">
        <v>39580010</v>
      </c>
      <c r="AJ241">
        <v>255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ROW(Source!A108)</f>
        <v>108</v>
      </c>
      <c r="B242">
        <v>39580014</v>
      </c>
      <c r="C242">
        <v>39580013</v>
      </c>
      <c r="D242">
        <v>37082223</v>
      </c>
      <c r="E242">
        <v>1</v>
      </c>
      <c r="F242">
        <v>1</v>
      </c>
      <c r="G242">
        <v>1</v>
      </c>
      <c r="H242">
        <v>1</v>
      </c>
      <c r="I242" t="s">
        <v>730</v>
      </c>
      <c r="J242" t="s">
        <v>3</v>
      </c>
      <c r="K242" t="s">
        <v>731</v>
      </c>
      <c r="L242">
        <v>1191</v>
      </c>
      <c r="N242">
        <v>1013</v>
      </c>
      <c r="O242" t="s">
        <v>519</v>
      </c>
      <c r="P242" t="s">
        <v>519</v>
      </c>
      <c r="Q242">
        <v>1</v>
      </c>
      <c r="X242">
        <v>0.5</v>
      </c>
      <c r="Y242">
        <v>0</v>
      </c>
      <c r="Z242">
        <v>0</v>
      </c>
      <c r="AA242">
        <v>0</v>
      </c>
      <c r="AB242">
        <v>9.76</v>
      </c>
      <c r="AC242">
        <v>0</v>
      </c>
      <c r="AD242">
        <v>1</v>
      </c>
      <c r="AE242">
        <v>1</v>
      </c>
      <c r="AF242" t="s">
        <v>3</v>
      </c>
      <c r="AG242">
        <v>0.5</v>
      </c>
      <c r="AH242">
        <v>2</v>
      </c>
      <c r="AI242">
        <v>39580014</v>
      </c>
      <c r="AJ242">
        <v>256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ROW(Source!A108)</f>
        <v>108</v>
      </c>
      <c r="B243">
        <v>39580015</v>
      </c>
      <c r="C243">
        <v>39580013</v>
      </c>
      <c r="D243">
        <v>36804944</v>
      </c>
      <c r="E243">
        <v>1</v>
      </c>
      <c r="F243">
        <v>1</v>
      </c>
      <c r="G243">
        <v>1</v>
      </c>
      <c r="H243">
        <v>3</v>
      </c>
      <c r="I243" t="s">
        <v>732</v>
      </c>
      <c r="J243" t="s">
        <v>733</v>
      </c>
      <c r="K243" t="s">
        <v>734</v>
      </c>
      <c r="L243">
        <v>1348</v>
      </c>
      <c r="N243">
        <v>1009</v>
      </c>
      <c r="O243" t="s">
        <v>105</v>
      </c>
      <c r="P243" t="s">
        <v>105</v>
      </c>
      <c r="Q243">
        <v>1000</v>
      </c>
      <c r="X243">
        <v>1.0000000000000001E-5</v>
      </c>
      <c r="Y243">
        <v>12430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3</v>
      </c>
      <c r="AG243">
        <v>1.0000000000000001E-5</v>
      </c>
      <c r="AH243">
        <v>2</v>
      </c>
      <c r="AI243">
        <v>39580015</v>
      </c>
      <c r="AJ243">
        <v>257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ROW(Source!A108)</f>
        <v>108</v>
      </c>
      <c r="B244">
        <v>39580016</v>
      </c>
      <c r="C244">
        <v>39580013</v>
      </c>
      <c r="D244">
        <v>36806488</v>
      </c>
      <c r="E244">
        <v>1</v>
      </c>
      <c r="F244">
        <v>1</v>
      </c>
      <c r="G244">
        <v>1</v>
      </c>
      <c r="H244">
        <v>3</v>
      </c>
      <c r="I244" t="s">
        <v>160</v>
      </c>
      <c r="J244" t="s">
        <v>162</v>
      </c>
      <c r="K244" t="s">
        <v>161</v>
      </c>
      <c r="L244">
        <v>1348</v>
      </c>
      <c r="N244">
        <v>1009</v>
      </c>
      <c r="O244" t="s">
        <v>105</v>
      </c>
      <c r="P244" t="s">
        <v>105</v>
      </c>
      <c r="Q244">
        <v>1000</v>
      </c>
      <c r="X244">
        <v>5.0000000000000002E-5</v>
      </c>
      <c r="Y244">
        <v>729.98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3</v>
      </c>
      <c r="AG244">
        <v>5.0000000000000002E-5</v>
      </c>
      <c r="AH244">
        <v>2</v>
      </c>
      <c r="AI244">
        <v>39580016</v>
      </c>
      <c r="AJ244">
        <v>258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ROW(Source!A108)</f>
        <v>108</v>
      </c>
      <c r="B245">
        <v>39580017</v>
      </c>
      <c r="C245">
        <v>39580013</v>
      </c>
      <c r="D245">
        <v>36825637</v>
      </c>
      <c r="E245">
        <v>1</v>
      </c>
      <c r="F245">
        <v>1</v>
      </c>
      <c r="G245">
        <v>1</v>
      </c>
      <c r="H245">
        <v>3</v>
      </c>
      <c r="I245" t="s">
        <v>735</v>
      </c>
      <c r="J245" t="s">
        <v>736</v>
      </c>
      <c r="K245" t="s">
        <v>737</v>
      </c>
      <c r="L245">
        <v>1348</v>
      </c>
      <c r="N245">
        <v>1009</v>
      </c>
      <c r="O245" t="s">
        <v>105</v>
      </c>
      <c r="P245" t="s">
        <v>105</v>
      </c>
      <c r="Q245">
        <v>1000</v>
      </c>
      <c r="X245">
        <v>1.0000000000000001E-5</v>
      </c>
      <c r="Y245">
        <v>14690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1.0000000000000001E-5</v>
      </c>
      <c r="AH245">
        <v>2</v>
      </c>
      <c r="AI245">
        <v>39580017</v>
      </c>
      <c r="AJ245">
        <v>259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ROW(Source!A108)</f>
        <v>108</v>
      </c>
      <c r="B246">
        <v>39580018</v>
      </c>
      <c r="C246">
        <v>39580013</v>
      </c>
      <c r="D246">
        <v>36799065</v>
      </c>
      <c r="E246">
        <v>17</v>
      </c>
      <c r="F246">
        <v>1</v>
      </c>
      <c r="G246">
        <v>1</v>
      </c>
      <c r="H246">
        <v>3</v>
      </c>
      <c r="I246" t="s">
        <v>694</v>
      </c>
      <c r="J246" t="s">
        <v>3</v>
      </c>
      <c r="K246" t="s">
        <v>695</v>
      </c>
      <c r="L246">
        <v>1374</v>
      </c>
      <c r="N246">
        <v>1013</v>
      </c>
      <c r="O246" t="s">
        <v>696</v>
      </c>
      <c r="P246" t="s">
        <v>696</v>
      </c>
      <c r="Q246">
        <v>1</v>
      </c>
      <c r="X246">
        <v>0.1</v>
      </c>
      <c r="Y246">
        <v>1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0.1</v>
      </c>
      <c r="AH246">
        <v>2</v>
      </c>
      <c r="AI246">
        <v>39580018</v>
      </c>
      <c r="AJ246">
        <v>261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ROW(Source!A110)</f>
        <v>110</v>
      </c>
      <c r="B247">
        <v>39580020</v>
      </c>
      <c r="C247">
        <v>39580019</v>
      </c>
      <c r="D247">
        <v>37080781</v>
      </c>
      <c r="E247">
        <v>1</v>
      </c>
      <c r="F247">
        <v>1</v>
      </c>
      <c r="G247">
        <v>1</v>
      </c>
      <c r="H247">
        <v>1</v>
      </c>
      <c r="I247" t="s">
        <v>689</v>
      </c>
      <c r="J247" t="s">
        <v>3</v>
      </c>
      <c r="K247" t="s">
        <v>690</v>
      </c>
      <c r="L247">
        <v>1191</v>
      </c>
      <c r="N247">
        <v>1013</v>
      </c>
      <c r="O247" t="s">
        <v>519</v>
      </c>
      <c r="P247" t="s">
        <v>519</v>
      </c>
      <c r="Q247">
        <v>1</v>
      </c>
      <c r="X247">
        <v>30.48</v>
      </c>
      <c r="Y247">
        <v>0</v>
      </c>
      <c r="Z247">
        <v>0</v>
      </c>
      <c r="AA247">
        <v>0</v>
      </c>
      <c r="AB247">
        <v>9.92</v>
      </c>
      <c r="AC247">
        <v>0</v>
      </c>
      <c r="AD247">
        <v>1</v>
      </c>
      <c r="AE247">
        <v>1</v>
      </c>
      <c r="AF247" t="s">
        <v>3</v>
      </c>
      <c r="AG247">
        <v>30.48</v>
      </c>
      <c r="AH247">
        <v>2</v>
      </c>
      <c r="AI247">
        <v>39580020</v>
      </c>
      <c r="AJ247">
        <v>262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ROW(Source!A110)</f>
        <v>110</v>
      </c>
      <c r="B248">
        <v>39580021</v>
      </c>
      <c r="C248">
        <v>39580019</v>
      </c>
      <c r="D248">
        <v>37064876</v>
      </c>
      <c r="E248">
        <v>1</v>
      </c>
      <c r="F248">
        <v>1</v>
      </c>
      <c r="G248">
        <v>1</v>
      </c>
      <c r="H248">
        <v>1</v>
      </c>
      <c r="I248" t="s">
        <v>520</v>
      </c>
      <c r="J248" t="s">
        <v>3</v>
      </c>
      <c r="K248" t="s">
        <v>521</v>
      </c>
      <c r="L248">
        <v>1191</v>
      </c>
      <c r="N248">
        <v>1013</v>
      </c>
      <c r="O248" t="s">
        <v>519</v>
      </c>
      <c r="P248" t="s">
        <v>519</v>
      </c>
      <c r="Q248">
        <v>1</v>
      </c>
      <c r="X248">
        <v>0.05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2</v>
      </c>
      <c r="AF248" t="s">
        <v>3</v>
      </c>
      <c r="AG248">
        <v>0.05</v>
      </c>
      <c r="AH248">
        <v>2</v>
      </c>
      <c r="AI248">
        <v>39580021</v>
      </c>
      <c r="AJ248">
        <v>263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ROW(Source!A110)</f>
        <v>110</v>
      </c>
      <c r="B249">
        <v>39580022</v>
      </c>
      <c r="C249">
        <v>39580019</v>
      </c>
      <c r="D249">
        <v>36882159</v>
      </c>
      <c r="E249">
        <v>1</v>
      </c>
      <c r="F249">
        <v>1</v>
      </c>
      <c r="G249">
        <v>1</v>
      </c>
      <c r="H249">
        <v>2</v>
      </c>
      <c r="I249" t="s">
        <v>620</v>
      </c>
      <c r="J249" t="s">
        <v>621</v>
      </c>
      <c r="K249" t="s">
        <v>622</v>
      </c>
      <c r="L249">
        <v>1368</v>
      </c>
      <c r="N249">
        <v>1011</v>
      </c>
      <c r="O249" t="s">
        <v>525</v>
      </c>
      <c r="P249" t="s">
        <v>525</v>
      </c>
      <c r="Q249">
        <v>1</v>
      </c>
      <c r="X249">
        <v>0.03</v>
      </c>
      <c r="Y249">
        <v>0</v>
      </c>
      <c r="Z249">
        <v>111.99</v>
      </c>
      <c r="AA249">
        <v>13.5</v>
      </c>
      <c r="AB249">
        <v>0</v>
      </c>
      <c r="AC249">
        <v>0</v>
      </c>
      <c r="AD249">
        <v>1</v>
      </c>
      <c r="AE249">
        <v>0</v>
      </c>
      <c r="AF249" t="s">
        <v>3</v>
      </c>
      <c r="AG249">
        <v>0.03</v>
      </c>
      <c r="AH249">
        <v>2</v>
      </c>
      <c r="AI249">
        <v>39580022</v>
      </c>
      <c r="AJ249">
        <v>264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ROW(Source!A110)</f>
        <v>110</v>
      </c>
      <c r="B250">
        <v>39580023</v>
      </c>
      <c r="C250">
        <v>39580019</v>
      </c>
      <c r="D250">
        <v>36883554</v>
      </c>
      <c r="E250">
        <v>1</v>
      </c>
      <c r="F250">
        <v>1</v>
      </c>
      <c r="G250">
        <v>1</v>
      </c>
      <c r="H250">
        <v>2</v>
      </c>
      <c r="I250" t="s">
        <v>526</v>
      </c>
      <c r="J250" t="s">
        <v>527</v>
      </c>
      <c r="K250" t="s">
        <v>528</v>
      </c>
      <c r="L250">
        <v>1368</v>
      </c>
      <c r="N250">
        <v>1011</v>
      </c>
      <c r="O250" t="s">
        <v>525</v>
      </c>
      <c r="P250" t="s">
        <v>525</v>
      </c>
      <c r="Q250">
        <v>1</v>
      </c>
      <c r="X250">
        <v>0.02</v>
      </c>
      <c r="Y250">
        <v>0</v>
      </c>
      <c r="Z250">
        <v>65.709999999999994</v>
      </c>
      <c r="AA250">
        <v>11.6</v>
      </c>
      <c r="AB250">
        <v>0</v>
      </c>
      <c r="AC250">
        <v>0</v>
      </c>
      <c r="AD250">
        <v>1</v>
      </c>
      <c r="AE250">
        <v>0</v>
      </c>
      <c r="AF250" t="s">
        <v>3</v>
      </c>
      <c r="AG250">
        <v>0.02</v>
      </c>
      <c r="AH250">
        <v>2</v>
      </c>
      <c r="AI250">
        <v>39580023</v>
      </c>
      <c r="AJ250">
        <v>265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ROW(Source!A110)</f>
        <v>110</v>
      </c>
      <c r="B251">
        <v>39580024</v>
      </c>
      <c r="C251">
        <v>39580019</v>
      </c>
      <c r="D251">
        <v>36802094</v>
      </c>
      <c r="E251">
        <v>1</v>
      </c>
      <c r="F251">
        <v>1</v>
      </c>
      <c r="G251">
        <v>1</v>
      </c>
      <c r="H251">
        <v>3</v>
      </c>
      <c r="I251" t="s">
        <v>697</v>
      </c>
      <c r="J251" t="s">
        <v>698</v>
      </c>
      <c r="K251" t="s">
        <v>699</v>
      </c>
      <c r="L251">
        <v>1346</v>
      </c>
      <c r="N251">
        <v>1009</v>
      </c>
      <c r="O251" t="s">
        <v>118</v>
      </c>
      <c r="P251" t="s">
        <v>118</v>
      </c>
      <c r="Q251">
        <v>1</v>
      </c>
      <c r="X251">
        <v>0.42</v>
      </c>
      <c r="Y251">
        <v>30.4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3</v>
      </c>
      <c r="AG251">
        <v>0.42</v>
      </c>
      <c r="AH251">
        <v>2</v>
      </c>
      <c r="AI251">
        <v>39580024</v>
      </c>
      <c r="AJ251">
        <v>266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ROW(Source!A110)</f>
        <v>110</v>
      </c>
      <c r="B252">
        <v>39580025</v>
      </c>
      <c r="C252">
        <v>39580019</v>
      </c>
      <c r="D252">
        <v>36804448</v>
      </c>
      <c r="E252">
        <v>1</v>
      </c>
      <c r="F252">
        <v>1</v>
      </c>
      <c r="G252">
        <v>1</v>
      </c>
      <c r="H252">
        <v>3</v>
      </c>
      <c r="I252" t="s">
        <v>738</v>
      </c>
      <c r="J252" t="s">
        <v>739</v>
      </c>
      <c r="K252" t="s">
        <v>631</v>
      </c>
      <c r="L252">
        <v>1346</v>
      </c>
      <c r="N252">
        <v>1009</v>
      </c>
      <c r="O252" t="s">
        <v>118</v>
      </c>
      <c r="P252" t="s">
        <v>118</v>
      </c>
      <c r="Q252">
        <v>1</v>
      </c>
      <c r="X252">
        <v>1.5</v>
      </c>
      <c r="Y252">
        <v>9.0399999999999991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3</v>
      </c>
      <c r="AG252">
        <v>1.5</v>
      </c>
      <c r="AH252">
        <v>2</v>
      </c>
      <c r="AI252">
        <v>39580025</v>
      </c>
      <c r="AJ252">
        <v>267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ROW(Source!A110)</f>
        <v>110</v>
      </c>
      <c r="B253">
        <v>39580026</v>
      </c>
      <c r="C253">
        <v>39580019</v>
      </c>
      <c r="D253">
        <v>36806488</v>
      </c>
      <c r="E253">
        <v>1</v>
      </c>
      <c r="F253">
        <v>1</v>
      </c>
      <c r="G253">
        <v>1</v>
      </c>
      <c r="H253">
        <v>3</v>
      </c>
      <c r="I253" t="s">
        <v>160</v>
      </c>
      <c r="J253" t="s">
        <v>162</v>
      </c>
      <c r="K253" t="s">
        <v>161</v>
      </c>
      <c r="L253">
        <v>1348</v>
      </c>
      <c r="N253">
        <v>1009</v>
      </c>
      <c r="O253" t="s">
        <v>105</v>
      </c>
      <c r="P253" t="s">
        <v>105</v>
      </c>
      <c r="Q253">
        <v>1000</v>
      </c>
      <c r="X253">
        <v>3.15E-3</v>
      </c>
      <c r="Y253">
        <v>729.98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3</v>
      </c>
      <c r="AG253">
        <v>3.15E-3</v>
      </c>
      <c r="AH253">
        <v>2</v>
      </c>
      <c r="AI253">
        <v>39580026</v>
      </c>
      <c r="AJ253">
        <v>268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ROW(Source!A110)</f>
        <v>110</v>
      </c>
      <c r="B254">
        <v>39580027</v>
      </c>
      <c r="C254">
        <v>39580019</v>
      </c>
      <c r="D254">
        <v>36852067</v>
      </c>
      <c r="E254">
        <v>1</v>
      </c>
      <c r="F254">
        <v>1</v>
      </c>
      <c r="G254">
        <v>1</v>
      </c>
      <c r="H254">
        <v>3</v>
      </c>
      <c r="I254" t="s">
        <v>740</v>
      </c>
      <c r="J254" t="s">
        <v>741</v>
      </c>
      <c r="K254" t="s">
        <v>742</v>
      </c>
      <c r="L254">
        <v>1356</v>
      </c>
      <c r="N254">
        <v>1010</v>
      </c>
      <c r="O254" t="s">
        <v>711</v>
      </c>
      <c r="P254" t="s">
        <v>711</v>
      </c>
      <c r="Q254">
        <v>1000</v>
      </c>
      <c r="X254">
        <v>0.10199999999999999</v>
      </c>
      <c r="Y254">
        <v>270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0.10199999999999999</v>
      </c>
      <c r="AH254">
        <v>2</v>
      </c>
      <c r="AI254">
        <v>39580027</v>
      </c>
      <c r="AJ254">
        <v>269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ROW(Source!A110)</f>
        <v>110</v>
      </c>
      <c r="B255">
        <v>39580028</v>
      </c>
      <c r="C255">
        <v>39580019</v>
      </c>
      <c r="D255">
        <v>36799065</v>
      </c>
      <c r="E255">
        <v>17</v>
      </c>
      <c r="F255">
        <v>1</v>
      </c>
      <c r="G255">
        <v>1</v>
      </c>
      <c r="H255">
        <v>3</v>
      </c>
      <c r="I255" t="s">
        <v>694</v>
      </c>
      <c r="J255" t="s">
        <v>3</v>
      </c>
      <c r="K255" t="s">
        <v>695</v>
      </c>
      <c r="L255">
        <v>1374</v>
      </c>
      <c r="N255">
        <v>1013</v>
      </c>
      <c r="O255" t="s">
        <v>696</v>
      </c>
      <c r="P255" t="s">
        <v>696</v>
      </c>
      <c r="Q255">
        <v>1</v>
      </c>
      <c r="X255">
        <v>6.05</v>
      </c>
      <c r="Y255">
        <v>1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6.05</v>
      </c>
      <c r="AH255">
        <v>2</v>
      </c>
      <c r="AI255">
        <v>39580028</v>
      </c>
      <c r="AJ255">
        <v>271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ROW(Source!A112)</f>
        <v>112</v>
      </c>
      <c r="B256">
        <v>39580030</v>
      </c>
      <c r="C256">
        <v>39580029</v>
      </c>
      <c r="D256">
        <v>37070202</v>
      </c>
      <c r="E256">
        <v>1</v>
      </c>
      <c r="F256">
        <v>1</v>
      </c>
      <c r="G256">
        <v>1</v>
      </c>
      <c r="H256">
        <v>1</v>
      </c>
      <c r="I256" t="s">
        <v>614</v>
      </c>
      <c r="J256" t="s">
        <v>3</v>
      </c>
      <c r="K256" t="s">
        <v>615</v>
      </c>
      <c r="L256">
        <v>1191</v>
      </c>
      <c r="N256">
        <v>1013</v>
      </c>
      <c r="O256" t="s">
        <v>519</v>
      </c>
      <c r="P256" t="s">
        <v>519</v>
      </c>
      <c r="Q256">
        <v>1</v>
      </c>
      <c r="X256">
        <v>1.56</v>
      </c>
      <c r="Y256">
        <v>0</v>
      </c>
      <c r="Z256">
        <v>0</v>
      </c>
      <c r="AA256">
        <v>0</v>
      </c>
      <c r="AB256">
        <v>9.51</v>
      </c>
      <c r="AC256">
        <v>0</v>
      </c>
      <c r="AD256">
        <v>1</v>
      </c>
      <c r="AE256">
        <v>1</v>
      </c>
      <c r="AF256" t="s">
        <v>3</v>
      </c>
      <c r="AG256">
        <v>1.56</v>
      </c>
      <c r="AH256">
        <v>2</v>
      </c>
      <c r="AI256">
        <v>39580030</v>
      </c>
      <c r="AJ256">
        <v>272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ROW(Source!A112)</f>
        <v>112</v>
      </c>
      <c r="B257">
        <v>39580031</v>
      </c>
      <c r="C257">
        <v>39580029</v>
      </c>
      <c r="D257">
        <v>36883858</v>
      </c>
      <c r="E257">
        <v>1</v>
      </c>
      <c r="F257">
        <v>1</v>
      </c>
      <c r="G257">
        <v>1</v>
      </c>
      <c r="H257">
        <v>2</v>
      </c>
      <c r="I257" t="s">
        <v>623</v>
      </c>
      <c r="J257" t="s">
        <v>624</v>
      </c>
      <c r="K257" t="s">
        <v>625</v>
      </c>
      <c r="L257">
        <v>1368</v>
      </c>
      <c r="N257">
        <v>1011</v>
      </c>
      <c r="O257" t="s">
        <v>525</v>
      </c>
      <c r="P257" t="s">
        <v>525</v>
      </c>
      <c r="Q257">
        <v>1</v>
      </c>
      <c r="X257">
        <v>0.13</v>
      </c>
      <c r="Y257">
        <v>0</v>
      </c>
      <c r="Z257">
        <v>8.1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3</v>
      </c>
      <c r="AG257">
        <v>0.13</v>
      </c>
      <c r="AH257">
        <v>2</v>
      </c>
      <c r="AI257">
        <v>39580031</v>
      </c>
      <c r="AJ257">
        <v>273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ROW(Source!A112)</f>
        <v>112</v>
      </c>
      <c r="B258">
        <v>39580032</v>
      </c>
      <c r="C258">
        <v>39580029</v>
      </c>
      <c r="D258">
        <v>36800043</v>
      </c>
      <c r="E258">
        <v>1</v>
      </c>
      <c r="F258">
        <v>1</v>
      </c>
      <c r="G258">
        <v>1</v>
      </c>
      <c r="H258">
        <v>3</v>
      </c>
      <c r="I258" t="s">
        <v>743</v>
      </c>
      <c r="J258" t="s">
        <v>744</v>
      </c>
      <c r="K258" t="s">
        <v>745</v>
      </c>
      <c r="L258">
        <v>1346</v>
      </c>
      <c r="N258">
        <v>1009</v>
      </c>
      <c r="O258" t="s">
        <v>118</v>
      </c>
      <c r="P258" t="s">
        <v>118</v>
      </c>
      <c r="Q258">
        <v>1</v>
      </c>
      <c r="X258">
        <v>6.0000000000000001E-3</v>
      </c>
      <c r="Y258">
        <v>44.97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6.0000000000000001E-3</v>
      </c>
      <c r="AH258">
        <v>2</v>
      </c>
      <c r="AI258">
        <v>39580032</v>
      </c>
      <c r="AJ258">
        <v>274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ROW(Source!A112)</f>
        <v>112</v>
      </c>
      <c r="B259">
        <v>39580033</v>
      </c>
      <c r="C259">
        <v>39580029</v>
      </c>
      <c r="D259">
        <v>36801775</v>
      </c>
      <c r="E259">
        <v>1</v>
      </c>
      <c r="F259">
        <v>1</v>
      </c>
      <c r="G259">
        <v>1</v>
      </c>
      <c r="H259">
        <v>3</v>
      </c>
      <c r="I259" t="s">
        <v>746</v>
      </c>
      <c r="J259" t="s">
        <v>747</v>
      </c>
      <c r="K259" t="s">
        <v>748</v>
      </c>
      <c r="L259">
        <v>1346</v>
      </c>
      <c r="N259">
        <v>1009</v>
      </c>
      <c r="O259" t="s">
        <v>118</v>
      </c>
      <c r="P259" t="s">
        <v>118</v>
      </c>
      <c r="Q259">
        <v>1</v>
      </c>
      <c r="X259">
        <v>1E-3</v>
      </c>
      <c r="Y259">
        <v>11.5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3</v>
      </c>
      <c r="AG259">
        <v>1E-3</v>
      </c>
      <c r="AH259">
        <v>2</v>
      </c>
      <c r="AI259">
        <v>39580033</v>
      </c>
      <c r="AJ259">
        <v>275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ROW(Source!A112)</f>
        <v>112</v>
      </c>
      <c r="B260">
        <v>39580034</v>
      </c>
      <c r="C260">
        <v>39580029</v>
      </c>
      <c r="D260">
        <v>36802094</v>
      </c>
      <c r="E260">
        <v>1</v>
      </c>
      <c r="F260">
        <v>1</v>
      </c>
      <c r="G260">
        <v>1</v>
      </c>
      <c r="H260">
        <v>3</v>
      </c>
      <c r="I260" t="s">
        <v>697</v>
      </c>
      <c r="J260" t="s">
        <v>698</v>
      </c>
      <c r="K260" t="s">
        <v>699</v>
      </c>
      <c r="L260">
        <v>1346</v>
      </c>
      <c r="N260">
        <v>1009</v>
      </c>
      <c r="O260" t="s">
        <v>118</v>
      </c>
      <c r="P260" t="s">
        <v>118</v>
      </c>
      <c r="Q260">
        <v>1</v>
      </c>
      <c r="X260">
        <v>1.2E-2</v>
      </c>
      <c r="Y260">
        <v>30.4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1.2E-2</v>
      </c>
      <c r="AH260">
        <v>2</v>
      </c>
      <c r="AI260">
        <v>39580034</v>
      </c>
      <c r="AJ260">
        <v>276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ROW(Source!A112)</f>
        <v>112</v>
      </c>
      <c r="B261">
        <v>39580035</v>
      </c>
      <c r="C261">
        <v>39580029</v>
      </c>
      <c r="D261">
        <v>36803258</v>
      </c>
      <c r="E261">
        <v>1</v>
      </c>
      <c r="F261">
        <v>1</v>
      </c>
      <c r="G261">
        <v>1</v>
      </c>
      <c r="H261">
        <v>3</v>
      </c>
      <c r="I261" t="s">
        <v>749</v>
      </c>
      <c r="J261" t="s">
        <v>750</v>
      </c>
      <c r="K261" t="s">
        <v>751</v>
      </c>
      <c r="L261">
        <v>1346</v>
      </c>
      <c r="N261">
        <v>1009</v>
      </c>
      <c r="O261" t="s">
        <v>118</v>
      </c>
      <c r="P261" t="s">
        <v>118</v>
      </c>
      <c r="Q261">
        <v>1</v>
      </c>
      <c r="X261">
        <v>7.0000000000000007E-2</v>
      </c>
      <c r="Y261">
        <v>10.57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3</v>
      </c>
      <c r="AG261">
        <v>7.0000000000000007E-2</v>
      </c>
      <c r="AH261">
        <v>2</v>
      </c>
      <c r="AI261">
        <v>39580035</v>
      </c>
      <c r="AJ261">
        <v>277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ROW(Source!A112)</f>
        <v>112</v>
      </c>
      <c r="B262">
        <v>39580036</v>
      </c>
      <c r="C262">
        <v>39580029</v>
      </c>
      <c r="D262">
        <v>36804448</v>
      </c>
      <c r="E262">
        <v>1</v>
      </c>
      <c r="F262">
        <v>1</v>
      </c>
      <c r="G262">
        <v>1</v>
      </c>
      <c r="H262">
        <v>3</v>
      </c>
      <c r="I262" t="s">
        <v>738</v>
      </c>
      <c r="J262" t="s">
        <v>739</v>
      </c>
      <c r="K262" t="s">
        <v>631</v>
      </c>
      <c r="L262">
        <v>1346</v>
      </c>
      <c r="N262">
        <v>1009</v>
      </c>
      <c r="O262" t="s">
        <v>118</v>
      </c>
      <c r="P262" t="s">
        <v>118</v>
      </c>
      <c r="Q262">
        <v>1</v>
      </c>
      <c r="X262">
        <v>4.9000000000000002E-2</v>
      </c>
      <c r="Y262">
        <v>9.0399999999999991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3</v>
      </c>
      <c r="AG262">
        <v>4.9000000000000002E-2</v>
      </c>
      <c r="AH262">
        <v>2</v>
      </c>
      <c r="AI262">
        <v>39580036</v>
      </c>
      <c r="AJ262">
        <v>278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ROW(Source!A112)</f>
        <v>112</v>
      </c>
      <c r="B263">
        <v>39580037</v>
      </c>
      <c r="C263">
        <v>39580029</v>
      </c>
      <c r="D263">
        <v>36804580</v>
      </c>
      <c r="E263">
        <v>1</v>
      </c>
      <c r="F263">
        <v>1</v>
      </c>
      <c r="G263">
        <v>1</v>
      </c>
      <c r="H263">
        <v>3</v>
      </c>
      <c r="I263" t="s">
        <v>752</v>
      </c>
      <c r="J263" t="s">
        <v>753</v>
      </c>
      <c r="K263" t="s">
        <v>754</v>
      </c>
      <c r="L263">
        <v>1355</v>
      </c>
      <c r="N263">
        <v>1010</v>
      </c>
      <c r="O263" t="s">
        <v>360</v>
      </c>
      <c r="P263" t="s">
        <v>360</v>
      </c>
      <c r="Q263">
        <v>100</v>
      </c>
      <c r="X263">
        <v>1.4E-2</v>
      </c>
      <c r="Y263">
        <v>86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3</v>
      </c>
      <c r="AG263">
        <v>1.4E-2</v>
      </c>
      <c r="AH263">
        <v>2</v>
      </c>
      <c r="AI263">
        <v>39580037</v>
      </c>
      <c r="AJ263">
        <v>279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ROW(Source!A112)</f>
        <v>112</v>
      </c>
      <c r="B264">
        <v>39580038</v>
      </c>
      <c r="C264">
        <v>39580029</v>
      </c>
      <c r="D264">
        <v>36805500</v>
      </c>
      <c r="E264">
        <v>1</v>
      </c>
      <c r="F264">
        <v>1</v>
      </c>
      <c r="G264">
        <v>1</v>
      </c>
      <c r="H264">
        <v>3</v>
      </c>
      <c r="I264" t="s">
        <v>755</v>
      </c>
      <c r="J264" t="s">
        <v>756</v>
      </c>
      <c r="K264" t="s">
        <v>757</v>
      </c>
      <c r="L264">
        <v>1346</v>
      </c>
      <c r="N264">
        <v>1009</v>
      </c>
      <c r="O264" t="s">
        <v>118</v>
      </c>
      <c r="P264" t="s">
        <v>118</v>
      </c>
      <c r="Q264">
        <v>1</v>
      </c>
      <c r="X264">
        <v>1E-3</v>
      </c>
      <c r="Y264">
        <v>133.05000000000001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3</v>
      </c>
      <c r="AG264">
        <v>1E-3</v>
      </c>
      <c r="AH264">
        <v>2</v>
      </c>
      <c r="AI264">
        <v>39580038</v>
      </c>
      <c r="AJ264">
        <v>280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ROW(Source!A112)</f>
        <v>112</v>
      </c>
      <c r="B265">
        <v>39580039</v>
      </c>
      <c r="C265">
        <v>39580029</v>
      </c>
      <c r="D265">
        <v>36823140</v>
      </c>
      <c r="E265">
        <v>1</v>
      </c>
      <c r="F265">
        <v>1</v>
      </c>
      <c r="G265">
        <v>1</v>
      </c>
      <c r="H265">
        <v>3</v>
      </c>
      <c r="I265" t="s">
        <v>758</v>
      </c>
      <c r="J265" t="s">
        <v>759</v>
      </c>
      <c r="K265" t="s">
        <v>760</v>
      </c>
      <c r="L265">
        <v>1348</v>
      </c>
      <c r="N265">
        <v>1009</v>
      </c>
      <c r="O265" t="s">
        <v>105</v>
      </c>
      <c r="P265" t="s">
        <v>105</v>
      </c>
      <c r="Q265">
        <v>1000</v>
      </c>
      <c r="X265">
        <v>1E-3</v>
      </c>
      <c r="Y265">
        <v>11500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1E-3</v>
      </c>
      <c r="AH265">
        <v>2</v>
      </c>
      <c r="AI265">
        <v>39580039</v>
      </c>
      <c r="AJ265">
        <v>281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ROW(Source!A112)</f>
        <v>112</v>
      </c>
      <c r="B266">
        <v>39580040</v>
      </c>
      <c r="C266">
        <v>39580029</v>
      </c>
      <c r="D266">
        <v>36838317</v>
      </c>
      <c r="E266">
        <v>1</v>
      </c>
      <c r="F266">
        <v>1</v>
      </c>
      <c r="G266">
        <v>1</v>
      </c>
      <c r="H266">
        <v>3</v>
      </c>
      <c r="I266" t="s">
        <v>703</v>
      </c>
      <c r="J266" t="s">
        <v>704</v>
      </c>
      <c r="K266" t="s">
        <v>229</v>
      </c>
      <c r="L266">
        <v>1346</v>
      </c>
      <c r="N266">
        <v>1009</v>
      </c>
      <c r="O266" t="s">
        <v>118</v>
      </c>
      <c r="P266" t="s">
        <v>118</v>
      </c>
      <c r="Q266">
        <v>1</v>
      </c>
      <c r="X266">
        <v>3.5999999999999997E-2</v>
      </c>
      <c r="Y266">
        <v>28.6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3</v>
      </c>
      <c r="AG266">
        <v>3.5999999999999997E-2</v>
      </c>
      <c r="AH266">
        <v>2</v>
      </c>
      <c r="AI266">
        <v>39580040</v>
      </c>
      <c r="AJ266">
        <v>282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ROW(Source!A112)</f>
        <v>112</v>
      </c>
      <c r="B267">
        <v>39580041</v>
      </c>
      <c r="C267">
        <v>39580029</v>
      </c>
      <c r="D267">
        <v>36838470</v>
      </c>
      <c r="E267">
        <v>1</v>
      </c>
      <c r="F267">
        <v>1</v>
      </c>
      <c r="G267">
        <v>1</v>
      </c>
      <c r="H267">
        <v>3</v>
      </c>
      <c r="I267" t="s">
        <v>761</v>
      </c>
      <c r="J267" t="s">
        <v>762</v>
      </c>
      <c r="K267" t="s">
        <v>763</v>
      </c>
      <c r="L267">
        <v>1346</v>
      </c>
      <c r="N267">
        <v>1009</v>
      </c>
      <c r="O267" t="s">
        <v>118</v>
      </c>
      <c r="P267" t="s">
        <v>118</v>
      </c>
      <c r="Q267">
        <v>1</v>
      </c>
      <c r="X267">
        <v>6.0000000000000001E-3</v>
      </c>
      <c r="Y267">
        <v>35.630000000000003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3</v>
      </c>
      <c r="AG267">
        <v>6.0000000000000001E-3</v>
      </c>
      <c r="AH267">
        <v>2</v>
      </c>
      <c r="AI267">
        <v>39580041</v>
      </c>
      <c r="AJ267">
        <v>283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ROW(Source!A112)</f>
        <v>112</v>
      </c>
      <c r="B268">
        <v>39580042</v>
      </c>
      <c r="C268">
        <v>39580029</v>
      </c>
      <c r="D268">
        <v>36851945</v>
      </c>
      <c r="E268">
        <v>1</v>
      </c>
      <c r="F268">
        <v>1</v>
      </c>
      <c r="G268">
        <v>1</v>
      </c>
      <c r="H268">
        <v>3</v>
      </c>
      <c r="I268" t="s">
        <v>764</v>
      </c>
      <c r="J268" t="s">
        <v>765</v>
      </c>
      <c r="K268" t="s">
        <v>766</v>
      </c>
      <c r="L268">
        <v>1358</v>
      </c>
      <c r="N268">
        <v>1010</v>
      </c>
      <c r="O268" t="s">
        <v>351</v>
      </c>
      <c r="P268" t="s">
        <v>351</v>
      </c>
      <c r="Q268">
        <v>10</v>
      </c>
      <c r="X268">
        <v>0.1</v>
      </c>
      <c r="Y268">
        <v>39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3</v>
      </c>
      <c r="AG268">
        <v>0.1</v>
      </c>
      <c r="AH268">
        <v>2</v>
      </c>
      <c r="AI268">
        <v>39580042</v>
      </c>
      <c r="AJ268">
        <v>284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ROW(Source!A112)</f>
        <v>112</v>
      </c>
      <c r="B269">
        <v>39580043</v>
      </c>
      <c r="C269">
        <v>39580029</v>
      </c>
      <c r="D269">
        <v>36799065</v>
      </c>
      <c r="E269">
        <v>17</v>
      </c>
      <c r="F269">
        <v>1</v>
      </c>
      <c r="G269">
        <v>1</v>
      </c>
      <c r="H269">
        <v>3</v>
      </c>
      <c r="I269" t="s">
        <v>694</v>
      </c>
      <c r="J269" t="s">
        <v>3</v>
      </c>
      <c r="K269" t="s">
        <v>695</v>
      </c>
      <c r="L269">
        <v>1374</v>
      </c>
      <c r="N269">
        <v>1013</v>
      </c>
      <c r="O269" t="s">
        <v>696</v>
      </c>
      <c r="P269" t="s">
        <v>696</v>
      </c>
      <c r="Q269">
        <v>1</v>
      </c>
      <c r="X269">
        <v>0.3</v>
      </c>
      <c r="Y269">
        <v>1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3</v>
      </c>
      <c r="AG269">
        <v>0.3</v>
      </c>
      <c r="AH269">
        <v>2</v>
      </c>
      <c r="AI269">
        <v>39580043</v>
      </c>
      <c r="AJ269">
        <v>286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ROW(Source!A114)</f>
        <v>114</v>
      </c>
      <c r="B270">
        <v>39580474</v>
      </c>
      <c r="C270">
        <v>39580473</v>
      </c>
      <c r="D270">
        <v>37065248</v>
      </c>
      <c r="E270">
        <v>1</v>
      </c>
      <c r="F270">
        <v>1</v>
      </c>
      <c r="G270">
        <v>1</v>
      </c>
      <c r="H270">
        <v>1</v>
      </c>
      <c r="I270" t="s">
        <v>536</v>
      </c>
      <c r="J270" t="s">
        <v>3</v>
      </c>
      <c r="K270" t="s">
        <v>537</v>
      </c>
      <c r="L270">
        <v>1191</v>
      </c>
      <c r="N270">
        <v>1013</v>
      </c>
      <c r="O270" t="s">
        <v>519</v>
      </c>
      <c r="P270" t="s">
        <v>519</v>
      </c>
      <c r="Q270">
        <v>1</v>
      </c>
      <c r="X270">
        <v>46.19</v>
      </c>
      <c r="Y270">
        <v>0</v>
      </c>
      <c r="Z270">
        <v>0</v>
      </c>
      <c r="AA270">
        <v>0</v>
      </c>
      <c r="AB270">
        <v>8.5299999999999994</v>
      </c>
      <c r="AC270">
        <v>0</v>
      </c>
      <c r="AD270">
        <v>1</v>
      </c>
      <c r="AE270">
        <v>1</v>
      </c>
      <c r="AF270" t="s">
        <v>3</v>
      </c>
      <c r="AG270">
        <v>46.19</v>
      </c>
      <c r="AH270">
        <v>2</v>
      </c>
      <c r="AI270">
        <v>39580474</v>
      </c>
      <c r="AJ270">
        <v>287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ROW(Source!A114)</f>
        <v>114</v>
      </c>
      <c r="B271">
        <v>39580475</v>
      </c>
      <c r="C271">
        <v>39580473</v>
      </c>
      <c r="D271">
        <v>37064876</v>
      </c>
      <c r="E271">
        <v>1</v>
      </c>
      <c r="F271">
        <v>1</v>
      </c>
      <c r="G271">
        <v>1</v>
      </c>
      <c r="H271">
        <v>1</v>
      </c>
      <c r="I271" t="s">
        <v>520</v>
      </c>
      <c r="J271" t="s">
        <v>3</v>
      </c>
      <c r="K271" t="s">
        <v>521</v>
      </c>
      <c r="L271">
        <v>1191</v>
      </c>
      <c r="N271">
        <v>1013</v>
      </c>
      <c r="O271" t="s">
        <v>519</v>
      </c>
      <c r="P271" t="s">
        <v>519</v>
      </c>
      <c r="Q271">
        <v>1</v>
      </c>
      <c r="X271">
        <v>0.01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2</v>
      </c>
      <c r="AF271" t="s">
        <v>3</v>
      </c>
      <c r="AG271">
        <v>0.01</v>
      </c>
      <c r="AH271">
        <v>2</v>
      </c>
      <c r="AI271">
        <v>39580475</v>
      </c>
      <c r="AJ271">
        <v>288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ROW(Source!A114)</f>
        <v>114</v>
      </c>
      <c r="B272">
        <v>39580476</v>
      </c>
      <c r="C272">
        <v>39580473</v>
      </c>
      <c r="D272">
        <v>36882452</v>
      </c>
      <c r="E272">
        <v>1</v>
      </c>
      <c r="F272">
        <v>1</v>
      </c>
      <c r="G272">
        <v>1</v>
      </c>
      <c r="H272">
        <v>2</v>
      </c>
      <c r="I272" t="s">
        <v>522</v>
      </c>
      <c r="J272" t="s">
        <v>523</v>
      </c>
      <c r="K272" t="s">
        <v>524</v>
      </c>
      <c r="L272">
        <v>1368</v>
      </c>
      <c r="N272">
        <v>1011</v>
      </c>
      <c r="O272" t="s">
        <v>525</v>
      </c>
      <c r="P272" t="s">
        <v>525</v>
      </c>
      <c r="Q272">
        <v>1</v>
      </c>
      <c r="X272">
        <v>0.01</v>
      </c>
      <c r="Y272">
        <v>0</v>
      </c>
      <c r="Z272">
        <v>31.26</v>
      </c>
      <c r="AA272">
        <v>13.5</v>
      </c>
      <c r="AB272">
        <v>0</v>
      </c>
      <c r="AC272">
        <v>0</v>
      </c>
      <c r="AD272">
        <v>1</v>
      </c>
      <c r="AE272">
        <v>0</v>
      </c>
      <c r="AF272" t="s">
        <v>3</v>
      </c>
      <c r="AG272">
        <v>0.01</v>
      </c>
      <c r="AH272">
        <v>2</v>
      </c>
      <c r="AI272">
        <v>39580476</v>
      </c>
      <c r="AJ272">
        <v>289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ROW(Source!A114)</f>
        <v>114</v>
      </c>
      <c r="B273">
        <v>39580477</v>
      </c>
      <c r="C273">
        <v>39580473</v>
      </c>
      <c r="D273">
        <v>36801792</v>
      </c>
      <c r="E273">
        <v>1</v>
      </c>
      <c r="F273">
        <v>1</v>
      </c>
      <c r="G273">
        <v>1</v>
      </c>
      <c r="H273">
        <v>3</v>
      </c>
      <c r="I273" t="s">
        <v>564</v>
      </c>
      <c r="J273" t="s">
        <v>565</v>
      </c>
      <c r="K273" t="s">
        <v>566</v>
      </c>
      <c r="L273">
        <v>1339</v>
      </c>
      <c r="N273">
        <v>1007</v>
      </c>
      <c r="O273" t="s">
        <v>86</v>
      </c>
      <c r="P273" t="s">
        <v>86</v>
      </c>
      <c r="Q273">
        <v>1</v>
      </c>
      <c r="X273">
        <v>0.02</v>
      </c>
      <c r="Y273">
        <v>2.44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0.02</v>
      </c>
      <c r="AH273">
        <v>2</v>
      </c>
      <c r="AI273">
        <v>39580477</v>
      </c>
      <c r="AJ273">
        <v>290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ROW(Source!A114)</f>
        <v>114</v>
      </c>
      <c r="B274">
        <v>39580478</v>
      </c>
      <c r="C274">
        <v>39580473</v>
      </c>
      <c r="D274">
        <v>36799072</v>
      </c>
      <c r="E274">
        <v>17</v>
      </c>
      <c r="F274">
        <v>1</v>
      </c>
      <c r="G274">
        <v>1</v>
      </c>
      <c r="H274">
        <v>3</v>
      </c>
      <c r="I274" t="s">
        <v>767</v>
      </c>
      <c r="J274" t="s">
        <v>3</v>
      </c>
      <c r="K274" t="s">
        <v>768</v>
      </c>
      <c r="L274">
        <v>1348</v>
      </c>
      <c r="N274">
        <v>1009</v>
      </c>
      <c r="O274" t="s">
        <v>105</v>
      </c>
      <c r="P274" t="s">
        <v>105</v>
      </c>
      <c r="Q274">
        <v>1000</v>
      </c>
      <c r="X274">
        <v>7.0000000000000007E-2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 t="s">
        <v>3</v>
      </c>
      <c r="AG274">
        <v>7.0000000000000007E-2</v>
      </c>
      <c r="AH274">
        <v>3</v>
      </c>
      <c r="AI274">
        <v>-1</v>
      </c>
      <c r="AJ274" t="s">
        <v>3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ROW(Source!A114)</f>
        <v>114</v>
      </c>
      <c r="B275">
        <v>39580479</v>
      </c>
      <c r="C275">
        <v>39580473</v>
      </c>
      <c r="D275">
        <v>36806488</v>
      </c>
      <c r="E275">
        <v>1</v>
      </c>
      <c r="F275">
        <v>1</v>
      </c>
      <c r="G275">
        <v>1</v>
      </c>
      <c r="H275">
        <v>3</v>
      </c>
      <c r="I275" t="s">
        <v>160</v>
      </c>
      <c r="J275" t="s">
        <v>162</v>
      </c>
      <c r="K275" t="s">
        <v>161</v>
      </c>
      <c r="L275">
        <v>1348</v>
      </c>
      <c r="N275">
        <v>1009</v>
      </c>
      <c r="O275" t="s">
        <v>105</v>
      </c>
      <c r="P275" t="s">
        <v>105</v>
      </c>
      <c r="Q275">
        <v>1000</v>
      </c>
      <c r="X275">
        <v>0.05</v>
      </c>
      <c r="Y275">
        <v>729.98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0.05</v>
      </c>
      <c r="AH275">
        <v>2</v>
      </c>
      <c r="AI275">
        <v>39580479</v>
      </c>
      <c r="AJ275">
        <v>291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ROW(Source!A114)</f>
        <v>114</v>
      </c>
      <c r="B276">
        <v>39580480</v>
      </c>
      <c r="C276">
        <v>39580473</v>
      </c>
      <c r="D276">
        <v>36797832</v>
      </c>
      <c r="E276">
        <v>17</v>
      </c>
      <c r="F276">
        <v>1</v>
      </c>
      <c r="G276">
        <v>1</v>
      </c>
      <c r="H276">
        <v>3</v>
      </c>
      <c r="I276" t="s">
        <v>187</v>
      </c>
      <c r="J276" t="s">
        <v>3</v>
      </c>
      <c r="K276" t="s">
        <v>188</v>
      </c>
      <c r="L276">
        <v>1354</v>
      </c>
      <c r="N276">
        <v>1010</v>
      </c>
      <c r="O276" t="s">
        <v>189</v>
      </c>
      <c r="P276" t="s">
        <v>189</v>
      </c>
      <c r="Q276">
        <v>1</v>
      </c>
      <c r="X276">
        <v>100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 t="s">
        <v>3</v>
      </c>
      <c r="AG276">
        <v>100</v>
      </c>
      <c r="AH276">
        <v>2</v>
      </c>
      <c r="AI276">
        <v>39580480</v>
      </c>
      <c r="AJ276">
        <v>293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2018-10-19T15:09:50Z</cp:lastPrinted>
  <dcterms:created xsi:type="dcterms:W3CDTF">2018-09-07T13:04:24Z</dcterms:created>
  <dcterms:modified xsi:type="dcterms:W3CDTF">2018-10-19T15:14:00Z</dcterms:modified>
</cp:coreProperties>
</file>